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PalikhovAV\Desktop\"/>
    </mc:Choice>
  </mc:AlternateContent>
  <bookViews>
    <workbookView xWindow="0" yWindow="0" windowWidth="24000" windowHeight="9735" tabRatio="881"/>
  </bookViews>
  <sheets>
    <sheet name="Characters_Data" sheetId="122" r:id="rId1"/>
    <sheet name="Rulers" sheetId="115" r:id="rId2"/>
    <sheet name="Overall" sheetId="5" r:id="rId3"/>
    <sheet name="Kingdom" sheetId="4" r:id="rId4"/>
    <sheet name="City Summary" sheetId="34" r:id="rId5"/>
    <sheet name="Turn Sequence" sheetId="95" r:id="rId6"/>
    <sheet name="Events" sheetId="96" r:id="rId7"/>
    <sheet name="Charts" sheetId="97" r:id="rId8"/>
    <sheet name="Buildings" sheetId="114" r:id="rId9"/>
    <sheet name="Terrain Improvements" sheetId="111" r:id="rId10"/>
    <sheet name="Building Images" sheetId="105" r:id="rId11"/>
    <sheet name="City 1" sheetId="35" r:id="rId12"/>
    <sheet name="City 1 Map" sheetId="106" r:id="rId13"/>
    <sheet name="City 2" sheetId="36" r:id="rId14"/>
    <sheet name="City 2 Map" sheetId="107" r:id="rId15"/>
    <sheet name="City 3" sheetId="37" r:id="rId16"/>
    <sheet name="City 4" sheetId="38" r:id="rId17"/>
    <sheet name="City 5" sheetId="39" r:id="rId18"/>
    <sheet name="City 6" sheetId="40" r:id="rId19"/>
    <sheet name="City 7" sheetId="108" state="hidden" r:id="rId20"/>
    <sheet name="City 8" sheetId="42" state="hidden" r:id="rId21"/>
    <sheet name="City 9" sheetId="43" state="hidden" r:id="rId22"/>
    <sheet name="City 10" sheetId="44" state="hidden" r:id="rId23"/>
    <sheet name="City 11" sheetId="45" state="hidden" r:id="rId24"/>
    <sheet name="City 12" sheetId="46" state="hidden" r:id="rId25"/>
    <sheet name="City 13" sheetId="47" state="hidden" r:id="rId26"/>
    <sheet name="City 14" sheetId="48" state="hidden" r:id="rId27"/>
    <sheet name="City 15" sheetId="49" state="hidden" r:id="rId28"/>
    <sheet name="City 16" sheetId="50" state="hidden" r:id="rId29"/>
    <sheet name="City 17" sheetId="51" state="hidden" r:id="rId30"/>
    <sheet name="City 18" sheetId="52" state="hidden" r:id="rId31"/>
    <sheet name="City 19" sheetId="53" state="hidden" r:id="rId32"/>
    <sheet name="City 20" sheetId="54" state="hidden" r:id="rId33"/>
    <sheet name="City 21" sheetId="55" state="hidden" r:id="rId34"/>
    <sheet name="City 22" sheetId="56" state="hidden" r:id="rId35"/>
    <sheet name="City 23" sheetId="57" state="hidden" r:id="rId36"/>
    <sheet name="City 24" sheetId="58" state="hidden" r:id="rId37"/>
    <sheet name="City 25" sheetId="59" state="hidden" r:id="rId38"/>
    <sheet name="City Overview" sheetId="19" state="hidden" r:id="rId39"/>
    <sheet name="Diplomacy" sheetId="104" r:id="rId40"/>
    <sheet name="Trade Routes" sheetId="109" r:id="rId41"/>
    <sheet name="Endowment" sheetId="118" r:id="rId42"/>
    <sheet name="Festival" sheetId="121" state="hidden" r:id="rId43"/>
    <sheet name="Recruitment" sheetId="119" r:id="rId44"/>
    <sheet name="Army Summary" sheetId="62" r:id="rId45"/>
    <sheet name="Army 1" sheetId="61" r:id="rId46"/>
    <sheet name="Army 2" sheetId="87" state="hidden" r:id="rId47"/>
    <sheet name="Army 3" sheetId="88" state="hidden" r:id="rId48"/>
    <sheet name="Army 4" sheetId="89" state="hidden" r:id="rId49"/>
    <sheet name="Army 5" sheetId="90" state="hidden" r:id="rId50"/>
    <sheet name="Army 6" sheetId="91" state="hidden" r:id="rId51"/>
    <sheet name="Army 7" sheetId="92" state="hidden" r:id="rId52"/>
    <sheet name="Army 8" sheetId="93" state="hidden" r:id="rId53"/>
    <sheet name="Army 9" sheetId="94" state="hidden" r:id="rId54"/>
    <sheet name="City Map Master" sheetId="116" state="hidden" r:id="rId55"/>
    <sheet name="Titles" sheetId="117" state="hidden" r:id="rId56"/>
    <sheet name="Drop Down" sheetId="6" state="hidden" r:id="rId57"/>
    <sheet name="Instructions (Draft)" sheetId="83" r:id="rId58"/>
    <sheet name="Credits and Version" sheetId="60" r:id="rId59"/>
    <sheet name="Military Overview" sheetId="120" state="hidden" r:id="rId60"/>
  </sheets>
  <externalReferences>
    <externalReference r:id="rId61"/>
  </externalReferences>
  <definedNames>
    <definedName name="_xlnm._FilterDatabase" localSheetId="8" hidden="1">Buildings!$AB$1:$AT$96</definedName>
    <definedName name="AlignGE">'Drop Down'!$G$5:$G$7</definedName>
    <definedName name="AlignLC">'Drop Down'!$G$2:$G$4</definedName>
    <definedName name="ArmySA">'Drop Down'!$G$43:$G$141</definedName>
    <definedName name="ArmySize">'Drop Down'!$C$30:$C$39</definedName>
    <definedName name="Attitude">'Drop Down'!$O$26:$O$31</definedName>
    <definedName name="Attributes">'Drop Down'!$A$2:$A$5</definedName>
    <definedName name="Boons">'Drop Down'!$C$73:$C$84</definedName>
    <definedName name="ChaMod">'Drop Down'!$M$51:$M$65</definedName>
    <definedName name="CityNames">'City Overview'!$B$2:$B$26</definedName>
    <definedName name="CR">'Drop Down'!$M$30:$M$48</definedName>
    <definedName name="DipLevel">'Drop Down'!$S$26:$S$29</definedName>
    <definedName name="DipRelation">'Drop Down'!$O$35:$O$40</definedName>
    <definedName name="Events">'Drop Down'!$C$2:$C$12</definedName>
    <definedName name="Expansion">'Drop Down'!$O$64:$O$68</definedName>
    <definedName name="ExSettlements">'Drop Down'!$O$95:$O$100</definedName>
    <definedName name="FoG">'Drop Down'!$O$52:$O$60</definedName>
    <definedName name="Gender">'Drop Down'!$W$72:$W$73</definedName>
    <definedName name="HD">'Drop Down'!$I$30:$I$34</definedName>
    <definedName name="Holiday">'Drop Down'!$O$72:$O$76</definedName>
    <definedName name="HolySite">'Drop Down'!$C$16:$C$19</definedName>
    <definedName name="KingdomStatsList">[1]Other2_Data!$F$2:$F$4</definedName>
    <definedName name="LeadSkills">'Drop Down'!$Y$22:$Y$34</definedName>
    <definedName name="Morale">'Drop Down'!$M$68:$M$76</definedName>
    <definedName name="NatAdv">'Drop Down'!$O$90:$O$92</definedName>
    <definedName name="Recruitment">'Drop Down'!$O$107:$O$111</definedName>
    <definedName name="Resources">'Drop Down'!$C$61:$C$69</definedName>
    <definedName name="RiverCoast">'Drop Down'!$Y$75:$Y$77</definedName>
    <definedName name="Rulers">Rulers!$B$5:$B$55</definedName>
    <definedName name="Ruleset">'Drop Down'!$W$79:$W$82</definedName>
    <definedName name="Seasons" localSheetId="19">#REF!</definedName>
    <definedName name="Seasons" localSheetId="54">#REF!</definedName>
    <definedName name="SettlementAttributes">'Drop Down'!$O$116:$O$175</definedName>
    <definedName name="Tactics">'Drop Down'!$C$43:$C$57</definedName>
    <definedName name="Tax">'Drop Down'!$O$80:$O$84</definedName>
    <definedName name="Terrain">'Drop Down'!$Y$65:$Y$74</definedName>
    <definedName name="Titles">Titles!$B$3:$B$106</definedName>
    <definedName name="TradeRouteType">'Drop Down'!$T$44:$T$47</definedName>
    <definedName name="UCamSettlements">'Drop Down'!$O$14:$O$21</definedName>
    <definedName name="URuleSettlements">'Drop Down'!$Y$14:$Y$17</definedName>
    <definedName name="YN">'Drop Down'!$W$15:$W$16</definedName>
    <definedName name="_xlnm.Print_Area" localSheetId="44">'Army Summary'!$A$1:$AG$78</definedName>
    <definedName name="_xlnm.Print_Area" localSheetId="11">'City 1'!$A$1:$AD$101</definedName>
    <definedName name="_xlnm.Print_Area" localSheetId="22">'City 10'!#REF!</definedName>
    <definedName name="_xlnm.Print_Area" localSheetId="23">'City 11'!#REF!</definedName>
    <definedName name="_xlnm.Print_Area" localSheetId="24">'City 12'!#REF!</definedName>
    <definedName name="_xlnm.Print_Area" localSheetId="25">'City 13'!#REF!</definedName>
    <definedName name="_xlnm.Print_Area" localSheetId="26">'City 14'!#REF!</definedName>
    <definedName name="_xlnm.Print_Area" localSheetId="27">'City 15'!#REF!</definedName>
    <definedName name="_xlnm.Print_Area" localSheetId="28">'City 16'!#REF!</definedName>
    <definedName name="_xlnm.Print_Area" localSheetId="29">'City 17'!#REF!</definedName>
    <definedName name="_xlnm.Print_Area" localSheetId="30">'City 18'!#REF!</definedName>
    <definedName name="_xlnm.Print_Area" localSheetId="31">'City 19'!#REF!</definedName>
    <definedName name="_xlnm.Print_Area" localSheetId="32">'City 20'!#REF!</definedName>
    <definedName name="_xlnm.Print_Area" localSheetId="33">'City 21'!#REF!</definedName>
    <definedName name="_xlnm.Print_Area" localSheetId="34">'City 22'!#REF!</definedName>
    <definedName name="_xlnm.Print_Area" localSheetId="35">'City 23'!#REF!</definedName>
    <definedName name="_xlnm.Print_Area" localSheetId="36">'City 24'!#REF!</definedName>
    <definedName name="_xlnm.Print_Area" localSheetId="37">'City 25'!#REF!</definedName>
    <definedName name="_xlnm.Print_Area" localSheetId="15">'City 3'!#REF!</definedName>
    <definedName name="_xlnm.Print_Area" localSheetId="16">'City 4'!#REF!</definedName>
    <definedName name="_xlnm.Print_Area" localSheetId="17">'City 5'!#REF!</definedName>
    <definedName name="_xlnm.Print_Area" localSheetId="18">'City 6'!#REF!</definedName>
    <definedName name="_xlnm.Print_Area" localSheetId="19">'City 7'!$A$1:$DG$73</definedName>
    <definedName name="_xlnm.Print_Area" localSheetId="20">'City 8'!#REF!</definedName>
    <definedName name="_xlnm.Print_Area" localSheetId="21">'City 9'!#REF!</definedName>
    <definedName name="_xlnm.Print_Area" localSheetId="2">Overall!$A$1:$AE$78</definedName>
    <definedName name="Персонажи">Characters_Data!$B$1:$X$1</definedName>
  </definedNames>
  <calcPr calcId="152511"/>
</workbook>
</file>

<file path=xl/calcChain.xml><?xml version="1.0" encoding="utf-8"?>
<calcChain xmlns="http://schemas.openxmlformats.org/spreadsheetml/2006/main">
  <c r="F26" i="19" l="1"/>
  <c r="F25" i="19"/>
  <c r="F24" i="19"/>
  <c r="F23" i="19"/>
  <c r="F22" i="19"/>
  <c r="F21" i="19"/>
  <c r="F20" i="19"/>
  <c r="F19" i="19"/>
  <c r="F18" i="19"/>
  <c r="F17" i="19"/>
  <c r="F16" i="19"/>
  <c r="F15" i="19"/>
  <c r="F14" i="19"/>
  <c r="F13" i="19"/>
  <c r="F12" i="19"/>
  <c r="F11" i="19"/>
  <c r="F10" i="19"/>
  <c r="F9" i="19"/>
  <c r="F8" i="19"/>
  <c r="F7" i="19"/>
  <c r="F6" i="19"/>
  <c r="F5" i="19"/>
  <c r="F4" i="19"/>
  <c r="F3" i="19"/>
  <c r="E26" i="19"/>
  <c r="E25" i="19"/>
  <c r="E24" i="19"/>
  <c r="E23" i="19"/>
  <c r="E22" i="19"/>
  <c r="E21" i="19"/>
  <c r="E20" i="19"/>
  <c r="E19" i="19"/>
  <c r="E18" i="19"/>
  <c r="E17" i="19"/>
  <c r="E16" i="19"/>
  <c r="E15" i="19"/>
  <c r="E14" i="19"/>
  <c r="E13" i="19"/>
  <c r="E12" i="19"/>
  <c r="E11" i="19"/>
  <c r="E10" i="19"/>
  <c r="E9" i="19"/>
  <c r="E8" i="19"/>
  <c r="E7" i="19"/>
  <c r="E6" i="19"/>
  <c r="E5" i="19"/>
  <c r="E4" i="19"/>
  <c r="E3" i="19"/>
  <c r="D2" i="19"/>
  <c r="D26" i="19"/>
  <c r="D25" i="19"/>
  <c r="D24" i="19"/>
  <c r="D23" i="19"/>
  <c r="D22" i="19"/>
  <c r="D21" i="19"/>
  <c r="D20" i="19"/>
  <c r="D19" i="19"/>
  <c r="D18" i="19"/>
  <c r="D17" i="19"/>
  <c r="D16" i="19"/>
  <c r="D15" i="19"/>
  <c r="D14" i="19"/>
  <c r="D13" i="19"/>
  <c r="D12" i="19"/>
  <c r="D11" i="19"/>
  <c r="D10" i="19"/>
  <c r="D9" i="19"/>
  <c r="D8" i="19"/>
  <c r="D7" i="19"/>
  <c r="D6" i="19"/>
  <c r="D5" i="19"/>
  <c r="D4" i="19"/>
  <c r="D3" i="19"/>
  <c r="AT26" i="19"/>
  <c r="AT25" i="19"/>
  <c r="AT24" i="19"/>
  <c r="AT23" i="19"/>
  <c r="AT22" i="19"/>
  <c r="AT21" i="19"/>
  <c r="AT20" i="19"/>
  <c r="AT19" i="19"/>
  <c r="AT18" i="19"/>
  <c r="AT17" i="19"/>
  <c r="AT16" i="19"/>
  <c r="AT15" i="19"/>
  <c r="AT14" i="19"/>
  <c r="AT13" i="19"/>
  <c r="AT12" i="19"/>
  <c r="AT11" i="19"/>
  <c r="AT10" i="19"/>
  <c r="AT9" i="19"/>
  <c r="AT8" i="19"/>
  <c r="AT7" i="19"/>
  <c r="AT6" i="19"/>
  <c r="AT5" i="19"/>
  <c r="AT4" i="19"/>
  <c r="AT3" i="19"/>
  <c r="AL26" i="19"/>
  <c r="AL25" i="19"/>
  <c r="AL24" i="19"/>
  <c r="AL23" i="19"/>
  <c r="AL22" i="19"/>
  <c r="AL21" i="19"/>
  <c r="AL20" i="19"/>
  <c r="AL19" i="19"/>
  <c r="AL18" i="19"/>
  <c r="AL17" i="19"/>
  <c r="AL16" i="19"/>
  <c r="AL15" i="19"/>
  <c r="AL14" i="19"/>
  <c r="AL13" i="19"/>
  <c r="AL12" i="19"/>
  <c r="AL11" i="19"/>
  <c r="AL10" i="19"/>
  <c r="AL9" i="19"/>
  <c r="AL8" i="19"/>
  <c r="AL7" i="19"/>
  <c r="AL6" i="19"/>
  <c r="AL5" i="19"/>
  <c r="AL4" i="19"/>
  <c r="AL3" i="19"/>
  <c r="AK26" i="19"/>
  <c r="AK25" i="19"/>
  <c r="AK24" i="19"/>
  <c r="AK23" i="19"/>
  <c r="AK22" i="19"/>
  <c r="AK21" i="19"/>
  <c r="AK20" i="19"/>
  <c r="AK19" i="19"/>
  <c r="AK18" i="19"/>
  <c r="AK17" i="19"/>
  <c r="AK16" i="19"/>
  <c r="AK15" i="19"/>
  <c r="AK14" i="19"/>
  <c r="AK13" i="19"/>
  <c r="AK12" i="19"/>
  <c r="AK11" i="19"/>
  <c r="AK10" i="19"/>
  <c r="AK9" i="19"/>
  <c r="AK8" i="19"/>
  <c r="AK7" i="19"/>
  <c r="AK6" i="19"/>
  <c r="AK5" i="19"/>
  <c r="AK4" i="19"/>
  <c r="AK3" i="19"/>
  <c r="AI26" i="19"/>
  <c r="AI25" i="19"/>
  <c r="AI24" i="19"/>
  <c r="AI23" i="19"/>
  <c r="AI22" i="19"/>
  <c r="AI21" i="19"/>
  <c r="AI20" i="19"/>
  <c r="AI19" i="19"/>
  <c r="AI18" i="19"/>
  <c r="AI17" i="19"/>
  <c r="AI16" i="19"/>
  <c r="AI15" i="19"/>
  <c r="AI14" i="19"/>
  <c r="AI13" i="19"/>
  <c r="AI12" i="19"/>
  <c r="AI11" i="19"/>
  <c r="AI10" i="19"/>
  <c r="AI9" i="19"/>
  <c r="AI8" i="19"/>
  <c r="AI7" i="19"/>
  <c r="AI6" i="19"/>
  <c r="AI5" i="19"/>
  <c r="AI4" i="19"/>
  <c r="AI3" i="19"/>
  <c r="AH26" i="19"/>
  <c r="AH25" i="19"/>
  <c r="AH24" i="19"/>
  <c r="AH23" i="19"/>
  <c r="AH22" i="19"/>
  <c r="AH21" i="19"/>
  <c r="AH20" i="19"/>
  <c r="AH19" i="19"/>
  <c r="AH18" i="19"/>
  <c r="AH17" i="19"/>
  <c r="AH16" i="19"/>
  <c r="AH15" i="19"/>
  <c r="AH14" i="19"/>
  <c r="AH13" i="19"/>
  <c r="AH12" i="19"/>
  <c r="AH11" i="19"/>
  <c r="AH10" i="19"/>
  <c r="AH9" i="19"/>
  <c r="AH8" i="19"/>
  <c r="AH7" i="19"/>
  <c r="AH6" i="19"/>
  <c r="AH5" i="19"/>
  <c r="AH4" i="19"/>
  <c r="AH3" i="19"/>
  <c r="AG26" i="19"/>
  <c r="AG25" i="19"/>
  <c r="AG24" i="19"/>
  <c r="AG23" i="19"/>
  <c r="AG22" i="19"/>
  <c r="AG21" i="19"/>
  <c r="AG20" i="19"/>
  <c r="AG19" i="19"/>
  <c r="AG18" i="19"/>
  <c r="AG17" i="19"/>
  <c r="AG16" i="19"/>
  <c r="AG15" i="19"/>
  <c r="AG14" i="19"/>
  <c r="AG13" i="19"/>
  <c r="AG12" i="19"/>
  <c r="AG11" i="19"/>
  <c r="AG10" i="19"/>
  <c r="AG9" i="19"/>
  <c r="AG8" i="19"/>
  <c r="AG7" i="19"/>
  <c r="AG6" i="19"/>
  <c r="AG5" i="19"/>
  <c r="AG4" i="19"/>
  <c r="AG3" i="19"/>
  <c r="AF26" i="19"/>
  <c r="AF25" i="19"/>
  <c r="AF24" i="19"/>
  <c r="AF23" i="19"/>
  <c r="AF22" i="19"/>
  <c r="AF21" i="19"/>
  <c r="AF20" i="19"/>
  <c r="AF19" i="19"/>
  <c r="AF18" i="19"/>
  <c r="AF17" i="19"/>
  <c r="AF16" i="19"/>
  <c r="AF15" i="19"/>
  <c r="AF14" i="19"/>
  <c r="AF13" i="19"/>
  <c r="AF12" i="19"/>
  <c r="AF11" i="19"/>
  <c r="AF10" i="19"/>
  <c r="AF9" i="19"/>
  <c r="AF8" i="19"/>
  <c r="AF7" i="19"/>
  <c r="AF6" i="19"/>
  <c r="AF5" i="19"/>
  <c r="AF4" i="19"/>
  <c r="AF3" i="19"/>
  <c r="AE26" i="19"/>
  <c r="AE25" i="19"/>
  <c r="AE24" i="19"/>
  <c r="AE23" i="19"/>
  <c r="AE22" i="19"/>
  <c r="AE21" i="19"/>
  <c r="AE20" i="19"/>
  <c r="AE19" i="19"/>
  <c r="AE18" i="19"/>
  <c r="AE17" i="19"/>
  <c r="AE16" i="19"/>
  <c r="AE15" i="19"/>
  <c r="AE14" i="19"/>
  <c r="AE13" i="19"/>
  <c r="AE12" i="19"/>
  <c r="AE11" i="19"/>
  <c r="AE10" i="19"/>
  <c r="AE9" i="19"/>
  <c r="AE8" i="19"/>
  <c r="AE7" i="19"/>
  <c r="AE6" i="19"/>
  <c r="AE5" i="19"/>
  <c r="AE4" i="19"/>
  <c r="AE3" i="19"/>
  <c r="AD26" i="19"/>
  <c r="AD25" i="19"/>
  <c r="AD24" i="19"/>
  <c r="AD23" i="19"/>
  <c r="AD22" i="19"/>
  <c r="AD21" i="19"/>
  <c r="AD20" i="19"/>
  <c r="AD19" i="19"/>
  <c r="AD18" i="19"/>
  <c r="AD17" i="19"/>
  <c r="AD16" i="19"/>
  <c r="AD15" i="19"/>
  <c r="AD14" i="19"/>
  <c r="AD13" i="19"/>
  <c r="AD12" i="19"/>
  <c r="AD11" i="19"/>
  <c r="AD10" i="19"/>
  <c r="AD9" i="19"/>
  <c r="AD8" i="19"/>
  <c r="AD7" i="19"/>
  <c r="AD6" i="19"/>
  <c r="AD5" i="19"/>
  <c r="AD4" i="19"/>
  <c r="AD3" i="19"/>
  <c r="AA26" i="19"/>
  <c r="AA25" i="19"/>
  <c r="AA24" i="19"/>
  <c r="AA23" i="19"/>
  <c r="AA22" i="19"/>
  <c r="AA21" i="19"/>
  <c r="AA20" i="19"/>
  <c r="AA19" i="19"/>
  <c r="AA18" i="19"/>
  <c r="AA17" i="19"/>
  <c r="AA16" i="19"/>
  <c r="AA15" i="19"/>
  <c r="AA14" i="19"/>
  <c r="AA13" i="19"/>
  <c r="AA12" i="19"/>
  <c r="AA11" i="19"/>
  <c r="AA10" i="19"/>
  <c r="AA9" i="19"/>
  <c r="AA8" i="19"/>
  <c r="AA7" i="19"/>
  <c r="AA6" i="19"/>
  <c r="AA5" i="19"/>
  <c r="AA4" i="19"/>
  <c r="AA3" i="19"/>
  <c r="Z26" i="19"/>
  <c r="Z25" i="19"/>
  <c r="Z24" i="19"/>
  <c r="Z23" i="19"/>
  <c r="Z22" i="19"/>
  <c r="Z21" i="19"/>
  <c r="Z20" i="19"/>
  <c r="Z19" i="19"/>
  <c r="Z18" i="19"/>
  <c r="Z17" i="19"/>
  <c r="Z16" i="19"/>
  <c r="Z15" i="19"/>
  <c r="Z14" i="19"/>
  <c r="Z13" i="19"/>
  <c r="Z12" i="19"/>
  <c r="Z11" i="19"/>
  <c r="Z10" i="19"/>
  <c r="Z9" i="19"/>
  <c r="Z8" i="19"/>
  <c r="Z7" i="19"/>
  <c r="Z6" i="19"/>
  <c r="Z5" i="19"/>
  <c r="Z4" i="19"/>
  <c r="Z3" i="19"/>
  <c r="Y26" i="19"/>
  <c r="Y25" i="19"/>
  <c r="Y24" i="19"/>
  <c r="Y23" i="19"/>
  <c r="Y22" i="19"/>
  <c r="Y21" i="19"/>
  <c r="Y20" i="19"/>
  <c r="Y19" i="19"/>
  <c r="Y18" i="19"/>
  <c r="Y17" i="19"/>
  <c r="Y16" i="19"/>
  <c r="Y15" i="19"/>
  <c r="Y14" i="19"/>
  <c r="Y13" i="19"/>
  <c r="Y12" i="19"/>
  <c r="Y11" i="19"/>
  <c r="Y10" i="19"/>
  <c r="Y9" i="19"/>
  <c r="Y8" i="19"/>
  <c r="Y7" i="19"/>
  <c r="Y6" i="19"/>
  <c r="Y5" i="19"/>
  <c r="Y4" i="19"/>
  <c r="Y3" i="19"/>
  <c r="X26" i="19"/>
  <c r="X25" i="19"/>
  <c r="X24" i="19"/>
  <c r="X23" i="19"/>
  <c r="X22" i="19"/>
  <c r="X21" i="19"/>
  <c r="X20" i="19"/>
  <c r="X19" i="19"/>
  <c r="X18" i="19"/>
  <c r="X17" i="19"/>
  <c r="X16" i="19"/>
  <c r="X15" i="19"/>
  <c r="X14" i="19"/>
  <c r="X13" i="19"/>
  <c r="X12" i="19"/>
  <c r="X11" i="19"/>
  <c r="X10" i="19"/>
  <c r="X9" i="19"/>
  <c r="X8" i="19"/>
  <c r="X7" i="19"/>
  <c r="X6" i="19"/>
  <c r="X5" i="19"/>
  <c r="X4" i="19"/>
  <c r="X3" i="19"/>
  <c r="W26" i="19"/>
  <c r="W25" i="19"/>
  <c r="W24" i="19"/>
  <c r="W23" i="19"/>
  <c r="W22" i="19"/>
  <c r="W21" i="19"/>
  <c r="W20" i="19"/>
  <c r="W19" i="19"/>
  <c r="W18" i="19"/>
  <c r="W17" i="19"/>
  <c r="W16" i="19"/>
  <c r="W15" i="19"/>
  <c r="W14" i="19"/>
  <c r="W13" i="19"/>
  <c r="W12" i="19"/>
  <c r="W11" i="19"/>
  <c r="W10" i="19"/>
  <c r="W9" i="19"/>
  <c r="W8" i="19"/>
  <c r="W7" i="19"/>
  <c r="W6" i="19"/>
  <c r="W5" i="19"/>
  <c r="W4" i="19"/>
  <c r="W3" i="19"/>
  <c r="V26" i="19"/>
  <c r="V25" i="19"/>
  <c r="V24" i="19"/>
  <c r="V23" i="19"/>
  <c r="V22" i="19"/>
  <c r="V21" i="19"/>
  <c r="V20" i="19"/>
  <c r="V19" i="19"/>
  <c r="V18" i="19"/>
  <c r="V17" i="19"/>
  <c r="V16" i="19"/>
  <c r="V15" i="19"/>
  <c r="V14" i="19"/>
  <c r="V13" i="19"/>
  <c r="V12" i="19"/>
  <c r="V11" i="19"/>
  <c r="V10" i="19"/>
  <c r="V9" i="19"/>
  <c r="V8" i="19"/>
  <c r="V7" i="19"/>
  <c r="V6" i="19"/>
  <c r="V5" i="19"/>
  <c r="V4" i="19"/>
  <c r="V3" i="19"/>
  <c r="U26" i="19"/>
  <c r="U25" i="19"/>
  <c r="U24" i="19"/>
  <c r="U23" i="19"/>
  <c r="U22" i="19"/>
  <c r="U21" i="19"/>
  <c r="U20" i="19"/>
  <c r="U19" i="19"/>
  <c r="U18" i="19"/>
  <c r="U17" i="19"/>
  <c r="U16" i="19"/>
  <c r="U15" i="19"/>
  <c r="U14" i="19"/>
  <c r="U13" i="19"/>
  <c r="U12" i="19"/>
  <c r="U11" i="19"/>
  <c r="U10" i="19"/>
  <c r="U9" i="19"/>
  <c r="U8" i="19"/>
  <c r="U7" i="19"/>
  <c r="U6" i="19"/>
  <c r="U5" i="19"/>
  <c r="U4" i="19"/>
  <c r="U3" i="19"/>
  <c r="S26" i="19"/>
  <c r="S25" i="19"/>
  <c r="S24" i="19"/>
  <c r="S23" i="19"/>
  <c r="S22" i="19"/>
  <c r="S21" i="19"/>
  <c r="S20" i="19"/>
  <c r="S19" i="19"/>
  <c r="S18" i="19"/>
  <c r="S17" i="19"/>
  <c r="S16" i="19"/>
  <c r="S15" i="19"/>
  <c r="S14" i="19"/>
  <c r="S13" i="19"/>
  <c r="S12" i="19"/>
  <c r="S11" i="19"/>
  <c r="S10" i="19"/>
  <c r="S9" i="19"/>
  <c r="S8" i="19"/>
  <c r="S7" i="19"/>
  <c r="S6" i="19"/>
  <c r="S5" i="19"/>
  <c r="S4" i="19"/>
  <c r="S3" i="19"/>
  <c r="S2" i="19"/>
  <c r="O26" i="19"/>
  <c r="O25" i="19"/>
  <c r="O24" i="19"/>
  <c r="O23" i="19"/>
  <c r="O22" i="19"/>
  <c r="O21" i="19"/>
  <c r="O20" i="19"/>
  <c r="O19" i="19"/>
  <c r="O18" i="19"/>
  <c r="O17" i="19"/>
  <c r="O16" i="19"/>
  <c r="O15" i="19"/>
  <c r="O14" i="19"/>
  <c r="O13" i="19"/>
  <c r="O12" i="19"/>
  <c r="O11" i="19"/>
  <c r="O10" i="19"/>
  <c r="O9" i="19"/>
  <c r="O8" i="19"/>
  <c r="O7" i="19"/>
  <c r="O6" i="19"/>
  <c r="O5" i="19"/>
  <c r="O4" i="19"/>
  <c r="O3" i="19"/>
  <c r="AO3" i="19"/>
  <c r="AO26" i="19"/>
  <c r="T26" i="19"/>
  <c r="AO25" i="19"/>
  <c r="T25" i="19"/>
  <c r="AO24" i="19"/>
  <c r="T24" i="19"/>
  <c r="AO23" i="19"/>
  <c r="T23" i="19"/>
  <c r="AO22" i="19"/>
  <c r="T22" i="19"/>
  <c r="AO21" i="19"/>
  <c r="T21" i="19"/>
  <c r="AO20" i="19"/>
  <c r="T20" i="19"/>
  <c r="AO19" i="19"/>
  <c r="T19" i="19"/>
  <c r="AO18" i="19"/>
  <c r="T18" i="19"/>
  <c r="AO17" i="19"/>
  <c r="T17" i="19"/>
  <c r="AO16" i="19"/>
  <c r="T16" i="19"/>
  <c r="AO15" i="19"/>
  <c r="T15" i="19"/>
  <c r="AO14" i="19"/>
  <c r="T14" i="19"/>
  <c r="AO13" i="19"/>
  <c r="T13" i="19"/>
  <c r="AO12" i="19"/>
  <c r="T12" i="19"/>
  <c r="AO11" i="19"/>
  <c r="T11" i="19"/>
  <c r="AO10" i="19"/>
  <c r="T10" i="19"/>
  <c r="AO9" i="19"/>
  <c r="T9" i="19"/>
  <c r="AO8" i="19"/>
  <c r="T8" i="19"/>
  <c r="AO7" i="19"/>
  <c r="T7" i="19"/>
  <c r="AO6" i="19"/>
  <c r="T6" i="19"/>
  <c r="AO5" i="19"/>
  <c r="T5" i="19"/>
  <c r="AO4" i="19"/>
  <c r="T4" i="19"/>
  <c r="T3" i="19"/>
  <c r="AO2" i="19"/>
  <c r="T2" i="19"/>
  <c r="AS26" i="19"/>
  <c r="AS25" i="19"/>
  <c r="AS24" i="19"/>
  <c r="AS23" i="19"/>
  <c r="AS22" i="19"/>
  <c r="AS21" i="19"/>
  <c r="AS20" i="19"/>
  <c r="AS19" i="19"/>
  <c r="AS18" i="19"/>
  <c r="AS17" i="19"/>
  <c r="AS16" i="19"/>
  <c r="AS15" i="19"/>
  <c r="AS14" i="19"/>
  <c r="AS13" i="19"/>
  <c r="AS12" i="19"/>
  <c r="AS11" i="19"/>
  <c r="AS10" i="19"/>
  <c r="AS9" i="19"/>
  <c r="AS8" i="19"/>
  <c r="AS7" i="19"/>
  <c r="AS6" i="19"/>
  <c r="AS5" i="19"/>
  <c r="AS4" i="19"/>
  <c r="AS3" i="19"/>
  <c r="R26" i="19"/>
  <c r="R25" i="19"/>
  <c r="R24" i="19"/>
  <c r="R23" i="19"/>
  <c r="R22" i="19"/>
  <c r="R21" i="19"/>
  <c r="R20" i="19"/>
  <c r="R19" i="19"/>
  <c r="R18" i="19"/>
  <c r="R17" i="19"/>
  <c r="R16" i="19"/>
  <c r="R15" i="19"/>
  <c r="R14" i="19"/>
  <c r="R13" i="19"/>
  <c r="R12" i="19"/>
  <c r="R11" i="19"/>
  <c r="R10" i="19"/>
  <c r="R9" i="19"/>
  <c r="R8" i="19"/>
  <c r="R7" i="19"/>
  <c r="R6" i="19"/>
  <c r="R5" i="19"/>
  <c r="R4" i="19"/>
  <c r="R3" i="19"/>
  <c r="AJ26" i="19"/>
  <c r="Q26" i="19"/>
  <c r="AJ25" i="19"/>
  <c r="Q25" i="19"/>
  <c r="AJ24" i="19"/>
  <c r="Q24" i="19"/>
  <c r="AJ23" i="19"/>
  <c r="Q23" i="19"/>
  <c r="AJ22" i="19"/>
  <c r="Q22" i="19"/>
  <c r="AJ21" i="19"/>
  <c r="Q21" i="19"/>
  <c r="AJ20" i="19"/>
  <c r="Q20" i="19"/>
  <c r="AJ19" i="19"/>
  <c r="Q19" i="19"/>
  <c r="AJ18" i="19"/>
  <c r="Q18" i="19"/>
  <c r="AJ17" i="19"/>
  <c r="Q17" i="19"/>
  <c r="AJ16" i="19"/>
  <c r="Q16" i="19"/>
  <c r="AJ15" i="19"/>
  <c r="Q15" i="19"/>
  <c r="AJ14" i="19"/>
  <c r="Q14" i="19"/>
  <c r="AJ13" i="19"/>
  <c r="Q13" i="19"/>
  <c r="AJ12" i="19"/>
  <c r="Q12" i="19"/>
  <c r="AJ11" i="19"/>
  <c r="Q11" i="19"/>
  <c r="AJ10" i="19"/>
  <c r="Q10" i="19"/>
  <c r="AJ9" i="19"/>
  <c r="Q9" i="19"/>
  <c r="AJ8" i="19"/>
  <c r="Q8" i="19"/>
  <c r="AJ7" i="19"/>
  <c r="Q7" i="19"/>
  <c r="AJ6" i="19"/>
  <c r="Q6" i="19"/>
  <c r="AJ5" i="19"/>
  <c r="Q5" i="19"/>
  <c r="AJ4" i="19"/>
  <c r="Q4" i="19"/>
  <c r="AJ3" i="19"/>
  <c r="Q3" i="19"/>
  <c r="M26" i="19"/>
  <c r="M25" i="19"/>
  <c r="M24" i="19"/>
  <c r="M23" i="19"/>
  <c r="M22" i="19"/>
  <c r="M21" i="19"/>
  <c r="M20" i="19"/>
  <c r="M19" i="19"/>
  <c r="M18" i="19"/>
  <c r="M17" i="19"/>
  <c r="M16" i="19"/>
  <c r="M15" i="19"/>
  <c r="M14" i="19"/>
  <c r="M13" i="19"/>
  <c r="M12" i="19"/>
  <c r="M11" i="19"/>
  <c r="M10" i="19"/>
  <c r="M9" i="19"/>
  <c r="M8" i="19"/>
  <c r="M7" i="19"/>
  <c r="M6" i="19"/>
  <c r="M5" i="19"/>
  <c r="M4" i="19"/>
  <c r="M3" i="19"/>
  <c r="N26" i="19"/>
  <c r="N25" i="19"/>
  <c r="N24" i="19"/>
  <c r="N23" i="19"/>
  <c r="N22" i="19"/>
  <c r="N21" i="19"/>
  <c r="N20" i="19"/>
  <c r="N19" i="19"/>
  <c r="N18" i="19"/>
  <c r="N17" i="19"/>
  <c r="N16" i="19"/>
  <c r="N15" i="19"/>
  <c r="N14" i="19"/>
  <c r="N13" i="19"/>
  <c r="N12" i="19"/>
  <c r="N11" i="19"/>
  <c r="N10" i="19"/>
  <c r="N9" i="19"/>
  <c r="N8" i="19"/>
  <c r="N7" i="19"/>
  <c r="N6" i="19"/>
  <c r="N5" i="19"/>
  <c r="N4" i="19"/>
  <c r="N3" i="19"/>
  <c r="L26" i="19"/>
  <c r="L25" i="19"/>
  <c r="L24" i="19"/>
  <c r="L23" i="19"/>
  <c r="L22" i="19"/>
  <c r="L21" i="19"/>
  <c r="L20" i="19"/>
  <c r="L19" i="19"/>
  <c r="L18" i="19"/>
  <c r="L17" i="19"/>
  <c r="L16" i="19"/>
  <c r="L15" i="19"/>
  <c r="L14" i="19"/>
  <c r="L13" i="19"/>
  <c r="L12" i="19"/>
  <c r="L11" i="19"/>
  <c r="L10" i="19"/>
  <c r="L9" i="19"/>
  <c r="L8" i="19"/>
  <c r="L7" i="19"/>
  <c r="L6" i="19"/>
  <c r="L5" i="19"/>
  <c r="L4" i="19"/>
  <c r="L3" i="19"/>
  <c r="K26" i="19"/>
  <c r="K25" i="19"/>
  <c r="K24" i="19"/>
  <c r="K23" i="19"/>
  <c r="K22" i="19"/>
  <c r="K21" i="19"/>
  <c r="K20" i="19"/>
  <c r="K19" i="19"/>
  <c r="K18" i="19"/>
  <c r="K17" i="19"/>
  <c r="K16" i="19"/>
  <c r="K15" i="19"/>
  <c r="K14" i="19"/>
  <c r="K13" i="19"/>
  <c r="K12" i="19"/>
  <c r="K11" i="19"/>
  <c r="K10" i="19"/>
  <c r="K9" i="19"/>
  <c r="K8" i="19"/>
  <c r="K7" i="19"/>
  <c r="K6" i="19"/>
  <c r="K5" i="19"/>
  <c r="K4" i="19"/>
  <c r="K3" i="19"/>
  <c r="I26" i="19"/>
  <c r="I25" i="19"/>
  <c r="I24" i="19"/>
  <c r="I23" i="19"/>
  <c r="I22" i="19"/>
  <c r="I21" i="19"/>
  <c r="I20" i="19"/>
  <c r="I19" i="19"/>
  <c r="I18" i="19"/>
  <c r="I17" i="19"/>
  <c r="I16" i="19"/>
  <c r="I15" i="19"/>
  <c r="I14" i="19"/>
  <c r="I13" i="19"/>
  <c r="I12" i="19"/>
  <c r="I11" i="19"/>
  <c r="I10" i="19"/>
  <c r="I9" i="19"/>
  <c r="I8" i="19"/>
  <c r="I7" i="19"/>
  <c r="I6" i="19"/>
  <c r="I5" i="19"/>
  <c r="I4" i="19"/>
  <c r="I3" i="19"/>
  <c r="G26" i="19"/>
  <c r="G25" i="19"/>
  <c r="G24" i="19"/>
  <c r="G23" i="19"/>
  <c r="G22" i="19"/>
  <c r="G21" i="19"/>
  <c r="G20" i="19"/>
  <c r="G19" i="19"/>
  <c r="G18" i="19"/>
  <c r="G17" i="19"/>
  <c r="G16" i="19"/>
  <c r="G15" i="19"/>
  <c r="G14" i="19"/>
  <c r="G13" i="19"/>
  <c r="G12" i="19"/>
  <c r="G11" i="19"/>
  <c r="G10" i="19"/>
  <c r="G9" i="19"/>
  <c r="G8" i="19"/>
  <c r="G7" i="19"/>
  <c r="G6" i="19"/>
  <c r="G5" i="19"/>
  <c r="G4" i="19"/>
  <c r="G3" i="19"/>
  <c r="H26" i="19"/>
  <c r="H25" i="19"/>
  <c r="H24" i="19"/>
  <c r="H23" i="19"/>
  <c r="H22" i="19"/>
  <c r="H21" i="19"/>
  <c r="H20" i="19"/>
  <c r="H19" i="19"/>
  <c r="H18" i="19"/>
  <c r="H17" i="19"/>
  <c r="H16" i="19"/>
  <c r="H15" i="19"/>
  <c r="H14" i="19"/>
  <c r="H13" i="19"/>
  <c r="H12" i="19"/>
  <c r="H11" i="19"/>
  <c r="H10" i="19"/>
  <c r="H9" i="19"/>
  <c r="H8" i="19"/>
  <c r="H7" i="19"/>
  <c r="H6" i="19"/>
  <c r="H5" i="19"/>
  <c r="H4" i="19"/>
  <c r="H3" i="19"/>
  <c r="AN26" i="19"/>
  <c r="P26" i="19"/>
  <c r="AN25" i="19"/>
  <c r="P25" i="19"/>
  <c r="AN24" i="19"/>
  <c r="P24" i="19"/>
  <c r="AN23" i="19"/>
  <c r="P23" i="19"/>
  <c r="AN22" i="19"/>
  <c r="P22" i="19"/>
  <c r="AN21" i="19"/>
  <c r="P21" i="19"/>
  <c r="AN20" i="19"/>
  <c r="P20" i="19"/>
  <c r="AN19" i="19"/>
  <c r="P19" i="19"/>
  <c r="AN18" i="19"/>
  <c r="P18" i="19"/>
  <c r="AN17" i="19"/>
  <c r="P17" i="19"/>
  <c r="AN16" i="19"/>
  <c r="P16" i="19"/>
  <c r="AN15" i="19"/>
  <c r="P15" i="19"/>
  <c r="AN14" i="19"/>
  <c r="P14" i="19"/>
  <c r="AN13" i="19"/>
  <c r="P13" i="19"/>
  <c r="AN12" i="19"/>
  <c r="P12" i="19"/>
  <c r="AN11" i="19"/>
  <c r="P11" i="19"/>
  <c r="AN10" i="19"/>
  <c r="P10" i="19"/>
  <c r="AN9" i="19"/>
  <c r="P9" i="19"/>
  <c r="AN8" i="19"/>
  <c r="P8" i="19"/>
  <c r="AN7" i="19"/>
  <c r="P7" i="19"/>
  <c r="AN6" i="19"/>
  <c r="P6" i="19"/>
  <c r="AN5" i="19"/>
  <c r="P5" i="19"/>
  <c r="AN4" i="19"/>
  <c r="P4" i="19"/>
  <c r="AN3" i="19"/>
  <c r="AM3" i="19"/>
  <c r="P3" i="19"/>
  <c r="AP26" i="19"/>
  <c r="AP25" i="19"/>
  <c r="AP24" i="19"/>
  <c r="AP23" i="19"/>
  <c r="AP22" i="19"/>
  <c r="AP21" i="19"/>
  <c r="AP20" i="19"/>
  <c r="AP19" i="19"/>
  <c r="AP18" i="19"/>
  <c r="AP17" i="19"/>
  <c r="AP16" i="19"/>
  <c r="AP15" i="19"/>
  <c r="AP14" i="19"/>
  <c r="AP13" i="19"/>
  <c r="AP12" i="19"/>
  <c r="AP11" i="19"/>
  <c r="AP10" i="19"/>
  <c r="AP9" i="19"/>
  <c r="AP8" i="19"/>
  <c r="AP7" i="19"/>
  <c r="AP6" i="19"/>
  <c r="AP5" i="19"/>
  <c r="AP4" i="19"/>
  <c r="AP3" i="19"/>
  <c r="AQ26" i="19"/>
  <c r="C26" i="19"/>
  <c r="AQ25" i="19"/>
  <c r="C25" i="19"/>
  <c r="AQ24" i="19"/>
  <c r="C24" i="19"/>
  <c r="AQ23" i="19"/>
  <c r="C23" i="19"/>
  <c r="AQ22" i="19"/>
  <c r="C22" i="19"/>
  <c r="AQ21" i="19"/>
  <c r="C21" i="19"/>
  <c r="AQ20" i="19"/>
  <c r="C20" i="19"/>
  <c r="AQ19" i="19"/>
  <c r="C19" i="19"/>
  <c r="AQ18" i="19"/>
  <c r="C18" i="19"/>
  <c r="AQ17" i="19"/>
  <c r="C17" i="19"/>
  <c r="AQ16" i="19"/>
  <c r="C16" i="19"/>
  <c r="AQ15" i="19"/>
  <c r="C15" i="19"/>
  <c r="AQ14" i="19"/>
  <c r="C14" i="19"/>
  <c r="AQ13" i="19"/>
  <c r="C13" i="19"/>
  <c r="AQ12" i="19"/>
  <c r="C12" i="19"/>
  <c r="AQ11" i="19"/>
  <c r="C11" i="19"/>
  <c r="AQ10" i="19"/>
  <c r="C10" i="19"/>
  <c r="AQ9" i="19"/>
  <c r="C9" i="19"/>
  <c r="AQ8" i="19"/>
  <c r="C8" i="19"/>
  <c r="AQ7" i="19"/>
  <c r="C7" i="19"/>
  <c r="AQ6" i="19"/>
  <c r="C6" i="19"/>
  <c r="AQ5" i="19"/>
  <c r="C5" i="19"/>
  <c r="AQ4" i="19"/>
  <c r="C4" i="19"/>
  <c r="AQ3" i="19"/>
  <c r="C3" i="19"/>
  <c r="AR26" i="19"/>
  <c r="AM26" i="19"/>
  <c r="AR25" i="19"/>
  <c r="AM25" i="19"/>
  <c r="AR24" i="19"/>
  <c r="AM24" i="19"/>
  <c r="AR23" i="19"/>
  <c r="AM23" i="19"/>
  <c r="AR22" i="19"/>
  <c r="AM22" i="19"/>
  <c r="AR21" i="19"/>
  <c r="AM21" i="19"/>
  <c r="AR20" i="19"/>
  <c r="AM20" i="19"/>
  <c r="AR19" i="19"/>
  <c r="AM19" i="19"/>
  <c r="AR18" i="19"/>
  <c r="AM18" i="19"/>
  <c r="AR17" i="19"/>
  <c r="AM17" i="19"/>
  <c r="AR16" i="19"/>
  <c r="AM16" i="19"/>
  <c r="AR15" i="19"/>
  <c r="AM15" i="19"/>
  <c r="AR14" i="19"/>
  <c r="AM14" i="19"/>
  <c r="AR13" i="19"/>
  <c r="AM13" i="19"/>
  <c r="AR12" i="19"/>
  <c r="AM12" i="19"/>
  <c r="AR11" i="19"/>
  <c r="AM11" i="19"/>
  <c r="AR10" i="19"/>
  <c r="AM10" i="19"/>
  <c r="AR9" i="19"/>
  <c r="AM9" i="19"/>
  <c r="AR8" i="19"/>
  <c r="AM8" i="19"/>
  <c r="AR7" i="19"/>
  <c r="AM7" i="19"/>
  <c r="AR6" i="19"/>
  <c r="AM6" i="19"/>
  <c r="AR5" i="19"/>
  <c r="AM5" i="19"/>
  <c r="AR4" i="19"/>
  <c r="AM4" i="19"/>
  <c r="AR3" i="19"/>
  <c r="F406" i="34" l="1"/>
  <c r="D406" i="34"/>
  <c r="F404" i="34"/>
  <c r="D404" i="34"/>
  <c r="F402" i="34"/>
  <c r="D402" i="34"/>
  <c r="H392" i="34"/>
  <c r="D392" i="34"/>
  <c r="H390" i="34"/>
  <c r="D390" i="34"/>
  <c r="H388" i="34"/>
  <c r="D388" i="34"/>
  <c r="D386" i="34"/>
  <c r="O374" i="34"/>
  <c r="M374" i="34"/>
  <c r="O372" i="34"/>
  <c r="M372" i="34"/>
  <c r="O370" i="34"/>
  <c r="M370" i="34"/>
  <c r="Q360" i="34"/>
  <c r="M360" i="34"/>
  <c r="Q358" i="34"/>
  <c r="M358" i="34"/>
  <c r="Q356" i="34"/>
  <c r="M356" i="34"/>
  <c r="M354" i="34"/>
  <c r="F374" i="34"/>
  <c r="D374" i="34"/>
  <c r="F372" i="34"/>
  <c r="D372" i="34"/>
  <c r="F370" i="34"/>
  <c r="D370" i="34"/>
  <c r="H360" i="34"/>
  <c r="D360" i="34"/>
  <c r="H358" i="34"/>
  <c r="D358" i="34"/>
  <c r="H356" i="34"/>
  <c r="D356" i="34"/>
  <c r="D354" i="34"/>
  <c r="O342" i="34"/>
  <c r="M342" i="34"/>
  <c r="O340" i="34"/>
  <c r="M340" i="34"/>
  <c r="O338" i="34"/>
  <c r="M338" i="34"/>
  <c r="Q328" i="34"/>
  <c r="M328" i="34"/>
  <c r="Q326" i="34"/>
  <c r="M326" i="34"/>
  <c r="Q324" i="34"/>
  <c r="M324" i="34"/>
  <c r="M322" i="34"/>
  <c r="F342" i="34"/>
  <c r="D342" i="34"/>
  <c r="F340" i="34"/>
  <c r="D340" i="34"/>
  <c r="F338" i="34"/>
  <c r="D338" i="34"/>
  <c r="H328" i="34"/>
  <c r="D328" i="34"/>
  <c r="H326" i="34"/>
  <c r="D326" i="34"/>
  <c r="H324" i="34"/>
  <c r="D324" i="34"/>
  <c r="D322" i="34"/>
  <c r="O310" i="34"/>
  <c r="M310" i="34"/>
  <c r="O308" i="34"/>
  <c r="M308" i="34"/>
  <c r="O306" i="34"/>
  <c r="M306" i="34"/>
  <c r="Q296" i="34"/>
  <c r="M296" i="34"/>
  <c r="Q294" i="34"/>
  <c r="M294" i="34"/>
  <c r="Q292" i="34"/>
  <c r="M292" i="34"/>
  <c r="M290" i="34"/>
  <c r="F310" i="34"/>
  <c r="D310" i="34"/>
  <c r="F308" i="34"/>
  <c r="D308" i="34"/>
  <c r="F306" i="34"/>
  <c r="D306" i="34"/>
  <c r="H296" i="34"/>
  <c r="D296" i="34"/>
  <c r="H294" i="34"/>
  <c r="D294" i="34"/>
  <c r="H292" i="34"/>
  <c r="D292" i="34"/>
  <c r="D290" i="34"/>
  <c r="O278" i="34"/>
  <c r="M278" i="34"/>
  <c r="O276" i="34"/>
  <c r="M276" i="34"/>
  <c r="O274" i="34"/>
  <c r="M274" i="34"/>
  <c r="Q264" i="34"/>
  <c r="M264" i="34"/>
  <c r="Q262" i="34"/>
  <c r="M262" i="34"/>
  <c r="Q260" i="34"/>
  <c r="M260" i="34"/>
  <c r="M258" i="34"/>
  <c r="F278" i="34"/>
  <c r="D278" i="34"/>
  <c r="F276" i="34"/>
  <c r="D276" i="34"/>
  <c r="F274" i="34"/>
  <c r="D274" i="34"/>
  <c r="H264" i="34"/>
  <c r="D264" i="34"/>
  <c r="H262" i="34"/>
  <c r="D262" i="34"/>
  <c r="H260" i="34"/>
  <c r="D260" i="34"/>
  <c r="D258" i="34"/>
  <c r="O246" i="34"/>
  <c r="M246" i="34"/>
  <c r="O244" i="34"/>
  <c r="M244" i="34"/>
  <c r="O242" i="34"/>
  <c r="M242" i="34"/>
  <c r="Q232" i="34"/>
  <c r="M232" i="34"/>
  <c r="Q230" i="34"/>
  <c r="M230" i="34"/>
  <c r="Q228" i="34"/>
  <c r="M228" i="34"/>
  <c r="M226" i="34"/>
  <c r="F246" i="34"/>
  <c r="D246" i="34"/>
  <c r="F244" i="34"/>
  <c r="D244" i="34"/>
  <c r="F242" i="34"/>
  <c r="D242" i="34"/>
  <c r="H232" i="34"/>
  <c r="D232" i="34"/>
  <c r="H230" i="34"/>
  <c r="D230" i="34"/>
  <c r="H228" i="34"/>
  <c r="D228" i="34"/>
  <c r="D226" i="34"/>
  <c r="O214" i="34"/>
  <c r="M214" i="34"/>
  <c r="O212" i="34"/>
  <c r="M212" i="34"/>
  <c r="O210" i="34"/>
  <c r="M210" i="34"/>
  <c r="Q200" i="34"/>
  <c r="M200" i="34"/>
  <c r="Q198" i="34"/>
  <c r="M198" i="34"/>
  <c r="Q196" i="34"/>
  <c r="M196" i="34"/>
  <c r="M194" i="34"/>
  <c r="F214" i="34"/>
  <c r="D214" i="34"/>
  <c r="F212" i="34"/>
  <c r="D212" i="34"/>
  <c r="F210" i="34"/>
  <c r="D210" i="34"/>
  <c r="H200" i="34"/>
  <c r="D200" i="34"/>
  <c r="H198" i="34"/>
  <c r="D198" i="34"/>
  <c r="H196" i="34"/>
  <c r="D196" i="34"/>
  <c r="D194" i="34"/>
  <c r="O182" i="34"/>
  <c r="M182" i="34"/>
  <c r="O180" i="34"/>
  <c r="M180" i="34"/>
  <c r="O178" i="34"/>
  <c r="M178" i="34"/>
  <c r="Q168" i="34"/>
  <c r="M168" i="34"/>
  <c r="Q166" i="34"/>
  <c r="M166" i="34"/>
  <c r="Q164" i="34"/>
  <c r="M164" i="34"/>
  <c r="M162" i="34"/>
  <c r="F182" i="34"/>
  <c r="D182" i="34"/>
  <c r="F180" i="34"/>
  <c r="D180" i="34"/>
  <c r="F178" i="34"/>
  <c r="D178" i="34"/>
  <c r="H168" i="34"/>
  <c r="D168" i="34"/>
  <c r="H166" i="34"/>
  <c r="D166" i="34"/>
  <c r="H164" i="34"/>
  <c r="D164" i="34"/>
  <c r="D162" i="34"/>
  <c r="O150" i="34"/>
  <c r="M150" i="34"/>
  <c r="O148" i="34"/>
  <c r="M148" i="34"/>
  <c r="O146" i="34"/>
  <c r="M146" i="34"/>
  <c r="Q136" i="34"/>
  <c r="M136" i="34"/>
  <c r="Q134" i="34"/>
  <c r="M134" i="34"/>
  <c r="Q132" i="34"/>
  <c r="M132" i="34"/>
  <c r="M130" i="34"/>
  <c r="F150" i="34"/>
  <c r="D150" i="34"/>
  <c r="F148" i="34"/>
  <c r="D148" i="34"/>
  <c r="F146" i="34"/>
  <c r="D146" i="34"/>
  <c r="H136" i="34"/>
  <c r="D136" i="34"/>
  <c r="H134" i="34"/>
  <c r="D134" i="34"/>
  <c r="H132" i="34"/>
  <c r="D132" i="34"/>
  <c r="D130" i="34"/>
  <c r="O118" i="34"/>
  <c r="M118" i="34"/>
  <c r="O116" i="34"/>
  <c r="M116" i="34"/>
  <c r="O114" i="34"/>
  <c r="M114" i="34"/>
  <c r="Q104" i="34"/>
  <c r="M104" i="34"/>
  <c r="Q102" i="34"/>
  <c r="M102" i="34"/>
  <c r="Q100" i="34"/>
  <c r="M100" i="34"/>
  <c r="M98" i="34"/>
  <c r="F118" i="34"/>
  <c r="D118" i="34"/>
  <c r="F116" i="34"/>
  <c r="D116" i="34"/>
  <c r="F114" i="34"/>
  <c r="D114" i="34"/>
  <c r="H104" i="34"/>
  <c r="D104" i="34"/>
  <c r="H102" i="34"/>
  <c r="D102" i="34"/>
  <c r="H100" i="34"/>
  <c r="D100" i="34"/>
  <c r="D98" i="34"/>
  <c r="O86" i="34"/>
  <c r="M86" i="34"/>
  <c r="O84" i="34"/>
  <c r="M84" i="34"/>
  <c r="O82" i="34"/>
  <c r="M82" i="34"/>
  <c r="Q72" i="34"/>
  <c r="M72" i="34"/>
  <c r="Q70" i="34"/>
  <c r="M70" i="34"/>
  <c r="Q68" i="34"/>
  <c r="M68" i="34"/>
  <c r="M66" i="34"/>
  <c r="F86" i="34"/>
  <c r="D86" i="34"/>
  <c r="F84" i="34"/>
  <c r="D84" i="34"/>
  <c r="F82" i="34"/>
  <c r="D82" i="34"/>
  <c r="H72" i="34"/>
  <c r="D72" i="34"/>
  <c r="H70" i="34"/>
  <c r="D70" i="34"/>
  <c r="H68" i="34"/>
  <c r="D68" i="34"/>
  <c r="D66" i="34"/>
  <c r="O54" i="34"/>
  <c r="M54" i="34"/>
  <c r="O52" i="34"/>
  <c r="M52" i="34"/>
  <c r="O50" i="34"/>
  <c r="M50" i="34"/>
  <c r="Q40" i="34"/>
  <c r="M40" i="34"/>
  <c r="Q38" i="34"/>
  <c r="M38" i="34"/>
  <c r="F54" i="34"/>
  <c r="D54" i="34"/>
  <c r="F52" i="34"/>
  <c r="D52" i="34"/>
  <c r="F50" i="34"/>
  <c r="D50" i="34"/>
  <c r="H40" i="34"/>
  <c r="D40" i="34"/>
  <c r="H38" i="34"/>
  <c r="D38" i="34"/>
  <c r="Q36" i="34"/>
  <c r="M36" i="34"/>
  <c r="H36" i="34"/>
  <c r="D36" i="34"/>
  <c r="M34" i="34"/>
  <c r="D34" i="34"/>
  <c r="O22" i="34"/>
  <c r="M22" i="34"/>
  <c r="O20" i="34"/>
  <c r="M20" i="34"/>
  <c r="O18" i="34"/>
  <c r="M18" i="34"/>
  <c r="Q8" i="34"/>
  <c r="M8" i="34"/>
  <c r="Q6" i="34"/>
  <c r="M6" i="34"/>
  <c r="Q4" i="34"/>
  <c r="M4" i="34"/>
  <c r="M2" i="34"/>
  <c r="F91" i="94" l="1"/>
  <c r="F90" i="94"/>
  <c r="F89" i="94"/>
  <c r="F88" i="94"/>
  <c r="F87" i="94"/>
  <c r="F86" i="94"/>
  <c r="F100" i="94" s="1"/>
  <c r="F85" i="94"/>
  <c r="J92" i="94" s="1"/>
  <c r="F84" i="94"/>
  <c r="F83" i="94"/>
  <c r="F82" i="94"/>
  <c r="F81" i="94"/>
  <c r="H92" i="94" s="1"/>
  <c r="J77" i="94"/>
  <c r="F77" i="94"/>
  <c r="H78" i="94" s="1"/>
  <c r="F76" i="94"/>
  <c r="J78" i="94" s="1"/>
  <c r="F97" i="94" s="1"/>
  <c r="F73" i="94"/>
  <c r="N70" i="94"/>
  <c r="F70" i="94"/>
  <c r="N69" i="94"/>
  <c r="F69" i="94"/>
  <c r="N68" i="94"/>
  <c r="F68" i="94"/>
  <c r="N67" i="94"/>
  <c r="F67" i="94"/>
  <c r="H71" i="94" s="1"/>
  <c r="F96" i="94" s="1"/>
  <c r="N66" i="94"/>
  <c r="F66" i="94"/>
  <c r="N65" i="94"/>
  <c r="F65" i="94"/>
  <c r="P71" i="94" s="1"/>
  <c r="N64" i="94"/>
  <c r="F64" i="94"/>
  <c r="L71" i="94" s="1"/>
  <c r="N63" i="94"/>
  <c r="F63" i="94"/>
  <c r="N71" i="94" s="1"/>
  <c r="F98" i="94" s="1"/>
  <c r="V48" i="94"/>
  <c r="V38" i="94"/>
  <c r="V36" i="94"/>
  <c r="H24" i="94"/>
  <c r="V22" i="94"/>
  <c r="V18" i="94"/>
  <c r="N8" i="94"/>
  <c r="V6" i="94"/>
  <c r="P2" i="94" s="1"/>
  <c r="V4" i="94"/>
  <c r="F91" i="93"/>
  <c r="F90" i="93"/>
  <c r="F89" i="93"/>
  <c r="F88" i="93"/>
  <c r="F87" i="93"/>
  <c r="F86" i="93"/>
  <c r="F100" i="93" s="1"/>
  <c r="F85" i="93"/>
  <c r="L92" i="93" s="1"/>
  <c r="F84" i="93"/>
  <c r="F83" i="93"/>
  <c r="F82" i="93"/>
  <c r="F81" i="93"/>
  <c r="H92" i="93" s="1"/>
  <c r="J77" i="93"/>
  <c r="F77" i="93"/>
  <c r="H78" i="93" s="1"/>
  <c r="F76" i="93"/>
  <c r="F73" i="93"/>
  <c r="N68" i="93" s="1"/>
  <c r="H71" i="93"/>
  <c r="N70" i="93"/>
  <c r="F70" i="93"/>
  <c r="N69" i="93"/>
  <c r="F69" i="93"/>
  <c r="F68" i="93"/>
  <c r="N67" i="93"/>
  <c r="F67" i="93"/>
  <c r="J71" i="93" s="1"/>
  <c r="F95" i="93" s="1"/>
  <c r="N66" i="93"/>
  <c r="F66" i="93"/>
  <c r="N65" i="93"/>
  <c r="F65" i="93"/>
  <c r="F64" i="93"/>
  <c r="P71" i="93" s="1"/>
  <c r="N63" i="93"/>
  <c r="F63" i="93"/>
  <c r="V48" i="93"/>
  <c r="V38" i="93"/>
  <c r="V36" i="93"/>
  <c r="H24" i="93"/>
  <c r="V22" i="93"/>
  <c r="V18" i="93"/>
  <c r="F12" i="93"/>
  <c r="N10" i="93"/>
  <c r="F10" i="93"/>
  <c r="N8" i="93"/>
  <c r="V6" i="93"/>
  <c r="V4" i="93"/>
  <c r="P2" i="93"/>
  <c r="F8" i="93" s="1"/>
  <c r="F91" i="92"/>
  <c r="F90" i="92"/>
  <c r="F89" i="92"/>
  <c r="F88" i="92"/>
  <c r="F87" i="92"/>
  <c r="F86" i="92"/>
  <c r="F100" i="92" s="1"/>
  <c r="F85" i="92"/>
  <c r="J92" i="92" s="1"/>
  <c r="F84" i="92"/>
  <c r="F83" i="92"/>
  <c r="F82" i="92"/>
  <c r="F81" i="92"/>
  <c r="H92" i="92" s="1"/>
  <c r="J77" i="92"/>
  <c r="F77" i="92"/>
  <c r="J78" i="92" s="1"/>
  <c r="F97" i="92" s="1"/>
  <c r="F76" i="92"/>
  <c r="F73" i="92"/>
  <c r="H71" i="92"/>
  <c r="N70" i="92"/>
  <c r="F70" i="92"/>
  <c r="N69" i="92"/>
  <c r="F69" i="92"/>
  <c r="N68" i="92"/>
  <c r="F68" i="92"/>
  <c r="N67" i="92"/>
  <c r="F67" i="92"/>
  <c r="J71" i="92" s="1"/>
  <c r="F95" i="92" s="1"/>
  <c r="N66" i="92"/>
  <c r="F66" i="92"/>
  <c r="N65" i="92"/>
  <c r="F65" i="92"/>
  <c r="N64" i="92"/>
  <c r="F64" i="92"/>
  <c r="P71" i="92" s="1"/>
  <c r="N63" i="92"/>
  <c r="F63" i="92"/>
  <c r="N71" i="92" s="1"/>
  <c r="F98" i="92" s="1"/>
  <c r="V48" i="92"/>
  <c r="V38" i="92"/>
  <c r="V36" i="92"/>
  <c r="H24" i="92"/>
  <c r="V22" i="92"/>
  <c r="V18" i="92"/>
  <c r="F12" i="92"/>
  <c r="N10" i="92"/>
  <c r="F10" i="92"/>
  <c r="N8" i="92"/>
  <c r="V6" i="92"/>
  <c r="V4" i="92"/>
  <c r="P2" i="92"/>
  <c r="F8" i="92" s="1"/>
  <c r="F91" i="91"/>
  <c r="F90" i="91"/>
  <c r="F89" i="91"/>
  <c r="F88" i="91"/>
  <c r="F87" i="91"/>
  <c r="F86" i="91"/>
  <c r="F100" i="91" s="1"/>
  <c r="F85" i="91"/>
  <c r="L92" i="91" s="1"/>
  <c r="F84" i="91"/>
  <c r="F83" i="91"/>
  <c r="F82" i="91"/>
  <c r="F81" i="91"/>
  <c r="H92" i="91" s="1"/>
  <c r="J77" i="91"/>
  <c r="F77" i="91"/>
  <c r="J78" i="91" s="1"/>
  <c r="F97" i="91" s="1"/>
  <c r="F76" i="91"/>
  <c r="F73" i="91"/>
  <c r="N68" i="91" s="1"/>
  <c r="H71" i="91"/>
  <c r="N70" i="91"/>
  <c r="F70" i="91"/>
  <c r="N69" i="91"/>
  <c r="F69" i="91"/>
  <c r="F68" i="91"/>
  <c r="N67" i="91"/>
  <c r="F67" i="91"/>
  <c r="J71" i="91" s="1"/>
  <c r="F95" i="91" s="1"/>
  <c r="N66" i="91"/>
  <c r="F66" i="91"/>
  <c r="N65" i="91"/>
  <c r="F65" i="91"/>
  <c r="P71" i="91" s="1"/>
  <c r="F64" i="91"/>
  <c r="L71" i="91" s="1"/>
  <c r="N63" i="91"/>
  <c r="F63" i="91"/>
  <c r="V48" i="91"/>
  <c r="V38" i="91"/>
  <c r="V36" i="91"/>
  <c r="H24" i="91"/>
  <c r="V22" i="91"/>
  <c r="V18" i="91"/>
  <c r="N8" i="91"/>
  <c r="V6" i="91"/>
  <c r="P2" i="91" s="1"/>
  <c r="V4" i="91"/>
  <c r="F91" i="90"/>
  <c r="F90" i="90"/>
  <c r="F89" i="90"/>
  <c r="F88" i="90"/>
  <c r="F87" i="90"/>
  <c r="F86" i="90"/>
  <c r="F100" i="90" s="1"/>
  <c r="F85" i="90"/>
  <c r="J92" i="90" s="1"/>
  <c r="F84" i="90"/>
  <c r="F83" i="90"/>
  <c r="F82" i="90"/>
  <c r="F81" i="90"/>
  <c r="H92" i="90" s="1"/>
  <c r="J77" i="90"/>
  <c r="F77" i="90"/>
  <c r="J78" i="90" s="1"/>
  <c r="F97" i="90" s="1"/>
  <c r="F76" i="90"/>
  <c r="F73" i="90"/>
  <c r="N70" i="90"/>
  <c r="F70" i="90"/>
  <c r="N69" i="90"/>
  <c r="F69" i="90"/>
  <c r="N68" i="90"/>
  <c r="F68" i="90"/>
  <c r="N67" i="90"/>
  <c r="F67" i="90"/>
  <c r="H71" i="90" s="1"/>
  <c r="N66" i="90"/>
  <c r="F66" i="90"/>
  <c r="N65" i="90"/>
  <c r="F65" i="90"/>
  <c r="P71" i="90" s="1"/>
  <c r="N64" i="90"/>
  <c r="F64" i="90"/>
  <c r="L71" i="90" s="1"/>
  <c r="N63" i="90"/>
  <c r="F63" i="90"/>
  <c r="N71" i="90" s="1"/>
  <c r="F98" i="90" s="1"/>
  <c r="V48" i="90"/>
  <c r="V38" i="90"/>
  <c r="V36" i="90"/>
  <c r="H24" i="90"/>
  <c r="V22" i="90"/>
  <c r="V18" i="90"/>
  <c r="N8" i="90"/>
  <c r="V6" i="90"/>
  <c r="P2" i="90" s="1"/>
  <c r="V4" i="90"/>
  <c r="F100" i="89"/>
  <c r="F91" i="89"/>
  <c r="F90" i="89"/>
  <c r="F89" i="89"/>
  <c r="F88" i="89"/>
  <c r="F87" i="89"/>
  <c r="F86" i="89"/>
  <c r="F85" i="89"/>
  <c r="J92" i="89" s="1"/>
  <c r="F84" i="89"/>
  <c r="H92" i="89" s="1"/>
  <c r="F83" i="89"/>
  <c r="F82" i="89"/>
  <c r="F81" i="89"/>
  <c r="J77" i="89"/>
  <c r="F77" i="89"/>
  <c r="F76" i="89"/>
  <c r="H78" i="89" s="1"/>
  <c r="F73" i="89"/>
  <c r="N68" i="89" s="1"/>
  <c r="N70" i="89"/>
  <c r="F70" i="89"/>
  <c r="N69" i="89"/>
  <c r="F69" i="89"/>
  <c r="F68" i="89"/>
  <c r="N67" i="89"/>
  <c r="F67" i="89"/>
  <c r="N66" i="89"/>
  <c r="F66" i="89"/>
  <c r="H71" i="89" s="1"/>
  <c r="N65" i="89"/>
  <c r="F65" i="89"/>
  <c r="P71" i="89" s="1"/>
  <c r="F64" i="89"/>
  <c r="L71" i="89" s="1"/>
  <c r="N63" i="89"/>
  <c r="F63" i="89"/>
  <c r="V48" i="89"/>
  <c r="V38" i="89"/>
  <c r="V36" i="89"/>
  <c r="H24" i="89"/>
  <c r="V22" i="89"/>
  <c r="V18" i="89"/>
  <c r="N8" i="89"/>
  <c r="V6" i="89"/>
  <c r="P2" i="89" s="1"/>
  <c r="V4" i="89"/>
  <c r="J92" i="88"/>
  <c r="F91" i="88"/>
  <c r="F90" i="88"/>
  <c r="F89" i="88"/>
  <c r="F88" i="88"/>
  <c r="F87" i="88"/>
  <c r="F86" i="88"/>
  <c r="F100" i="88" s="1"/>
  <c r="F85" i="88"/>
  <c r="L92" i="88" s="1"/>
  <c r="F84" i="88"/>
  <c r="F83" i="88"/>
  <c r="F82" i="88"/>
  <c r="F81" i="88"/>
  <c r="H92" i="88" s="1"/>
  <c r="J77" i="88"/>
  <c r="F77" i="88"/>
  <c r="H78" i="88" s="1"/>
  <c r="F76" i="88"/>
  <c r="F73" i="88"/>
  <c r="N68" i="88" s="1"/>
  <c r="H71" i="88"/>
  <c r="N70" i="88"/>
  <c r="F70" i="88"/>
  <c r="N69" i="88"/>
  <c r="F69" i="88"/>
  <c r="F68" i="88"/>
  <c r="N67" i="88"/>
  <c r="F67" i="88"/>
  <c r="J71" i="88" s="1"/>
  <c r="F95" i="88" s="1"/>
  <c r="N66" i="88"/>
  <c r="F66" i="88"/>
  <c r="N65" i="88"/>
  <c r="F65" i="88"/>
  <c r="F64" i="88"/>
  <c r="P71" i="88" s="1"/>
  <c r="N63" i="88"/>
  <c r="F63" i="88"/>
  <c r="V48" i="88"/>
  <c r="V38" i="88"/>
  <c r="V36" i="88"/>
  <c r="H24" i="88"/>
  <c r="V22" i="88"/>
  <c r="V18" i="88"/>
  <c r="F12" i="88"/>
  <c r="N10" i="88"/>
  <c r="F10" i="88"/>
  <c r="N8" i="88"/>
  <c r="V6" i="88"/>
  <c r="V4" i="88"/>
  <c r="P2" i="88"/>
  <c r="F8" i="88" s="1"/>
  <c r="F91" i="87"/>
  <c r="F90" i="87"/>
  <c r="F89" i="87"/>
  <c r="F88" i="87"/>
  <c r="F87" i="87"/>
  <c r="F86" i="87"/>
  <c r="L92" i="87" s="1"/>
  <c r="F85" i="87"/>
  <c r="F84" i="87"/>
  <c r="F83" i="87"/>
  <c r="F82" i="87"/>
  <c r="H92" i="87" s="1"/>
  <c r="F81" i="87"/>
  <c r="J92" i="87" s="1"/>
  <c r="H78" i="87"/>
  <c r="J77" i="87"/>
  <c r="F77" i="87"/>
  <c r="F76" i="87"/>
  <c r="J78" i="87" s="1"/>
  <c r="F97" i="87" s="1"/>
  <c r="F73" i="87"/>
  <c r="N68" i="87" s="1"/>
  <c r="H71" i="87"/>
  <c r="N70" i="87"/>
  <c r="F70" i="87"/>
  <c r="N69" i="87"/>
  <c r="F69" i="87"/>
  <c r="F68" i="87"/>
  <c r="N67" i="87"/>
  <c r="F67" i="87"/>
  <c r="J71" i="87" s="1"/>
  <c r="F95" i="87" s="1"/>
  <c r="N66" i="87"/>
  <c r="F66" i="87"/>
  <c r="N65" i="87"/>
  <c r="F65" i="87"/>
  <c r="F64" i="87"/>
  <c r="P71" i="87" s="1"/>
  <c r="F99" i="87" s="1"/>
  <c r="N63" i="87"/>
  <c r="F63" i="87"/>
  <c r="V48" i="87"/>
  <c r="V38" i="87"/>
  <c r="V36" i="87"/>
  <c r="H24" i="87"/>
  <c r="V22" i="87"/>
  <c r="V18" i="87"/>
  <c r="N8" i="87"/>
  <c r="V6" i="87"/>
  <c r="P2" i="87" s="1"/>
  <c r="V4" i="87"/>
  <c r="D277" i="59"/>
  <c r="D276" i="59"/>
  <c r="BD50" i="59" s="1"/>
  <c r="D275" i="59"/>
  <c r="B275" i="59"/>
  <c r="Q273" i="59"/>
  <c r="O273" i="59"/>
  <c r="M273" i="59"/>
  <c r="AZ272" i="59"/>
  <c r="AY272" i="59"/>
  <c r="AW272" i="59"/>
  <c r="AV272" i="59"/>
  <c r="AN272" i="59"/>
  <c r="Q272" i="59"/>
  <c r="O272" i="59"/>
  <c r="M272" i="59"/>
  <c r="AZ271" i="59"/>
  <c r="AY271" i="59"/>
  <c r="AW271" i="59"/>
  <c r="AV271" i="59"/>
  <c r="Q271" i="59"/>
  <c r="O271" i="59"/>
  <c r="M271" i="59"/>
  <c r="AZ270" i="59"/>
  <c r="AY270" i="59"/>
  <c r="AW270" i="59"/>
  <c r="AV270" i="59"/>
  <c r="AN270" i="59"/>
  <c r="Q270" i="59"/>
  <c r="O270" i="59"/>
  <c r="M270" i="59"/>
  <c r="AZ269" i="59"/>
  <c r="AY269" i="59"/>
  <c r="AW269" i="59"/>
  <c r="AV269" i="59"/>
  <c r="Q269" i="59"/>
  <c r="O269" i="59"/>
  <c r="M269" i="59"/>
  <c r="AZ268" i="59"/>
  <c r="AY268" i="59"/>
  <c r="AW268" i="59"/>
  <c r="AV268" i="59"/>
  <c r="AN268" i="59"/>
  <c r="Q268" i="59"/>
  <c r="O268" i="59"/>
  <c r="M268" i="59"/>
  <c r="AZ267" i="59"/>
  <c r="AY267" i="59"/>
  <c r="AW267" i="59"/>
  <c r="AV267" i="59"/>
  <c r="Q267" i="59"/>
  <c r="O267" i="59"/>
  <c r="M267" i="59"/>
  <c r="AZ266" i="59"/>
  <c r="AY266" i="59"/>
  <c r="AW266" i="59"/>
  <c r="AV266" i="59"/>
  <c r="AN266" i="59"/>
  <c r="Q266" i="59"/>
  <c r="O266" i="59"/>
  <c r="M266" i="59"/>
  <c r="AZ265" i="59"/>
  <c r="AY265" i="59"/>
  <c r="AW265" i="59"/>
  <c r="AV265" i="59"/>
  <c r="Q265" i="59"/>
  <c r="O265" i="59"/>
  <c r="M265" i="59"/>
  <c r="AZ264" i="59"/>
  <c r="AY264" i="59"/>
  <c r="AW264" i="59"/>
  <c r="AV264" i="59"/>
  <c r="AN264" i="59"/>
  <c r="Q264" i="59"/>
  <c r="O264" i="59"/>
  <c r="M264" i="59"/>
  <c r="AZ263" i="59"/>
  <c r="AY263" i="59"/>
  <c r="AW263" i="59"/>
  <c r="AV263" i="59"/>
  <c r="Q263" i="59"/>
  <c r="O263" i="59"/>
  <c r="M263" i="59"/>
  <c r="AZ262" i="59"/>
  <c r="AY262" i="59"/>
  <c r="AW262" i="59"/>
  <c r="AV262" i="59"/>
  <c r="AN262" i="59"/>
  <c r="Q262" i="59"/>
  <c r="O262" i="59"/>
  <c r="M262" i="59"/>
  <c r="AZ261" i="59"/>
  <c r="AW261" i="59"/>
  <c r="Q261" i="59"/>
  <c r="O261" i="59"/>
  <c r="M261" i="59"/>
  <c r="AZ260" i="59"/>
  <c r="AN260" i="59"/>
  <c r="Q260" i="59"/>
  <c r="O260" i="59"/>
  <c r="M260" i="59"/>
  <c r="AZ259" i="59"/>
  <c r="AY259" i="59"/>
  <c r="AW259" i="59"/>
  <c r="AV259" i="59"/>
  <c r="Q259" i="59"/>
  <c r="O259" i="59"/>
  <c r="M259" i="59"/>
  <c r="AZ258" i="59"/>
  <c r="AV258" i="59"/>
  <c r="AN258" i="59"/>
  <c r="Q258" i="59"/>
  <c r="O258" i="59"/>
  <c r="M258" i="59"/>
  <c r="AZ257" i="59"/>
  <c r="Q257" i="59"/>
  <c r="O257" i="59"/>
  <c r="M257" i="59"/>
  <c r="AZ256" i="59"/>
  <c r="AN256" i="59"/>
  <c r="Q256" i="59"/>
  <c r="O256" i="59"/>
  <c r="M256" i="59"/>
  <c r="AZ255" i="59"/>
  <c r="Q255" i="59"/>
  <c r="O255" i="59"/>
  <c r="M255" i="59"/>
  <c r="AZ254" i="59"/>
  <c r="AY254" i="59"/>
  <c r="AN254" i="59"/>
  <c r="Q254" i="59"/>
  <c r="O254" i="59"/>
  <c r="M254" i="59"/>
  <c r="AZ253" i="59"/>
  <c r="AY253" i="59"/>
  <c r="AW253" i="59"/>
  <c r="AV253" i="59"/>
  <c r="Q253" i="59"/>
  <c r="O253" i="59"/>
  <c r="M253" i="59"/>
  <c r="AZ252" i="59"/>
  <c r="AY252" i="59"/>
  <c r="AW252" i="59"/>
  <c r="AV252" i="59"/>
  <c r="AN252" i="59"/>
  <c r="Q252" i="59"/>
  <c r="O252" i="59"/>
  <c r="M252" i="59"/>
  <c r="AZ251" i="59"/>
  <c r="AY251" i="59"/>
  <c r="AW251" i="59"/>
  <c r="AV251" i="59"/>
  <c r="Q251" i="59"/>
  <c r="O251" i="59"/>
  <c r="M251" i="59"/>
  <c r="AZ250" i="59"/>
  <c r="AY250" i="59"/>
  <c r="AW250" i="59"/>
  <c r="AV250" i="59"/>
  <c r="AN250" i="59"/>
  <c r="Q250" i="59"/>
  <c r="O250" i="59"/>
  <c r="M250" i="59"/>
  <c r="AZ249" i="59"/>
  <c r="AY249" i="59"/>
  <c r="AW249" i="59"/>
  <c r="AV249" i="59"/>
  <c r="Q249" i="59"/>
  <c r="O249" i="59"/>
  <c r="M249" i="59"/>
  <c r="AZ248" i="59"/>
  <c r="AY248" i="59"/>
  <c r="AW248" i="59"/>
  <c r="AV248" i="59"/>
  <c r="AN248" i="59"/>
  <c r="Q248" i="59"/>
  <c r="O248" i="59"/>
  <c r="M248" i="59"/>
  <c r="AZ247" i="59"/>
  <c r="AY247" i="59"/>
  <c r="AW247" i="59"/>
  <c r="AV247" i="59"/>
  <c r="Q247" i="59"/>
  <c r="O247" i="59"/>
  <c r="M247" i="59"/>
  <c r="AZ246" i="59"/>
  <c r="AY246" i="59"/>
  <c r="AW246" i="59"/>
  <c r="AV246" i="59"/>
  <c r="AN246" i="59"/>
  <c r="Q246" i="59"/>
  <c r="Q275" i="59" s="1"/>
  <c r="O246" i="59"/>
  <c r="M246" i="59"/>
  <c r="AZ245" i="59"/>
  <c r="AY245" i="59"/>
  <c r="AW245" i="59"/>
  <c r="AV245" i="59"/>
  <c r="Q245" i="59"/>
  <c r="O245" i="59"/>
  <c r="M245" i="59"/>
  <c r="AZ244" i="59"/>
  <c r="AY244" i="59"/>
  <c r="AW244" i="59"/>
  <c r="AV244" i="59"/>
  <c r="AN244" i="59"/>
  <c r="Q244" i="59"/>
  <c r="O244" i="59"/>
  <c r="M244" i="59"/>
  <c r="AZ243" i="59"/>
  <c r="AY243" i="59"/>
  <c r="AW243" i="59"/>
  <c r="AV243" i="59"/>
  <c r="Q243" i="59"/>
  <c r="O243" i="59"/>
  <c r="M243" i="59"/>
  <c r="AZ242" i="59"/>
  <c r="AY242" i="59"/>
  <c r="AW242" i="59"/>
  <c r="AV242" i="59"/>
  <c r="AN242" i="59"/>
  <c r="Q242" i="59"/>
  <c r="O242" i="59"/>
  <c r="M242" i="59"/>
  <c r="AZ241" i="59"/>
  <c r="AY241" i="59"/>
  <c r="AW241" i="59"/>
  <c r="AV241" i="59"/>
  <c r="Q241" i="59"/>
  <c r="O241" i="59"/>
  <c r="M241" i="59"/>
  <c r="AZ240" i="59"/>
  <c r="AY240" i="59"/>
  <c r="AW240" i="59"/>
  <c r="AV240" i="59"/>
  <c r="AN240" i="59"/>
  <c r="Q240" i="59"/>
  <c r="O240" i="59"/>
  <c r="M240" i="59"/>
  <c r="AZ239" i="59"/>
  <c r="AY239" i="59"/>
  <c r="AW239" i="59"/>
  <c r="AV239" i="59"/>
  <c r="Q239" i="59"/>
  <c r="O239" i="59"/>
  <c r="M239" i="59"/>
  <c r="AZ238" i="59"/>
  <c r="AY238" i="59"/>
  <c r="AW238" i="59"/>
  <c r="AV238" i="59"/>
  <c r="AN238" i="59"/>
  <c r="Q238" i="59"/>
  <c r="O238" i="59"/>
  <c r="M238" i="59"/>
  <c r="AZ237" i="59"/>
  <c r="AY237" i="59"/>
  <c r="AW237" i="59"/>
  <c r="AV237" i="59"/>
  <c r="Q237" i="59"/>
  <c r="O237" i="59"/>
  <c r="M237" i="59"/>
  <c r="AZ236" i="59"/>
  <c r="AY236" i="59"/>
  <c r="AW236" i="59"/>
  <c r="AV236" i="59"/>
  <c r="AN236" i="59"/>
  <c r="Q236" i="59"/>
  <c r="O236" i="59"/>
  <c r="M236" i="59"/>
  <c r="AZ235" i="59"/>
  <c r="AY235" i="59"/>
  <c r="AW235" i="59"/>
  <c r="AV235" i="59"/>
  <c r="Q235" i="59"/>
  <c r="O235" i="59"/>
  <c r="M235" i="59"/>
  <c r="AZ234" i="59"/>
  <c r="AY234" i="59"/>
  <c r="AW234" i="59"/>
  <c r="AV234" i="59"/>
  <c r="AN234" i="59"/>
  <c r="Q234" i="59"/>
  <c r="O234" i="59"/>
  <c r="O275" i="59" s="1"/>
  <c r="AN92" i="59" s="1"/>
  <c r="D8" i="59" s="1"/>
  <c r="M234" i="59"/>
  <c r="AT234" i="59" s="1"/>
  <c r="H181" i="59"/>
  <c r="AV261" i="59" s="1"/>
  <c r="H180" i="59"/>
  <c r="AV260" i="59" s="1"/>
  <c r="H179" i="59"/>
  <c r="H178" i="59"/>
  <c r="AY258" i="59" s="1"/>
  <c r="H177" i="59"/>
  <c r="H176" i="59"/>
  <c r="AY257" i="59" s="1"/>
  <c r="H175" i="59"/>
  <c r="AY256" i="59" s="1"/>
  <c r="H174" i="59"/>
  <c r="H173" i="59"/>
  <c r="H172" i="59"/>
  <c r="AY255" i="59" s="1"/>
  <c r="H171" i="59"/>
  <c r="H170" i="59"/>
  <c r="AW254" i="59" s="1"/>
  <c r="H169" i="59"/>
  <c r="H168" i="59"/>
  <c r="H167" i="59"/>
  <c r="H166" i="59"/>
  <c r="H165" i="59"/>
  <c r="H164" i="59"/>
  <c r="H163" i="59"/>
  <c r="H162" i="59"/>
  <c r="H161" i="59"/>
  <c r="H160" i="59"/>
  <c r="H159" i="59"/>
  <c r="H158" i="59"/>
  <c r="H157" i="59"/>
  <c r="H156" i="59"/>
  <c r="H155" i="59"/>
  <c r="H154" i="59"/>
  <c r="H153" i="59"/>
  <c r="H152" i="59"/>
  <c r="H151" i="59"/>
  <c r="H150" i="59"/>
  <c r="H149" i="59"/>
  <c r="H148" i="59"/>
  <c r="H147" i="59"/>
  <c r="H146" i="59"/>
  <c r="H145" i="59"/>
  <c r="H144" i="59"/>
  <c r="H143" i="59"/>
  <c r="H142" i="59"/>
  <c r="H141" i="59"/>
  <c r="H140" i="59"/>
  <c r="H139" i="59"/>
  <c r="H138" i="59"/>
  <c r="H137" i="59"/>
  <c r="H136" i="59"/>
  <c r="H135" i="59"/>
  <c r="H134" i="59"/>
  <c r="H133" i="59"/>
  <c r="H132" i="59"/>
  <c r="H131" i="59"/>
  <c r="H130" i="59"/>
  <c r="H129" i="59"/>
  <c r="H128" i="59"/>
  <c r="H127" i="59"/>
  <c r="H126" i="59"/>
  <c r="H125" i="59"/>
  <c r="H124" i="59"/>
  <c r="H123" i="59"/>
  <c r="H122" i="59"/>
  <c r="H121" i="59"/>
  <c r="H120" i="59"/>
  <c r="H119" i="59"/>
  <c r="H118" i="59"/>
  <c r="H117" i="59"/>
  <c r="H116" i="59"/>
  <c r="H115" i="59"/>
  <c r="H114" i="59"/>
  <c r="H113" i="59"/>
  <c r="H112" i="59"/>
  <c r="H111" i="59"/>
  <c r="H110" i="59"/>
  <c r="H109" i="59"/>
  <c r="H108" i="59"/>
  <c r="B187" i="59" s="1" a="1"/>
  <c r="B187" i="59" s="1"/>
  <c r="H107" i="59"/>
  <c r="H106" i="59"/>
  <c r="H105" i="59"/>
  <c r="H104" i="59"/>
  <c r="H103" i="59"/>
  <c r="B188" i="59" s="1" a="1"/>
  <c r="B188" i="59" s="1"/>
  <c r="BS92" i="59"/>
  <c r="BU90" i="59"/>
  <c r="BT90" i="59"/>
  <c r="BS90" i="59"/>
  <c r="BR90" i="59"/>
  <c r="BQ90" i="59"/>
  <c r="BP90" i="59"/>
  <c r="BO90" i="59"/>
  <c r="BN90" i="59"/>
  <c r="BM90" i="59"/>
  <c r="BL90" i="59"/>
  <c r="BK90" i="59"/>
  <c r="AU90" i="59"/>
  <c r="AR90" i="59"/>
  <c r="AQ90" i="59"/>
  <c r="AO90" i="59"/>
  <c r="AN90" i="59"/>
  <c r="AM90" i="59"/>
  <c r="BQ89" i="59"/>
  <c r="BP89" i="59"/>
  <c r="BO89" i="59"/>
  <c r="BN89" i="59"/>
  <c r="BM89" i="59"/>
  <c r="BL89" i="59"/>
  <c r="BK89" i="59"/>
  <c r="AU89" i="59"/>
  <c r="AR89" i="59"/>
  <c r="AQ89" i="59"/>
  <c r="AO89" i="59"/>
  <c r="AN89" i="59"/>
  <c r="AM89" i="59"/>
  <c r="BU88" i="59"/>
  <c r="BT88" i="59"/>
  <c r="BT92" i="59" s="1"/>
  <c r="BS88" i="59"/>
  <c r="BR88" i="59"/>
  <c r="BQ88" i="59"/>
  <c r="BP88" i="59"/>
  <c r="BO88" i="59"/>
  <c r="BN88" i="59"/>
  <c r="BM88" i="59"/>
  <c r="BL88" i="59"/>
  <c r="BK88" i="59"/>
  <c r="AU88" i="59"/>
  <c r="AR88" i="59"/>
  <c r="AQ88" i="59"/>
  <c r="AO88" i="59"/>
  <c r="AN88" i="59"/>
  <c r="AM88" i="59"/>
  <c r="BQ87" i="59"/>
  <c r="BQ92" i="59" s="1"/>
  <c r="BP87" i="59"/>
  <c r="BO87" i="59"/>
  <c r="BN87" i="59"/>
  <c r="BM87" i="59"/>
  <c r="BL87" i="59"/>
  <c r="BK87" i="59"/>
  <c r="AU87" i="59"/>
  <c r="AR87" i="59"/>
  <c r="AQ87" i="59"/>
  <c r="AO87" i="59"/>
  <c r="AN87" i="59"/>
  <c r="AM87" i="59"/>
  <c r="BU86" i="59"/>
  <c r="BU92" i="59" s="1"/>
  <c r="BT86" i="59"/>
  <c r="BS86" i="59"/>
  <c r="BR86" i="59"/>
  <c r="BR92" i="59" s="1"/>
  <c r="BQ86" i="59"/>
  <c r="BP86" i="59"/>
  <c r="BO86" i="59"/>
  <c r="BN86" i="59"/>
  <c r="BM86" i="59"/>
  <c r="BL86" i="59"/>
  <c r="BK86" i="59"/>
  <c r="AU86" i="59"/>
  <c r="AR86" i="59"/>
  <c r="AQ86" i="59"/>
  <c r="AO86" i="59"/>
  <c r="AN86" i="59"/>
  <c r="AM86" i="59"/>
  <c r="BP82" i="59"/>
  <c r="BO82" i="59"/>
  <c r="BN82" i="59"/>
  <c r="BM82" i="59"/>
  <c r="BL82" i="59"/>
  <c r="BK82" i="59"/>
  <c r="BJ82" i="59"/>
  <c r="BI82" i="59"/>
  <c r="BH82" i="59"/>
  <c r="BG82" i="59"/>
  <c r="BF82" i="59"/>
  <c r="BE82" i="59"/>
  <c r="BD82" i="59"/>
  <c r="BC82" i="59"/>
  <c r="BB82" i="59"/>
  <c r="BA82" i="59"/>
  <c r="AZ82" i="59"/>
  <c r="AY82" i="59"/>
  <c r="AX82" i="59"/>
  <c r="AW82" i="59"/>
  <c r="AV82" i="59"/>
  <c r="AU82" i="59"/>
  <c r="AT82" i="59"/>
  <c r="AS82" i="59"/>
  <c r="AR82" i="59"/>
  <c r="AQ82" i="59"/>
  <c r="AP82" i="59"/>
  <c r="AO82" i="59"/>
  <c r="AN82" i="59"/>
  <c r="AM82" i="59"/>
  <c r="BP80" i="59"/>
  <c r="BO80" i="59"/>
  <c r="BN80" i="59"/>
  <c r="BM80" i="59"/>
  <c r="BL80" i="59"/>
  <c r="BK80" i="59"/>
  <c r="BJ80" i="59"/>
  <c r="BI80" i="59"/>
  <c r="BH80" i="59"/>
  <c r="BG80" i="59"/>
  <c r="BF80" i="59"/>
  <c r="BE80" i="59"/>
  <c r="BD80" i="59"/>
  <c r="BC80" i="59"/>
  <c r="BB80" i="59"/>
  <c r="BA80" i="59"/>
  <c r="AZ80" i="59"/>
  <c r="AY80" i="59"/>
  <c r="AX80" i="59"/>
  <c r="AW80" i="59"/>
  <c r="AV80" i="59"/>
  <c r="AU80" i="59"/>
  <c r="AT80" i="59"/>
  <c r="AS80" i="59"/>
  <c r="AR80" i="59"/>
  <c r="AQ80" i="59"/>
  <c r="AP80" i="59"/>
  <c r="AO80" i="59"/>
  <c r="AN80" i="59"/>
  <c r="AM80" i="59"/>
  <c r="BP78" i="59"/>
  <c r="BO78" i="59"/>
  <c r="BN78" i="59"/>
  <c r="BM78" i="59"/>
  <c r="BL78" i="59"/>
  <c r="BK78" i="59"/>
  <c r="BJ78" i="59"/>
  <c r="BI78" i="59"/>
  <c r="BH78" i="59"/>
  <c r="BG78" i="59"/>
  <c r="BF78" i="59"/>
  <c r="BE78" i="59"/>
  <c r="BD78" i="59"/>
  <c r="BC78" i="59"/>
  <c r="BB78" i="59"/>
  <c r="BA78" i="59"/>
  <c r="AZ78" i="59"/>
  <c r="AY78" i="59"/>
  <c r="AX78" i="59"/>
  <c r="AW78" i="59"/>
  <c r="AV78" i="59"/>
  <c r="AU78" i="59"/>
  <c r="AT78" i="59"/>
  <c r="AS78" i="59"/>
  <c r="AR78" i="59"/>
  <c r="AQ78" i="59"/>
  <c r="AP78" i="59"/>
  <c r="AO78" i="59"/>
  <c r="AN78" i="59"/>
  <c r="AM78" i="59"/>
  <c r="BP74" i="59"/>
  <c r="BO74" i="59"/>
  <c r="BN74" i="59"/>
  <c r="BM74" i="59"/>
  <c r="BL74" i="59"/>
  <c r="BK74" i="59"/>
  <c r="BJ74" i="59"/>
  <c r="BI74" i="59"/>
  <c r="BH74" i="59"/>
  <c r="BG74" i="59"/>
  <c r="BF74" i="59"/>
  <c r="BE74" i="59"/>
  <c r="BD74" i="59"/>
  <c r="BC74" i="59"/>
  <c r="BB74" i="59"/>
  <c r="BA74" i="59"/>
  <c r="AZ74" i="59"/>
  <c r="AY74" i="59"/>
  <c r="AX74" i="59"/>
  <c r="AW74" i="59"/>
  <c r="AV74" i="59"/>
  <c r="AU74" i="59"/>
  <c r="AT74" i="59"/>
  <c r="AS74" i="59"/>
  <c r="AR74" i="59"/>
  <c r="AQ74" i="59"/>
  <c r="AP74" i="59"/>
  <c r="AO74" i="59"/>
  <c r="AN74" i="59"/>
  <c r="AM74" i="59"/>
  <c r="BP72" i="59"/>
  <c r="BO72" i="59"/>
  <c r="BN72" i="59"/>
  <c r="BM72" i="59"/>
  <c r="BL72" i="59"/>
  <c r="BK72" i="59"/>
  <c r="BJ72" i="59"/>
  <c r="BI72" i="59"/>
  <c r="BH72" i="59"/>
  <c r="BG72" i="59"/>
  <c r="BF72" i="59"/>
  <c r="BE72" i="59"/>
  <c r="BD72" i="59"/>
  <c r="BC72" i="59"/>
  <c r="BB72" i="59"/>
  <c r="BA72" i="59"/>
  <c r="AZ72" i="59"/>
  <c r="AY72" i="59"/>
  <c r="AX72" i="59"/>
  <c r="AW72" i="59"/>
  <c r="AV72" i="59"/>
  <c r="AU72" i="59"/>
  <c r="AT72" i="59"/>
  <c r="AS72" i="59"/>
  <c r="AR72" i="59"/>
  <c r="AQ72" i="59"/>
  <c r="AP72" i="59"/>
  <c r="AO72" i="59"/>
  <c r="AN72" i="59"/>
  <c r="AM72" i="59"/>
  <c r="BP70" i="59"/>
  <c r="BO70" i="59"/>
  <c r="BN70" i="59"/>
  <c r="BM70" i="59"/>
  <c r="BL70" i="59"/>
  <c r="BK70" i="59"/>
  <c r="BJ70" i="59"/>
  <c r="BI70" i="59"/>
  <c r="BH70" i="59"/>
  <c r="BG70" i="59"/>
  <c r="BF70" i="59"/>
  <c r="BE70" i="59"/>
  <c r="BD70" i="59"/>
  <c r="BC70" i="59"/>
  <c r="BB70" i="59"/>
  <c r="BA70" i="59"/>
  <c r="AZ70" i="59"/>
  <c r="AY70" i="59"/>
  <c r="AX70" i="59"/>
  <c r="AW70" i="59"/>
  <c r="AV70" i="59"/>
  <c r="AU70" i="59"/>
  <c r="AT70" i="59"/>
  <c r="AS70" i="59"/>
  <c r="AR70" i="59"/>
  <c r="AQ70" i="59"/>
  <c r="AP70" i="59"/>
  <c r="AO70" i="59"/>
  <c r="AN70" i="59"/>
  <c r="AM70" i="59"/>
  <c r="BP66" i="59"/>
  <c r="BO66" i="59"/>
  <c r="BN66" i="59"/>
  <c r="BM66" i="59"/>
  <c r="BL66" i="59"/>
  <c r="BK66" i="59"/>
  <c r="BJ66" i="59"/>
  <c r="BI66" i="59"/>
  <c r="BH66" i="59"/>
  <c r="BG66" i="59"/>
  <c r="BF66" i="59"/>
  <c r="BE66" i="59"/>
  <c r="BD66" i="59"/>
  <c r="BC66" i="59"/>
  <c r="BB66" i="59"/>
  <c r="BA66" i="59"/>
  <c r="AZ66" i="59"/>
  <c r="AY66" i="59"/>
  <c r="AX66" i="59"/>
  <c r="AW66" i="59"/>
  <c r="AV66" i="59"/>
  <c r="AU66" i="59"/>
  <c r="AT66" i="59"/>
  <c r="AS66" i="59"/>
  <c r="AR66" i="59"/>
  <c r="AQ66" i="59"/>
  <c r="AP66" i="59"/>
  <c r="AO66" i="59"/>
  <c r="AN66" i="59"/>
  <c r="AM66" i="59"/>
  <c r="BP64" i="59"/>
  <c r="BO64" i="59"/>
  <c r="BN64" i="59"/>
  <c r="BM64" i="59"/>
  <c r="BL64" i="59"/>
  <c r="BK64" i="59"/>
  <c r="BJ64" i="59"/>
  <c r="BI64" i="59"/>
  <c r="BH64" i="59"/>
  <c r="BG64" i="59"/>
  <c r="BF64" i="59"/>
  <c r="BE64" i="59"/>
  <c r="BD64" i="59"/>
  <c r="BC64" i="59"/>
  <c r="BB64" i="59"/>
  <c r="BA64" i="59"/>
  <c r="AZ64" i="59"/>
  <c r="AY64" i="59"/>
  <c r="AX64" i="59"/>
  <c r="AW64" i="59"/>
  <c r="AV64" i="59"/>
  <c r="AU64" i="59"/>
  <c r="AT64" i="59"/>
  <c r="AS64" i="59"/>
  <c r="AR64" i="59"/>
  <c r="AQ64" i="59"/>
  <c r="AP64" i="59"/>
  <c r="AO64" i="59"/>
  <c r="AN64" i="59"/>
  <c r="AM64" i="59"/>
  <c r="BP62" i="59"/>
  <c r="BO62" i="59"/>
  <c r="BN62" i="59"/>
  <c r="BM62" i="59"/>
  <c r="BL62" i="59"/>
  <c r="BK62" i="59"/>
  <c r="BJ62" i="59"/>
  <c r="BI62" i="59"/>
  <c r="BH62" i="59"/>
  <c r="BG62" i="59"/>
  <c r="BF62" i="59"/>
  <c r="BE62" i="59"/>
  <c r="BD62" i="59"/>
  <c r="BC62" i="59"/>
  <c r="BB62" i="59"/>
  <c r="BA62" i="59"/>
  <c r="AZ62" i="59"/>
  <c r="AY62" i="59"/>
  <c r="AX62" i="59"/>
  <c r="AW62" i="59"/>
  <c r="AV62" i="59"/>
  <c r="AU62" i="59"/>
  <c r="AT62" i="59"/>
  <c r="AS62" i="59"/>
  <c r="AR62" i="59"/>
  <c r="AQ62" i="59"/>
  <c r="AP62" i="59"/>
  <c r="AO62" i="59"/>
  <c r="AN62" i="59"/>
  <c r="AM62" i="59"/>
  <c r="BP60" i="59"/>
  <c r="BO60" i="59"/>
  <c r="BN60" i="59"/>
  <c r="BM60" i="59"/>
  <c r="BL60" i="59"/>
  <c r="BK60" i="59"/>
  <c r="BJ60" i="59"/>
  <c r="BI60" i="59"/>
  <c r="BH60" i="59"/>
  <c r="BG60" i="59"/>
  <c r="BF60" i="59"/>
  <c r="BE60" i="59"/>
  <c r="BD60" i="59"/>
  <c r="BC60" i="59"/>
  <c r="BB60" i="59"/>
  <c r="BA60" i="59"/>
  <c r="AZ60" i="59"/>
  <c r="AY60" i="59"/>
  <c r="AX60" i="59"/>
  <c r="AW60" i="59"/>
  <c r="AV60" i="59"/>
  <c r="AU60" i="59"/>
  <c r="AT60" i="59"/>
  <c r="AS60" i="59"/>
  <c r="AR60" i="59"/>
  <c r="AQ60" i="59"/>
  <c r="AP60" i="59"/>
  <c r="AO60" i="59"/>
  <c r="AN60" i="59"/>
  <c r="AM60" i="59"/>
  <c r="BP58" i="59"/>
  <c r="BO58" i="59"/>
  <c r="BN58" i="59"/>
  <c r="BM58" i="59"/>
  <c r="BL58" i="59"/>
  <c r="BK58" i="59"/>
  <c r="BJ58" i="59"/>
  <c r="BI58" i="59"/>
  <c r="BH58" i="59"/>
  <c r="BG58" i="59"/>
  <c r="BF58" i="59"/>
  <c r="BE58" i="59"/>
  <c r="BD58" i="59"/>
  <c r="BC58" i="59"/>
  <c r="BB58" i="59"/>
  <c r="BA58" i="59"/>
  <c r="AZ58" i="59"/>
  <c r="AY58" i="59"/>
  <c r="AX58" i="59"/>
  <c r="AW58" i="59"/>
  <c r="AV58" i="59"/>
  <c r="AU58" i="59"/>
  <c r="AT58" i="59"/>
  <c r="AS58" i="59"/>
  <c r="AR58" i="59"/>
  <c r="AQ58" i="59"/>
  <c r="AP58" i="59"/>
  <c r="AO58" i="59"/>
  <c r="AN58" i="59"/>
  <c r="AM58" i="59"/>
  <c r="BP56" i="59"/>
  <c r="BO56" i="59"/>
  <c r="BN56" i="59"/>
  <c r="BM56" i="59"/>
  <c r="BL56" i="59"/>
  <c r="BK56" i="59"/>
  <c r="BJ56" i="59"/>
  <c r="BI56" i="59"/>
  <c r="BH56" i="59"/>
  <c r="BG56" i="59"/>
  <c r="BF56" i="59"/>
  <c r="BE56" i="59"/>
  <c r="BD56" i="59"/>
  <c r="BC56" i="59"/>
  <c r="BB56" i="59"/>
  <c r="BA56" i="59"/>
  <c r="AZ56" i="59"/>
  <c r="AY56" i="59"/>
  <c r="AX56" i="59"/>
  <c r="AW56" i="59"/>
  <c r="AV56" i="59"/>
  <c r="AU56" i="59"/>
  <c r="AT56" i="59"/>
  <c r="AS56" i="59"/>
  <c r="AR56" i="59"/>
  <c r="AQ56" i="59"/>
  <c r="AP56" i="59"/>
  <c r="AO56" i="59"/>
  <c r="AN56" i="59"/>
  <c r="AM56" i="59"/>
  <c r="BP54" i="59"/>
  <c r="BO54" i="59"/>
  <c r="BN54" i="59"/>
  <c r="BM54" i="59"/>
  <c r="BL54" i="59"/>
  <c r="BK54" i="59"/>
  <c r="BJ54" i="59"/>
  <c r="BI54" i="59"/>
  <c r="BH54" i="59"/>
  <c r="BG54" i="59"/>
  <c r="BF54" i="59"/>
  <c r="BE54" i="59"/>
  <c r="BD54" i="59"/>
  <c r="BC54" i="59"/>
  <c r="BB54" i="59"/>
  <c r="BA54" i="59"/>
  <c r="AZ54" i="59"/>
  <c r="AY54" i="59"/>
  <c r="AX54" i="59"/>
  <c r="AW54" i="59"/>
  <c r="AV54" i="59"/>
  <c r="AU54" i="59"/>
  <c r="AT54" i="59"/>
  <c r="AS54" i="59"/>
  <c r="AR54" i="59"/>
  <c r="AQ54" i="59"/>
  <c r="AP54" i="59"/>
  <c r="AO54" i="59"/>
  <c r="AN54" i="59"/>
  <c r="AM54" i="59"/>
  <c r="BP52" i="59"/>
  <c r="BO52" i="59"/>
  <c r="BN52" i="59"/>
  <c r="BM52" i="59"/>
  <c r="BL52" i="59"/>
  <c r="BK52" i="59"/>
  <c r="BJ52" i="59"/>
  <c r="BI52" i="59"/>
  <c r="BH52" i="59"/>
  <c r="BG52" i="59"/>
  <c r="BF52" i="59"/>
  <c r="BE52" i="59"/>
  <c r="BD52" i="59"/>
  <c r="BC52" i="59"/>
  <c r="BB52" i="59"/>
  <c r="BA52" i="59"/>
  <c r="AZ52" i="59"/>
  <c r="AY52" i="59"/>
  <c r="AX52" i="59"/>
  <c r="AW52" i="59"/>
  <c r="AV52" i="59"/>
  <c r="AU52" i="59"/>
  <c r="AT52" i="59"/>
  <c r="AS52" i="59"/>
  <c r="AR52" i="59"/>
  <c r="AQ52" i="59"/>
  <c r="AP52" i="59"/>
  <c r="AO52" i="59"/>
  <c r="AN52" i="59"/>
  <c r="AM52" i="59"/>
  <c r="BP50" i="59"/>
  <c r="BO50" i="59"/>
  <c r="BN50" i="59"/>
  <c r="BM50" i="59"/>
  <c r="BL50" i="59"/>
  <c r="BK50" i="59"/>
  <c r="BJ50" i="59"/>
  <c r="BF50" i="59"/>
  <c r="BE50" i="59"/>
  <c r="BC50" i="59"/>
  <c r="BB50" i="59"/>
  <c r="AX50" i="59"/>
  <c r="AW50" i="59"/>
  <c r="AU50" i="59"/>
  <c r="AT50" i="59"/>
  <c r="AS50" i="59"/>
  <c r="AP50" i="59"/>
  <c r="AO50" i="59"/>
  <c r="AN50" i="59"/>
  <c r="AM50" i="59"/>
  <c r="BP48" i="59"/>
  <c r="BO48" i="59"/>
  <c r="BN48" i="59"/>
  <c r="BM48" i="59"/>
  <c r="BL48" i="59"/>
  <c r="BK48" i="59"/>
  <c r="BJ48" i="59"/>
  <c r="BI48" i="59"/>
  <c r="BH48" i="59"/>
  <c r="BG48" i="59"/>
  <c r="BF48" i="59"/>
  <c r="BE48" i="59"/>
  <c r="BD48" i="59"/>
  <c r="BC48" i="59"/>
  <c r="BB48" i="59"/>
  <c r="BA48" i="59"/>
  <c r="AZ48" i="59"/>
  <c r="AY48" i="59"/>
  <c r="AX48" i="59"/>
  <c r="AW48" i="59"/>
  <c r="AV48" i="59"/>
  <c r="AU48" i="59"/>
  <c r="AT48" i="59"/>
  <c r="AS48" i="59"/>
  <c r="AR48" i="59"/>
  <c r="AQ48" i="59"/>
  <c r="AP48" i="59"/>
  <c r="AO48" i="59"/>
  <c r="AN48" i="59"/>
  <c r="AM48" i="59"/>
  <c r="BO46" i="59"/>
  <c r="BN46" i="59"/>
  <c r="BJ46" i="59"/>
  <c r="BI46" i="59"/>
  <c r="BG46" i="59"/>
  <c r="BF46" i="59"/>
  <c r="BB46" i="59"/>
  <c r="BA46" i="59"/>
  <c r="AY46" i="59"/>
  <c r="AX46" i="59"/>
  <c r="AT46" i="59"/>
  <c r="AS46" i="59"/>
  <c r="AQ46" i="59"/>
  <c r="AP46" i="59"/>
  <c r="AO46" i="59"/>
  <c r="AN46" i="59"/>
  <c r="AM46" i="59"/>
  <c r="BP44" i="59"/>
  <c r="BO44" i="59"/>
  <c r="BN44" i="59"/>
  <c r="BM44" i="59"/>
  <c r="BL44" i="59"/>
  <c r="BK44" i="59"/>
  <c r="BJ44" i="59"/>
  <c r="BI44" i="59"/>
  <c r="BH44" i="59"/>
  <c r="BG44" i="59"/>
  <c r="BF44" i="59"/>
  <c r="BE44" i="59"/>
  <c r="BD44" i="59"/>
  <c r="BC44" i="59"/>
  <c r="BB44" i="59"/>
  <c r="BA44" i="59"/>
  <c r="AZ44" i="59"/>
  <c r="AY44" i="59"/>
  <c r="AX44" i="59"/>
  <c r="AW44" i="59"/>
  <c r="AV44" i="59"/>
  <c r="AU44" i="59"/>
  <c r="AT44" i="59"/>
  <c r="AS44" i="59"/>
  <c r="AR44" i="59"/>
  <c r="AQ44" i="59"/>
  <c r="AP44" i="59"/>
  <c r="AO44" i="59"/>
  <c r="AN44" i="59"/>
  <c r="AM44" i="59"/>
  <c r="BP42" i="59"/>
  <c r="BO42" i="59"/>
  <c r="BN42" i="59"/>
  <c r="BM42" i="59"/>
  <c r="BL42" i="59"/>
  <c r="BK42" i="59"/>
  <c r="BJ42" i="59"/>
  <c r="BI42" i="59"/>
  <c r="BH42" i="59"/>
  <c r="BG42" i="59"/>
  <c r="BF42" i="59"/>
  <c r="BE42" i="59"/>
  <c r="BD42" i="59"/>
  <c r="BC42" i="59"/>
  <c r="BB42" i="59"/>
  <c r="BA42" i="59"/>
  <c r="AZ42" i="59"/>
  <c r="AY42" i="59"/>
  <c r="AX42" i="59"/>
  <c r="AW42" i="59"/>
  <c r="AV42" i="59"/>
  <c r="AU42" i="59"/>
  <c r="AT42" i="59"/>
  <c r="AS42" i="59"/>
  <c r="AR42" i="59"/>
  <c r="AQ42" i="59"/>
  <c r="AP42" i="59"/>
  <c r="AO42" i="59"/>
  <c r="AN42" i="59"/>
  <c r="AM42" i="59"/>
  <c r="BP40" i="59"/>
  <c r="BO40" i="59"/>
  <c r="BN40" i="59"/>
  <c r="BM40" i="59"/>
  <c r="BL40" i="59"/>
  <c r="BK40" i="59"/>
  <c r="BJ40" i="59"/>
  <c r="BI40" i="59"/>
  <c r="BH40" i="59"/>
  <c r="BG40" i="59"/>
  <c r="BF40" i="59"/>
  <c r="BE40" i="59"/>
  <c r="BD40" i="59"/>
  <c r="BC40" i="59"/>
  <c r="BB40" i="59"/>
  <c r="BA40" i="59"/>
  <c r="AZ40" i="59"/>
  <c r="AY40" i="59"/>
  <c r="AX40" i="59"/>
  <c r="AW40" i="59"/>
  <c r="AV40" i="59"/>
  <c r="AU40" i="59"/>
  <c r="AT40" i="59"/>
  <c r="AS40" i="59"/>
  <c r="AR40" i="59"/>
  <c r="AQ40" i="59"/>
  <c r="AP40" i="59"/>
  <c r="AO40" i="59"/>
  <c r="AN40" i="59"/>
  <c r="AM40" i="59"/>
  <c r="CH38" i="59"/>
  <c r="CG38" i="59"/>
  <c r="CF38" i="59"/>
  <c r="CE38" i="59"/>
  <c r="CD38" i="59"/>
  <c r="CC38" i="59"/>
  <c r="CB38" i="59"/>
  <c r="CA38" i="59"/>
  <c r="BZ38" i="59"/>
  <c r="BY38" i="59"/>
  <c r="BX38" i="59"/>
  <c r="BW38" i="59"/>
  <c r="BV38" i="59"/>
  <c r="BP38" i="59"/>
  <c r="BO38" i="59"/>
  <c r="BN38" i="59"/>
  <c r="BM38" i="59"/>
  <c r="BL38" i="59"/>
  <c r="BK38" i="59"/>
  <c r="BJ38" i="59"/>
  <c r="BI38" i="59"/>
  <c r="BH38" i="59"/>
  <c r="BG38" i="59"/>
  <c r="BF38" i="59"/>
  <c r="BE38" i="59"/>
  <c r="BD38" i="59"/>
  <c r="BC38" i="59"/>
  <c r="BB38" i="59"/>
  <c r="BA38" i="59"/>
  <c r="AZ38" i="59"/>
  <c r="AY38" i="59"/>
  <c r="AX38" i="59"/>
  <c r="AW38" i="59"/>
  <c r="AV38" i="59"/>
  <c r="AU38" i="59"/>
  <c r="AT38" i="59"/>
  <c r="AS38" i="59"/>
  <c r="AR38" i="59"/>
  <c r="AQ38" i="59"/>
  <c r="AP38" i="59"/>
  <c r="AO38" i="59"/>
  <c r="AN38" i="59"/>
  <c r="AM38" i="59"/>
  <c r="BP36" i="59"/>
  <c r="BO36" i="59"/>
  <c r="BN36" i="59"/>
  <c r="BM36" i="59"/>
  <c r="BL36" i="59"/>
  <c r="BK36" i="59"/>
  <c r="BJ36" i="59"/>
  <c r="BI36" i="59"/>
  <c r="BH36" i="59"/>
  <c r="BG36" i="59"/>
  <c r="BF36" i="59"/>
  <c r="BE36" i="59"/>
  <c r="BD36" i="59"/>
  <c r="BC36" i="59"/>
  <c r="BB36" i="59"/>
  <c r="BA36" i="59"/>
  <c r="AZ36" i="59"/>
  <c r="AY36" i="59"/>
  <c r="AX36" i="59"/>
  <c r="AW36" i="59"/>
  <c r="AV36" i="59"/>
  <c r="AU36" i="59"/>
  <c r="AT36" i="59"/>
  <c r="AS36" i="59"/>
  <c r="AR36" i="59"/>
  <c r="AQ36" i="59"/>
  <c r="AP36" i="59"/>
  <c r="AO36" i="59"/>
  <c r="AN36" i="59"/>
  <c r="AM36" i="59"/>
  <c r="BP34" i="59"/>
  <c r="BO34" i="59"/>
  <c r="BN34" i="59"/>
  <c r="BM34" i="59"/>
  <c r="BL34" i="59"/>
  <c r="BK34" i="59"/>
  <c r="BJ34" i="59"/>
  <c r="BI34" i="59"/>
  <c r="BH34" i="59"/>
  <c r="BG34" i="59"/>
  <c r="BF34" i="59"/>
  <c r="BE34" i="59"/>
  <c r="BD34" i="59"/>
  <c r="BC34" i="59"/>
  <c r="BB34" i="59"/>
  <c r="BA34" i="59"/>
  <c r="AZ34" i="59"/>
  <c r="AY34" i="59"/>
  <c r="AX34" i="59"/>
  <c r="AW34" i="59"/>
  <c r="AV34" i="59"/>
  <c r="AU34" i="59"/>
  <c r="AT34" i="59"/>
  <c r="AS34" i="59"/>
  <c r="AR34" i="59"/>
  <c r="AQ34" i="59"/>
  <c r="AP34" i="59"/>
  <c r="AO34" i="59"/>
  <c r="AN34" i="59"/>
  <c r="AM34" i="59"/>
  <c r="BP32" i="59"/>
  <c r="BO32" i="59"/>
  <c r="BN32" i="59"/>
  <c r="BM32" i="59"/>
  <c r="BL32" i="59"/>
  <c r="BK32" i="59"/>
  <c r="BJ32" i="59"/>
  <c r="BI32" i="59"/>
  <c r="BH32" i="59"/>
  <c r="BG32" i="59"/>
  <c r="BF32" i="59"/>
  <c r="BE32" i="59"/>
  <c r="BD32" i="59"/>
  <c r="BC32" i="59"/>
  <c r="BB32" i="59"/>
  <c r="BA32" i="59"/>
  <c r="AZ32" i="59"/>
  <c r="AY32" i="59"/>
  <c r="AX32" i="59"/>
  <c r="AW32" i="59"/>
  <c r="AV32" i="59"/>
  <c r="AU32" i="59"/>
  <c r="AT32" i="59"/>
  <c r="AS32" i="59"/>
  <c r="AR32" i="59"/>
  <c r="AQ32" i="59"/>
  <c r="AP32" i="59"/>
  <c r="AO32" i="59"/>
  <c r="AN32" i="59"/>
  <c r="AM32" i="59"/>
  <c r="BY30" i="59"/>
  <c r="BX30" i="59"/>
  <c r="BW30" i="59"/>
  <c r="BV30" i="59"/>
  <c r="BP30" i="59"/>
  <c r="BO30" i="59"/>
  <c r="BN30" i="59"/>
  <c r="BM30" i="59"/>
  <c r="BL30" i="59"/>
  <c r="BK30" i="59"/>
  <c r="BJ30" i="59"/>
  <c r="BI30" i="59"/>
  <c r="BH30" i="59"/>
  <c r="BG30" i="59"/>
  <c r="BF30" i="59"/>
  <c r="BE30" i="59"/>
  <c r="BD30" i="59"/>
  <c r="BC30" i="59"/>
  <c r="BB30" i="59"/>
  <c r="BA30" i="59"/>
  <c r="AZ30" i="59"/>
  <c r="AY30" i="59"/>
  <c r="AX30" i="59"/>
  <c r="AW30" i="59"/>
  <c r="AV30" i="59"/>
  <c r="AU30" i="59"/>
  <c r="AT30" i="59"/>
  <c r="AS30" i="59"/>
  <c r="AR30" i="59"/>
  <c r="AQ30" i="59"/>
  <c r="AP30" i="59"/>
  <c r="AO30" i="59"/>
  <c r="AN30" i="59"/>
  <c r="AM30" i="59"/>
  <c r="BV29" i="59"/>
  <c r="BY28" i="59"/>
  <c r="BX28" i="59"/>
  <c r="BW28" i="59"/>
  <c r="BV28" i="59"/>
  <c r="BP28" i="59"/>
  <c r="BO28" i="59"/>
  <c r="BN28" i="59"/>
  <c r="BM28" i="59"/>
  <c r="BL28" i="59"/>
  <c r="BK28" i="59"/>
  <c r="BJ28" i="59"/>
  <c r="BI28" i="59"/>
  <c r="BH28" i="59"/>
  <c r="BG28" i="59"/>
  <c r="BF28" i="59"/>
  <c r="BE28" i="59"/>
  <c r="BD28" i="59"/>
  <c r="BC28" i="59"/>
  <c r="BB28" i="59"/>
  <c r="BA28" i="59"/>
  <c r="AZ28" i="59"/>
  <c r="AY28" i="59"/>
  <c r="AX28" i="59"/>
  <c r="AW28" i="59"/>
  <c r="AV28" i="59"/>
  <c r="AU28" i="59"/>
  <c r="AT28" i="59"/>
  <c r="AS28" i="59"/>
  <c r="AR28" i="59"/>
  <c r="AQ28" i="59"/>
  <c r="AP28" i="59"/>
  <c r="AO28" i="59"/>
  <c r="AN28" i="59"/>
  <c r="AM28" i="59"/>
  <c r="BV27" i="59"/>
  <c r="BY26" i="59"/>
  <c r="BY32" i="59" s="1"/>
  <c r="AP92" i="59" s="1"/>
  <c r="U6" i="59" s="1"/>
  <c r="BX26" i="59"/>
  <c r="BX32" i="59" s="1"/>
  <c r="BW26" i="59"/>
  <c r="BW32" i="59" s="1"/>
  <c r="BV26" i="59"/>
  <c r="BV32" i="59" s="1"/>
  <c r="BP26" i="59"/>
  <c r="BO26" i="59"/>
  <c r="BN26" i="59"/>
  <c r="BM26" i="59"/>
  <c r="BL26" i="59"/>
  <c r="BK26" i="59"/>
  <c r="BJ26" i="59"/>
  <c r="BI26" i="59"/>
  <c r="BH26" i="59"/>
  <c r="BG26" i="59"/>
  <c r="BF26" i="59"/>
  <c r="BE26" i="59"/>
  <c r="BD26" i="59"/>
  <c r="BC26" i="59"/>
  <c r="BB26" i="59"/>
  <c r="BA26" i="59"/>
  <c r="AZ26" i="59"/>
  <c r="AY26" i="59"/>
  <c r="AX26" i="59"/>
  <c r="AW26" i="59"/>
  <c r="AV26" i="59"/>
  <c r="AU26" i="59"/>
  <c r="AT26" i="59"/>
  <c r="AS26" i="59"/>
  <c r="AR26" i="59"/>
  <c r="AQ26" i="59"/>
  <c r="AP26" i="59"/>
  <c r="AO26" i="59"/>
  <c r="AN26" i="59"/>
  <c r="AM26" i="59"/>
  <c r="BP24" i="59"/>
  <c r="BO24" i="59"/>
  <c r="BN24" i="59"/>
  <c r="BM24" i="59"/>
  <c r="BL24" i="59"/>
  <c r="BK24" i="59"/>
  <c r="BJ24" i="59"/>
  <c r="BI24" i="59"/>
  <c r="BH24" i="59"/>
  <c r="BG24" i="59"/>
  <c r="BF24" i="59"/>
  <c r="BE24" i="59"/>
  <c r="BD24" i="59"/>
  <c r="BC24" i="59"/>
  <c r="BB24" i="59"/>
  <c r="BA24" i="59"/>
  <c r="AZ24" i="59"/>
  <c r="AY24" i="59"/>
  <c r="AX24" i="59"/>
  <c r="AW24" i="59"/>
  <c r="AV24" i="59"/>
  <c r="AU24" i="59"/>
  <c r="AT24" i="59"/>
  <c r="AS24" i="59"/>
  <c r="AR24" i="59"/>
  <c r="AQ24" i="59"/>
  <c r="AP24" i="59"/>
  <c r="AO24" i="59"/>
  <c r="AN24" i="59"/>
  <c r="AM24" i="59"/>
  <c r="BP22" i="59"/>
  <c r="BO22" i="59"/>
  <c r="BN22" i="59"/>
  <c r="BM22" i="59"/>
  <c r="BL22" i="59"/>
  <c r="BK22" i="59"/>
  <c r="BJ22" i="59"/>
  <c r="BI22" i="59"/>
  <c r="BH22" i="59"/>
  <c r="BG22" i="59"/>
  <c r="BF22" i="59"/>
  <c r="BE22" i="59"/>
  <c r="BD22" i="59"/>
  <c r="BC22" i="59"/>
  <c r="BB22" i="59"/>
  <c r="BA22" i="59"/>
  <c r="AZ22" i="59"/>
  <c r="AY22" i="59"/>
  <c r="AX22" i="59"/>
  <c r="AW22" i="59"/>
  <c r="AV22" i="59"/>
  <c r="AU22" i="59"/>
  <c r="AT22" i="59"/>
  <c r="AS22" i="59"/>
  <c r="AR22" i="59"/>
  <c r="AQ22" i="59"/>
  <c r="AP22" i="59"/>
  <c r="AO22" i="59"/>
  <c r="AN22" i="59"/>
  <c r="AM22" i="59"/>
  <c r="BV20" i="59"/>
  <c r="BP20" i="59"/>
  <c r="BO20" i="59"/>
  <c r="BN20" i="59"/>
  <c r="BM20" i="59"/>
  <c r="BL20" i="59"/>
  <c r="BK20" i="59"/>
  <c r="BJ20" i="59"/>
  <c r="BI20" i="59"/>
  <c r="BH20" i="59"/>
  <c r="BG20" i="59"/>
  <c r="BF20" i="59"/>
  <c r="BE20" i="59"/>
  <c r="BD20" i="59"/>
  <c r="BC20" i="59"/>
  <c r="BB20" i="59"/>
  <c r="BA20" i="59"/>
  <c r="AZ20" i="59"/>
  <c r="AY20" i="59"/>
  <c r="AX20" i="59"/>
  <c r="AW20" i="59"/>
  <c r="AV20" i="59"/>
  <c r="AU20" i="59"/>
  <c r="AT20" i="59"/>
  <c r="AS20" i="59"/>
  <c r="AR20" i="59"/>
  <c r="AQ20" i="59"/>
  <c r="AP20" i="59"/>
  <c r="AO20" i="59"/>
  <c r="AN20" i="59"/>
  <c r="AM20" i="59"/>
  <c r="BP18" i="59"/>
  <c r="BO18" i="59"/>
  <c r="BN18" i="59"/>
  <c r="BM18" i="59"/>
  <c r="BL18" i="59"/>
  <c r="BK18" i="59"/>
  <c r="BJ18" i="59"/>
  <c r="BI18" i="59"/>
  <c r="BH18" i="59"/>
  <c r="BG18" i="59"/>
  <c r="BF18" i="59"/>
  <c r="BE18" i="59"/>
  <c r="BD18" i="59"/>
  <c r="BC18" i="59"/>
  <c r="BB18" i="59"/>
  <c r="BA18" i="59"/>
  <c r="AZ18" i="59"/>
  <c r="AY18" i="59"/>
  <c r="AX18" i="59"/>
  <c r="AW18" i="59"/>
  <c r="AV18" i="59"/>
  <c r="AU18" i="59"/>
  <c r="AT18" i="59"/>
  <c r="AS18" i="59"/>
  <c r="AR18" i="59"/>
  <c r="AQ18" i="59"/>
  <c r="AP18" i="59"/>
  <c r="AO18" i="59"/>
  <c r="AN18" i="59"/>
  <c r="AM18" i="59"/>
  <c r="BP16" i="59"/>
  <c r="BO16" i="59"/>
  <c r="BO92" i="59" s="1"/>
  <c r="BN16" i="59"/>
  <c r="BN92" i="59" s="1"/>
  <c r="BM16" i="59"/>
  <c r="BL16" i="59"/>
  <c r="BK16" i="59"/>
  <c r="BJ16" i="59"/>
  <c r="BJ92" i="59" s="1"/>
  <c r="F195" i="59" s="1"/>
  <c r="BI16" i="59"/>
  <c r="BH16" i="59"/>
  <c r="BG16" i="59"/>
  <c r="BF16" i="59"/>
  <c r="BF92" i="59" s="1"/>
  <c r="F193" i="59" s="1"/>
  <c r="BE16" i="59"/>
  <c r="BD16" i="59"/>
  <c r="BC16" i="59"/>
  <c r="BB16" i="59"/>
  <c r="BB92" i="59" s="1"/>
  <c r="F192" i="59" s="1"/>
  <c r="BA16" i="59"/>
  <c r="AZ16" i="59"/>
  <c r="AY16" i="59"/>
  <c r="AX16" i="59"/>
  <c r="AX92" i="59" s="1"/>
  <c r="F204" i="59" s="1"/>
  <c r="AW16" i="59"/>
  <c r="AV16" i="59"/>
  <c r="AU16" i="59"/>
  <c r="AT16" i="59"/>
  <c r="AT92" i="59" s="1"/>
  <c r="U8" i="59" s="1"/>
  <c r="AP8" i="59" s="1"/>
  <c r="AS16" i="59"/>
  <c r="AS92" i="59" s="1"/>
  <c r="AR16" i="59"/>
  <c r="AQ16" i="59"/>
  <c r="AP16" i="59"/>
  <c r="AO16" i="59"/>
  <c r="AN16" i="59"/>
  <c r="AM16" i="59"/>
  <c r="D277" i="58"/>
  <c r="D276" i="58"/>
  <c r="D275" i="58"/>
  <c r="BI34" i="58" s="1"/>
  <c r="B275" i="58"/>
  <c r="Q273" i="58"/>
  <c r="O273" i="58"/>
  <c r="M273" i="58"/>
  <c r="AZ272" i="58"/>
  <c r="AY272" i="58"/>
  <c r="AW272" i="58"/>
  <c r="AV272" i="58"/>
  <c r="AN272" i="58"/>
  <c r="Q272" i="58"/>
  <c r="O272" i="58"/>
  <c r="M272" i="58"/>
  <c r="AZ271" i="58"/>
  <c r="AY271" i="58"/>
  <c r="AW271" i="58"/>
  <c r="AV271" i="58"/>
  <c r="Q271" i="58"/>
  <c r="O271" i="58"/>
  <c r="M271" i="58"/>
  <c r="AZ270" i="58"/>
  <c r="AY270" i="58"/>
  <c r="AW270" i="58"/>
  <c r="AV270" i="58"/>
  <c r="AN270" i="58"/>
  <c r="Q270" i="58"/>
  <c r="O270" i="58"/>
  <c r="M270" i="58"/>
  <c r="AZ269" i="58"/>
  <c r="AY269" i="58"/>
  <c r="AW269" i="58"/>
  <c r="AV269" i="58"/>
  <c r="Q269" i="58"/>
  <c r="O269" i="58"/>
  <c r="M269" i="58"/>
  <c r="AZ268" i="58"/>
  <c r="AY268" i="58"/>
  <c r="AW268" i="58"/>
  <c r="AV268" i="58"/>
  <c r="AN268" i="58"/>
  <c r="Q268" i="58"/>
  <c r="O268" i="58"/>
  <c r="M268" i="58"/>
  <c r="AZ267" i="58"/>
  <c r="AY267" i="58"/>
  <c r="AW267" i="58"/>
  <c r="AV267" i="58"/>
  <c r="Q267" i="58"/>
  <c r="O267" i="58"/>
  <c r="M267" i="58"/>
  <c r="AZ266" i="58"/>
  <c r="AY266" i="58"/>
  <c r="AW266" i="58"/>
  <c r="AV266" i="58"/>
  <c r="AN266" i="58"/>
  <c r="Q266" i="58"/>
  <c r="O266" i="58"/>
  <c r="M266" i="58"/>
  <c r="AZ265" i="58"/>
  <c r="AY265" i="58"/>
  <c r="AW265" i="58"/>
  <c r="AV265" i="58"/>
  <c r="Q265" i="58"/>
  <c r="O265" i="58"/>
  <c r="M265" i="58"/>
  <c r="AZ264" i="58"/>
  <c r="AY264" i="58"/>
  <c r="AW264" i="58"/>
  <c r="AV264" i="58"/>
  <c r="AN264" i="58"/>
  <c r="Q264" i="58"/>
  <c r="O264" i="58"/>
  <c r="M264" i="58"/>
  <c r="AZ263" i="58"/>
  <c r="AY263" i="58"/>
  <c r="AW263" i="58"/>
  <c r="AV263" i="58"/>
  <c r="Q263" i="58"/>
  <c r="O263" i="58"/>
  <c r="M263" i="58"/>
  <c r="AZ262" i="58"/>
  <c r="AY262" i="58"/>
  <c r="AW262" i="58"/>
  <c r="AV262" i="58"/>
  <c r="AN262" i="58"/>
  <c r="Q262" i="58"/>
  <c r="O262" i="58"/>
  <c r="M262" i="58"/>
  <c r="AZ261" i="58"/>
  <c r="AY261" i="58"/>
  <c r="AW261" i="58"/>
  <c r="Q261" i="58"/>
  <c r="O261" i="58"/>
  <c r="M261" i="58"/>
  <c r="AZ260" i="58"/>
  <c r="AY260" i="58"/>
  <c r="AV260" i="58"/>
  <c r="AN260" i="58"/>
  <c r="Q260" i="58"/>
  <c r="O260" i="58"/>
  <c r="M260" i="58"/>
  <c r="AZ259" i="58"/>
  <c r="AY259" i="58"/>
  <c r="AW259" i="58"/>
  <c r="AV259" i="58"/>
  <c r="Q259" i="58"/>
  <c r="O259" i="58"/>
  <c r="M259" i="58"/>
  <c r="AZ258" i="58"/>
  <c r="AW258" i="58"/>
  <c r="AN258" i="58"/>
  <c r="Q258" i="58"/>
  <c r="O258" i="58"/>
  <c r="M258" i="58"/>
  <c r="AZ257" i="58"/>
  <c r="AY257" i="58"/>
  <c r="AW257" i="58"/>
  <c r="Q257" i="58"/>
  <c r="O257" i="58"/>
  <c r="M257" i="58"/>
  <c r="AZ256" i="58"/>
  <c r="AV256" i="58"/>
  <c r="AN256" i="58"/>
  <c r="Q256" i="58"/>
  <c r="O256" i="58"/>
  <c r="M256" i="58"/>
  <c r="AZ255" i="58"/>
  <c r="AW255" i="58"/>
  <c r="AV255" i="58"/>
  <c r="Q255" i="58"/>
  <c r="O255" i="58"/>
  <c r="M255" i="58"/>
  <c r="AZ254" i="58"/>
  <c r="AN254" i="58"/>
  <c r="Q254" i="58"/>
  <c r="O254" i="58"/>
  <c r="M254" i="58"/>
  <c r="AZ253" i="58"/>
  <c r="AY253" i="58"/>
  <c r="AW253" i="58"/>
  <c r="AV253" i="58"/>
  <c r="Q253" i="58"/>
  <c r="O253" i="58"/>
  <c r="M253" i="58"/>
  <c r="AZ252" i="58"/>
  <c r="AY252" i="58"/>
  <c r="AW252" i="58"/>
  <c r="AV252" i="58"/>
  <c r="AN252" i="58"/>
  <c r="Q252" i="58"/>
  <c r="O252" i="58"/>
  <c r="M252" i="58"/>
  <c r="AZ251" i="58"/>
  <c r="AY251" i="58"/>
  <c r="AW251" i="58"/>
  <c r="AV251" i="58"/>
  <c r="Q251" i="58"/>
  <c r="O251" i="58"/>
  <c r="M251" i="58"/>
  <c r="AZ250" i="58"/>
  <c r="AY250" i="58"/>
  <c r="AW250" i="58"/>
  <c r="AV250" i="58"/>
  <c r="AN250" i="58"/>
  <c r="Q250" i="58"/>
  <c r="O250" i="58"/>
  <c r="M250" i="58"/>
  <c r="AZ249" i="58"/>
  <c r="AY249" i="58"/>
  <c r="AW249" i="58"/>
  <c r="AV249" i="58"/>
  <c r="Q249" i="58"/>
  <c r="O249" i="58"/>
  <c r="M249" i="58"/>
  <c r="AZ248" i="58"/>
  <c r="AY248" i="58"/>
  <c r="AW248" i="58"/>
  <c r="AV248" i="58"/>
  <c r="AN248" i="58"/>
  <c r="Q248" i="58"/>
  <c r="O248" i="58"/>
  <c r="M248" i="58"/>
  <c r="AZ247" i="58"/>
  <c r="AY247" i="58"/>
  <c r="AW247" i="58"/>
  <c r="AV247" i="58"/>
  <c r="Q247" i="58"/>
  <c r="O247" i="58"/>
  <c r="M247" i="58"/>
  <c r="AZ246" i="58"/>
  <c r="AY246" i="58"/>
  <c r="AW246" i="58"/>
  <c r="AV246" i="58"/>
  <c r="AN246" i="58"/>
  <c r="Q246" i="58"/>
  <c r="O246" i="58"/>
  <c r="M246" i="58"/>
  <c r="AZ245" i="58"/>
  <c r="AY245" i="58"/>
  <c r="AW245" i="58"/>
  <c r="AV245" i="58"/>
  <c r="Q245" i="58"/>
  <c r="O245" i="58"/>
  <c r="M245" i="58"/>
  <c r="AZ244" i="58"/>
  <c r="AY244" i="58"/>
  <c r="AW244" i="58"/>
  <c r="AV244" i="58"/>
  <c r="AN244" i="58"/>
  <c r="Q244" i="58"/>
  <c r="O244" i="58"/>
  <c r="M244" i="58"/>
  <c r="AZ243" i="58"/>
  <c r="AY243" i="58"/>
  <c r="AW243" i="58"/>
  <c r="AV243" i="58"/>
  <c r="Q243" i="58"/>
  <c r="O243" i="58"/>
  <c r="M243" i="58"/>
  <c r="AZ242" i="58"/>
  <c r="AY242" i="58"/>
  <c r="AW242" i="58"/>
  <c r="AV242" i="58"/>
  <c r="AN242" i="58"/>
  <c r="Q242" i="58"/>
  <c r="O242" i="58"/>
  <c r="M242" i="58"/>
  <c r="AZ241" i="58"/>
  <c r="AY241" i="58"/>
  <c r="AW241" i="58"/>
  <c r="AV241" i="58"/>
  <c r="Q241" i="58"/>
  <c r="O241" i="58"/>
  <c r="M241" i="58"/>
  <c r="AZ240" i="58"/>
  <c r="AY240" i="58"/>
  <c r="AW240" i="58"/>
  <c r="AV240" i="58"/>
  <c r="AN240" i="58"/>
  <c r="Q240" i="58"/>
  <c r="O240" i="58"/>
  <c r="M240" i="58"/>
  <c r="AZ239" i="58"/>
  <c r="AY239" i="58"/>
  <c r="AW239" i="58"/>
  <c r="AV239" i="58"/>
  <c r="Q239" i="58"/>
  <c r="O239" i="58"/>
  <c r="M239" i="58"/>
  <c r="AZ238" i="58"/>
  <c r="AY238" i="58"/>
  <c r="AW238" i="58"/>
  <c r="AV238" i="58"/>
  <c r="AN238" i="58"/>
  <c r="Q238" i="58"/>
  <c r="O238" i="58"/>
  <c r="M238" i="58"/>
  <c r="AZ237" i="58"/>
  <c r="AY237" i="58"/>
  <c r="AW237" i="58"/>
  <c r="AV237" i="58"/>
  <c r="Q237" i="58"/>
  <c r="O237" i="58"/>
  <c r="M237" i="58"/>
  <c r="AZ236" i="58"/>
  <c r="AY236" i="58"/>
  <c r="AW236" i="58"/>
  <c r="AV236" i="58"/>
  <c r="AN236" i="58"/>
  <c r="Q236" i="58"/>
  <c r="O236" i="58"/>
  <c r="M236" i="58"/>
  <c r="AZ235" i="58"/>
  <c r="AY235" i="58"/>
  <c r="AW235" i="58"/>
  <c r="AV235" i="58"/>
  <c r="Q235" i="58"/>
  <c r="O235" i="58"/>
  <c r="M235" i="58"/>
  <c r="AZ234" i="58"/>
  <c r="AY234" i="58"/>
  <c r="AW234" i="58"/>
  <c r="AV234" i="58"/>
  <c r="AN234" i="58"/>
  <c r="Q234" i="58"/>
  <c r="Q275" i="58" s="1"/>
  <c r="AO92" i="58" s="1"/>
  <c r="D10" i="58" s="1"/>
  <c r="O234" i="58"/>
  <c r="O275" i="58" s="1"/>
  <c r="AN92" i="58" s="1"/>
  <c r="D8" i="58" s="1"/>
  <c r="M234" i="58"/>
  <c r="AT234" i="58" s="1"/>
  <c r="H181" i="58"/>
  <c r="AV261" i="58" s="1"/>
  <c r="H180" i="58"/>
  <c r="AW260" i="58" s="1"/>
  <c r="H179" i="58"/>
  <c r="H178" i="58"/>
  <c r="AY258" i="58" s="1"/>
  <c r="H177" i="58"/>
  <c r="H176" i="58"/>
  <c r="AV257" i="58" s="1"/>
  <c r="H175" i="58"/>
  <c r="AY256" i="58" s="1"/>
  <c r="H174" i="58"/>
  <c r="H173" i="58"/>
  <c r="H172" i="58"/>
  <c r="AY255" i="58" s="1"/>
  <c r="H171" i="58"/>
  <c r="H170" i="58"/>
  <c r="AY254" i="58" s="1"/>
  <c r="H169" i="58"/>
  <c r="H168" i="58"/>
  <c r="H167" i="58"/>
  <c r="H166" i="58"/>
  <c r="H165" i="58"/>
  <c r="H164" i="58"/>
  <c r="H163" i="58"/>
  <c r="H162" i="58"/>
  <c r="H161" i="58"/>
  <c r="H160" i="58"/>
  <c r="H158" i="58"/>
  <c r="H157" i="58"/>
  <c r="H156" i="58"/>
  <c r="H155" i="58"/>
  <c r="H154" i="58"/>
  <c r="H153" i="58"/>
  <c r="H152" i="58"/>
  <c r="H151" i="58"/>
  <c r="H150" i="58"/>
  <c r="H149" i="58"/>
  <c r="H148" i="58"/>
  <c r="H147" i="58"/>
  <c r="H146" i="58"/>
  <c r="H145" i="58"/>
  <c r="H144" i="58"/>
  <c r="H143" i="58"/>
  <c r="H142" i="58"/>
  <c r="H141" i="58"/>
  <c r="H140" i="58"/>
  <c r="H139" i="58"/>
  <c r="H138" i="58"/>
  <c r="H137" i="58"/>
  <c r="H136" i="58"/>
  <c r="H135" i="58"/>
  <c r="H134" i="58"/>
  <c r="H133" i="58"/>
  <c r="H132" i="58"/>
  <c r="H131" i="58"/>
  <c r="H130" i="58"/>
  <c r="H129" i="58"/>
  <c r="H128" i="58"/>
  <c r="H127" i="58"/>
  <c r="H126" i="58"/>
  <c r="H125" i="58"/>
  <c r="H124" i="58"/>
  <c r="H123" i="58"/>
  <c r="H122" i="58"/>
  <c r="H121" i="58"/>
  <c r="H120" i="58"/>
  <c r="H119" i="58"/>
  <c r="H118" i="58"/>
  <c r="H117" i="58"/>
  <c r="H116" i="58"/>
  <c r="H115" i="58"/>
  <c r="H114" i="58"/>
  <c r="H113" i="58"/>
  <c r="H112" i="58"/>
  <c r="H111" i="58"/>
  <c r="H110" i="58"/>
  <c r="H109" i="58"/>
  <c r="H108" i="58"/>
  <c r="H107" i="58"/>
  <c r="H106" i="58"/>
  <c r="H105" i="58"/>
  <c r="H104" i="58"/>
  <c r="H103" i="58"/>
  <c r="BU90" i="58"/>
  <c r="BT90" i="58"/>
  <c r="BS90" i="58"/>
  <c r="BS92" i="58" s="1"/>
  <c r="BR90" i="58"/>
  <c r="BQ90" i="58"/>
  <c r="BP90" i="58"/>
  <c r="BO90" i="58"/>
  <c r="BN90" i="58"/>
  <c r="BM90" i="58"/>
  <c r="BL90" i="58"/>
  <c r="BK90" i="58"/>
  <c r="AU90" i="58"/>
  <c r="AR90" i="58"/>
  <c r="AQ90" i="58"/>
  <c r="AO90" i="58"/>
  <c r="AN90" i="58"/>
  <c r="AM90" i="58"/>
  <c r="BQ89" i="58"/>
  <c r="BP89" i="58"/>
  <c r="BO89" i="58"/>
  <c r="BN89" i="58"/>
  <c r="BM89" i="58"/>
  <c r="BL89" i="58"/>
  <c r="BK89" i="58"/>
  <c r="AU89" i="58"/>
  <c r="AR89" i="58"/>
  <c r="AQ89" i="58"/>
  <c r="AO89" i="58"/>
  <c r="AN89" i="58"/>
  <c r="AM89" i="58"/>
  <c r="BU88" i="58"/>
  <c r="BT88" i="58"/>
  <c r="BS88" i="58"/>
  <c r="BR88" i="58"/>
  <c r="BQ88" i="58"/>
  <c r="BQ92" i="58" s="1"/>
  <c r="BP88" i="58"/>
  <c r="BO88" i="58"/>
  <c r="BN88" i="58"/>
  <c r="BM88" i="58"/>
  <c r="BL88" i="58"/>
  <c r="BK88" i="58"/>
  <c r="AU88" i="58"/>
  <c r="AR88" i="58"/>
  <c r="AQ88" i="58"/>
  <c r="AO88" i="58"/>
  <c r="AN88" i="58"/>
  <c r="AM88" i="58"/>
  <c r="BQ87" i="58"/>
  <c r="BP87" i="58"/>
  <c r="BO87" i="58"/>
  <c r="BN87" i="58"/>
  <c r="BM87" i="58"/>
  <c r="BL87" i="58"/>
  <c r="BK87" i="58"/>
  <c r="AU87" i="58"/>
  <c r="AR87" i="58"/>
  <c r="AQ87" i="58"/>
  <c r="AO87" i="58"/>
  <c r="AN87" i="58"/>
  <c r="AM87" i="58"/>
  <c r="BU86" i="58"/>
  <c r="BU92" i="58" s="1"/>
  <c r="BT86" i="58"/>
  <c r="BT92" i="58" s="1"/>
  <c r="BS86" i="58"/>
  <c r="BR86" i="58"/>
  <c r="BR92" i="58" s="1"/>
  <c r="BQ86" i="58"/>
  <c r="BP86" i="58"/>
  <c r="BO86" i="58"/>
  <c r="BN86" i="58"/>
  <c r="BM86" i="58"/>
  <c r="BL86" i="58"/>
  <c r="BK86" i="58"/>
  <c r="AU86" i="58"/>
  <c r="AR86" i="58"/>
  <c r="AQ86" i="58"/>
  <c r="AO86" i="58"/>
  <c r="AN86" i="58"/>
  <c r="AM86" i="58"/>
  <c r="BP82" i="58"/>
  <c r="BO82" i="58"/>
  <c r="BN82" i="58"/>
  <c r="BM82" i="58"/>
  <c r="BL82" i="58"/>
  <c r="BK82" i="58"/>
  <c r="BJ82" i="58"/>
  <c r="BI82" i="58"/>
  <c r="BH82" i="58"/>
  <c r="BG82" i="58"/>
  <c r="BF82" i="58"/>
  <c r="BE82" i="58"/>
  <c r="BD82" i="58"/>
  <c r="BC82" i="58"/>
  <c r="BB82" i="58"/>
  <c r="BA82" i="58"/>
  <c r="AZ82" i="58"/>
  <c r="AY82" i="58"/>
  <c r="AX82" i="58"/>
  <c r="AW82" i="58"/>
  <c r="AV82" i="58"/>
  <c r="AU82" i="58"/>
  <c r="AT82" i="58"/>
  <c r="AS82" i="58"/>
  <c r="AR82" i="58"/>
  <c r="AQ82" i="58"/>
  <c r="AP82" i="58"/>
  <c r="AO82" i="58"/>
  <c r="AN82" i="58"/>
  <c r="AM82" i="58"/>
  <c r="BP80" i="58"/>
  <c r="BO80" i="58"/>
  <c r="BN80" i="58"/>
  <c r="BM80" i="58"/>
  <c r="BL80" i="58"/>
  <c r="BK80" i="58"/>
  <c r="BJ80" i="58"/>
  <c r="BI80" i="58"/>
  <c r="BH80" i="58"/>
  <c r="BG80" i="58"/>
  <c r="BF80" i="58"/>
  <c r="BE80" i="58"/>
  <c r="BD80" i="58"/>
  <c r="BC80" i="58"/>
  <c r="BB80" i="58"/>
  <c r="BA80" i="58"/>
  <c r="AZ80" i="58"/>
  <c r="AY80" i="58"/>
  <c r="AX80" i="58"/>
  <c r="AW80" i="58"/>
  <c r="AV80" i="58"/>
  <c r="AU80" i="58"/>
  <c r="AT80" i="58"/>
  <c r="AS80" i="58"/>
  <c r="AR80" i="58"/>
  <c r="AQ80" i="58"/>
  <c r="AP80" i="58"/>
  <c r="AO80" i="58"/>
  <c r="AN80" i="58"/>
  <c r="AM80" i="58"/>
  <c r="BP78" i="58"/>
  <c r="BO78" i="58"/>
  <c r="BN78" i="58"/>
  <c r="BM78" i="58"/>
  <c r="BL78" i="58"/>
  <c r="BK78" i="58"/>
  <c r="BJ78" i="58"/>
  <c r="BI78" i="58"/>
  <c r="BH78" i="58"/>
  <c r="BG78" i="58"/>
  <c r="BF78" i="58"/>
  <c r="BE78" i="58"/>
  <c r="BD78" i="58"/>
  <c r="BC78" i="58"/>
  <c r="BB78" i="58"/>
  <c r="BA78" i="58"/>
  <c r="AZ78" i="58"/>
  <c r="AY78" i="58"/>
  <c r="AX78" i="58"/>
  <c r="AW78" i="58"/>
  <c r="AV78" i="58"/>
  <c r="AU78" i="58"/>
  <c r="AT78" i="58"/>
  <c r="AS78" i="58"/>
  <c r="AR78" i="58"/>
  <c r="AQ78" i="58"/>
  <c r="AP78" i="58"/>
  <c r="AO78" i="58"/>
  <c r="AN78" i="58"/>
  <c r="AM78" i="58"/>
  <c r="BP74" i="58"/>
  <c r="BO74" i="58"/>
  <c r="BN74" i="58"/>
  <c r="BM74" i="58"/>
  <c r="BL74" i="58"/>
  <c r="BK74" i="58"/>
  <c r="BJ74" i="58"/>
  <c r="BI74" i="58"/>
  <c r="BH74" i="58"/>
  <c r="BG74" i="58"/>
  <c r="BF74" i="58"/>
  <c r="BE74" i="58"/>
  <c r="BD74" i="58"/>
  <c r="BC74" i="58"/>
  <c r="BB74" i="58"/>
  <c r="BA74" i="58"/>
  <c r="AZ74" i="58"/>
  <c r="AY74" i="58"/>
  <c r="AX74" i="58"/>
  <c r="AW74" i="58"/>
  <c r="AV74" i="58"/>
  <c r="AU74" i="58"/>
  <c r="AT74" i="58"/>
  <c r="AS74" i="58"/>
  <c r="AR74" i="58"/>
  <c r="AQ74" i="58"/>
  <c r="AP74" i="58"/>
  <c r="AO74" i="58"/>
  <c r="AN74" i="58"/>
  <c r="AM74" i="58"/>
  <c r="BP72" i="58"/>
  <c r="BO72" i="58"/>
  <c r="BN72" i="58"/>
  <c r="BM72" i="58"/>
  <c r="BL72" i="58"/>
  <c r="BK72" i="58"/>
  <c r="BJ72" i="58"/>
  <c r="BI72" i="58"/>
  <c r="BH72" i="58"/>
  <c r="BG72" i="58"/>
  <c r="BF72" i="58"/>
  <c r="BE72" i="58"/>
  <c r="BD72" i="58"/>
  <c r="BC72" i="58"/>
  <c r="BB72" i="58"/>
  <c r="BA72" i="58"/>
  <c r="AZ72" i="58"/>
  <c r="AY72" i="58"/>
  <c r="AX72" i="58"/>
  <c r="AW72" i="58"/>
  <c r="AV72" i="58"/>
  <c r="AU72" i="58"/>
  <c r="AT72" i="58"/>
  <c r="AS72" i="58"/>
  <c r="AR72" i="58"/>
  <c r="AQ72" i="58"/>
  <c r="AP72" i="58"/>
  <c r="AO72" i="58"/>
  <c r="AN72" i="58"/>
  <c r="AM72" i="58"/>
  <c r="BP70" i="58"/>
  <c r="BO70" i="58"/>
  <c r="BN70" i="58"/>
  <c r="BM70" i="58"/>
  <c r="BL70" i="58"/>
  <c r="BK70" i="58"/>
  <c r="BJ70" i="58"/>
  <c r="BI70" i="58"/>
  <c r="BH70" i="58"/>
  <c r="BG70" i="58"/>
  <c r="BF70" i="58"/>
  <c r="BE70" i="58"/>
  <c r="BD70" i="58"/>
  <c r="BC70" i="58"/>
  <c r="BB70" i="58"/>
  <c r="BA70" i="58"/>
  <c r="AZ70" i="58"/>
  <c r="AY70" i="58"/>
  <c r="AX70" i="58"/>
  <c r="AW70" i="58"/>
  <c r="AV70" i="58"/>
  <c r="AU70" i="58"/>
  <c r="AT70" i="58"/>
  <c r="AS70" i="58"/>
  <c r="AR70" i="58"/>
  <c r="AQ70" i="58"/>
  <c r="AP70" i="58"/>
  <c r="AO70" i="58"/>
  <c r="AN70" i="58"/>
  <c r="AM70" i="58"/>
  <c r="BP66" i="58"/>
  <c r="BO66" i="58"/>
  <c r="BN66" i="58"/>
  <c r="BM66" i="58"/>
  <c r="BL66" i="58"/>
  <c r="BK66" i="58"/>
  <c r="BJ66" i="58"/>
  <c r="BI66" i="58"/>
  <c r="BH66" i="58"/>
  <c r="BG66" i="58"/>
  <c r="BF66" i="58"/>
  <c r="BE66" i="58"/>
  <c r="BD66" i="58"/>
  <c r="BC66" i="58"/>
  <c r="BB66" i="58"/>
  <c r="BA66" i="58"/>
  <c r="AZ66" i="58"/>
  <c r="AY66" i="58"/>
  <c r="AX66" i="58"/>
  <c r="AW66" i="58"/>
  <c r="AV66" i="58"/>
  <c r="AU66" i="58"/>
  <c r="AT66" i="58"/>
  <c r="AS66" i="58"/>
  <c r="AR66" i="58"/>
  <c r="AQ66" i="58"/>
  <c r="AP66" i="58"/>
  <c r="AO66" i="58"/>
  <c r="AN66" i="58"/>
  <c r="AM66" i="58"/>
  <c r="BP64" i="58"/>
  <c r="BO64" i="58"/>
  <c r="BN64" i="58"/>
  <c r="BM64" i="58"/>
  <c r="BL64" i="58"/>
  <c r="BK64" i="58"/>
  <c r="BJ64" i="58"/>
  <c r="BI64" i="58"/>
  <c r="BH64" i="58"/>
  <c r="BG64" i="58"/>
  <c r="BF64" i="58"/>
  <c r="BE64" i="58"/>
  <c r="BD64" i="58"/>
  <c r="BC64" i="58"/>
  <c r="BB64" i="58"/>
  <c r="BA64" i="58"/>
  <c r="AZ64" i="58"/>
  <c r="AY64" i="58"/>
  <c r="AX64" i="58"/>
  <c r="AW64" i="58"/>
  <c r="AV64" i="58"/>
  <c r="AU64" i="58"/>
  <c r="AT64" i="58"/>
  <c r="AS64" i="58"/>
  <c r="AR64" i="58"/>
  <c r="AQ64" i="58"/>
  <c r="AP64" i="58"/>
  <c r="AO64" i="58"/>
  <c r="AN64" i="58"/>
  <c r="AM64" i="58"/>
  <c r="BP62" i="58"/>
  <c r="BO62" i="58"/>
  <c r="BN62" i="58"/>
  <c r="BM62" i="58"/>
  <c r="BL62" i="58"/>
  <c r="BK62" i="58"/>
  <c r="BJ62" i="58"/>
  <c r="BI62" i="58"/>
  <c r="BH62" i="58"/>
  <c r="BG62" i="58"/>
  <c r="BF62" i="58"/>
  <c r="BE62" i="58"/>
  <c r="BD62" i="58"/>
  <c r="BC62" i="58"/>
  <c r="BB62" i="58"/>
  <c r="BA62" i="58"/>
  <c r="AZ62" i="58"/>
  <c r="AY62" i="58"/>
  <c r="AX62" i="58"/>
  <c r="AW62" i="58"/>
  <c r="AV62" i="58"/>
  <c r="AU62" i="58"/>
  <c r="AT62" i="58"/>
  <c r="AS62" i="58"/>
  <c r="AR62" i="58"/>
  <c r="AQ62" i="58"/>
  <c r="AP62" i="58"/>
  <c r="AO62" i="58"/>
  <c r="AN62" i="58"/>
  <c r="AM62" i="58"/>
  <c r="BP60" i="58"/>
  <c r="BO60" i="58"/>
  <c r="BN60" i="58"/>
  <c r="BM60" i="58"/>
  <c r="BL60" i="58"/>
  <c r="BK60" i="58"/>
  <c r="BJ60" i="58"/>
  <c r="BI60" i="58"/>
  <c r="BH60" i="58"/>
  <c r="BG60" i="58"/>
  <c r="BF60" i="58"/>
  <c r="BE60" i="58"/>
  <c r="BD60" i="58"/>
  <c r="BC60" i="58"/>
  <c r="BB60" i="58"/>
  <c r="BA60" i="58"/>
  <c r="AZ60" i="58"/>
  <c r="AY60" i="58"/>
  <c r="AX60" i="58"/>
  <c r="AW60" i="58"/>
  <c r="AV60" i="58"/>
  <c r="AU60" i="58"/>
  <c r="AT60" i="58"/>
  <c r="AS60" i="58"/>
  <c r="AR60" i="58"/>
  <c r="AQ60" i="58"/>
  <c r="AP60" i="58"/>
  <c r="AO60" i="58"/>
  <c r="AN60" i="58"/>
  <c r="AM60" i="58"/>
  <c r="BP58" i="58"/>
  <c r="BO58" i="58"/>
  <c r="BN58" i="58"/>
  <c r="BM58" i="58"/>
  <c r="BL58" i="58"/>
  <c r="BK58" i="58"/>
  <c r="BJ58" i="58"/>
  <c r="BI58" i="58"/>
  <c r="BH58" i="58"/>
  <c r="BG58" i="58"/>
  <c r="BF58" i="58"/>
  <c r="BE58" i="58"/>
  <c r="BD58" i="58"/>
  <c r="BC58" i="58"/>
  <c r="BB58" i="58"/>
  <c r="BA58" i="58"/>
  <c r="AZ58" i="58"/>
  <c r="AY58" i="58"/>
  <c r="AX58" i="58"/>
  <c r="AW58" i="58"/>
  <c r="AV58" i="58"/>
  <c r="AU58" i="58"/>
  <c r="AT58" i="58"/>
  <c r="AS58" i="58"/>
  <c r="AR58" i="58"/>
  <c r="AQ58" i="58"/>
  <c r="AP58" i="58"/>
  <c r="AO58" i="58"/>
  <c r="AN58" i="58"/>
  <c r="AM58" i="58"/>
  <c r="BP56" i="58"/>
  <c r="BO56" i="58"/>
  <c r="BN56" i="58"/>
  <c r="BM56" i="58"/>
  <c r="BL56" i="58"/>
  <c r="BK56" i="58"/>
  <c r="BJ56" i="58"/>
  <c r="BI56" i="58"/>
  <c r="BH56" i="58"/>
  <c r="BG56" i="58"/>
  <c r="BF56" i="58"/>
  <c r="BE56" i="58"/>
  <c r="BD56" i="58"/>
  <c r="BC56" i="58"/>
  <c r="BB56" i="58"/>
  <c r="BA56" i="58"/>
  <c r="AZ56" i="58"/>
  <c r="AY56" i="58"/>
  <c r="AX56" i="58"/>
  <c r="AW56" i="58"/>
  <c r="AV56" i="58"/>
  <c r="AU56" i="58"/>
  <c r="AT56" i="58"/>
  <c r="AS56" i="58"/>
  <c r="AR56" i="58"/>
  <c r="AQ56" i="58"/>
  <c r="AP56" i="58"/>
  <c r="AO56" i="58"/>
  <c r="AN56" i="58"/>
  <c r="AM56" i="58"/>
  <c r="BP54" i="58"/>
  <c r="BO54" i="58"/>
  <c r="BN54" i="58"/>
  <c r="BM54" i="58"/>
  <c r="BL54" i="58"/>
  <c r="BK54" i="58"/>
  <c r="BJ54" i="58"/>
  <c r="BI54" i="58"/>
  <c r="BH54" i="58"/>
  <c r="BG54" i="58"/>
  <c r="BF54" i="58"/>
  <c r="BE54" i="58"/>
  <c r="BD54" i="58"/>
  <c r="BC54" i="58"/>
  <c r="BB54" i="58"/>
  <c r="BA54" i="58"/>
  <c r="AZ54" i="58"/>
  <c r="AY54" i="58"/>
  <c r="AX54" i="58"/>
  <c r="AW54" i="58"/>
  <c r="AV54" i="58"/>
  <c r="AU54" i="58"/>
  <c r="AT54" i="58"/>
  <c r="AS54" i="58"/>
  <c r="AR54" i="58"/>
  <c r="AQ54" i="58"/>
  <c r="AP54" i="58"/>
  <c r="AO54" i="58"/>
  <c r="AN54" i="58"/>
  <c r="AM54" i="58"/>
  <c r="BP52" i="58"/>
  <c r="BO52" i="58"/>
  <c r="BN52" i="58"/>
  <c r="BM52" i="58"/>
  <c r="BL52" i="58"/>
  <c r="BK52" i="58"/>
  <c r="BJ52" i="58"/>
  <c r="BI52" i="58"/>
  <c r="BH52" i="58"/>
  <c r="BG52" i="58"/>
  <c r="BF52" i="58"/>
  <c r="BE52" i="58"/>
  <c r="BD52" i="58"/>
  <c r="BC52" i="58"/>
  <c r="BB52" i="58"/>
  <c r="BA52" i="58"/>
  <c r="AZ52" i="58"/>
  <c r="AY52" i="58"/>
  <c r="AX52" i="58"/>
  <c r="AW52" i="58"/>
  <c r="AV52" i="58"/>
  <c r="AU52" i="58"/>
  <c r="AT52" i="58"/>
  <c r="AS52" i="58"/>
  <c r="AR52" i="58"/>
  <c r="AQ52" i="58"/>
  <c r="AP52" i="58"/>
  <c r="AO52" i="58"/>
  <c r="AN52" i="58"/>
  <c r="AM52" i="58"/>
  <c r="BP50" i="58"/>
  <c r="BO50" i="58"/>
  <c r="BN50" i="58"/>
  <c r="BM50" i="58"/>
  <c r="BL50" i="58"/>
  <c r="BK50" i="58"/>
  <c r="BJ50" i="58"/>
  <c r="BI50" i="58"/>
  <c r="BH50" i="58"/>
  <c r="BG50" i="58"/>
  <c r="BF50" i="58"/>
  <c r="BE50" i="58"/>
  <c r="BD50" i="58"/>
  <c r="BC50" i="58"/>
  <c r="BB50" i="58"/>
  <c r="BA50" i="58"/>
  <c r="AZ50" i="58"/>
  <c r="AY50" i="58"/>
  <c r="AX50" i="58"/>
  <c r="AW50" i="58"/>
  <c r="AV50" i="58"/>
  <c r="AU50" i="58"/>
  <c r="AT50" i="58"/>
  <c r="AS50" i="58"/>
  <c r="AR50" i="58"/>
  <c r="AQ50" i="58"/>
  <c r="AP50" i="58"/>
  <c r="AO50" i="58"/>
  <c r="AN50" i="58"/>
  <c r="AM50" i="58"/>
  <c r="BP48" i="58"/>
  <c r="BO48" i="58"/>
  <c r="BN48" i="58"/>
  <c r="BM48" i="58"/>
  <c r="BL48" i="58"/>
  <c r="BK48" i="58"/>
  <c r="BJ48" i="58"/>
  <c r="BI48" i="58"/>
  <c r="BH48" i="58"/>
  <c r="BG48" i="58"/>
  <c r="BF48" i="58"/>
  <c r="BE48" i="58"/>
  <c r="BD48" i="58"/>
  <c r="BC48" i="58"/>
  <c r="BB48" i="58"/>
  <c r="BA48" i="58"/>
  <c r="AZ48" i="58"/>
  <c r="AY48" i="58"/>
  <c r="AX48" i="58"/>
  <c r="AW48" i="58"/>
  <c r="AV48" i="58"/>
  <c r="AU48" i="58"/>
  <c r="AT48" i="58"/>
  <c r="AS48" i="58"/>
  <c r="AR48" i="58"/>
  <c r="AQ48" i="58"/>
  <c r="AP48" i="58"/>
  <c r="AO48" i="58"/>
  <c r="AN48" i="58"/>
  <c r="AM48" i="58"/>
  <c r="BP46" i="58"/>
  <c r="BO46" i="58"/>
  <c r="BN46" i="58"/>
  <c r="BM46" i="58"/>
  <c r="BL46" i="58"/>
  <c r="BK46" i="58"/>
  <c r="BJ46" i="58"/>
  <c r="BI46" i="58"/>
  <c r="BH46" i="58"/>
  <c r="BG46" i="58"/>
  <c r="BF46" i="58"/>
  <c r="BE46" i="58"/>
  <c r="BD46" i="58"/>
  <c r="BC46" i="58"/>
  <c r="BB46" i="58"/>
  <c r="BA46" i="58"/>
  <c r="AZ46" i="58"/>
  <c r="AY46" i="58"/>
  <c r="AX46" i="58"/>
  <c r="AW46" i="58"/>
  <c r="AV46" i="58"/>
  <c r="AU46" i="58"/>
  <c r="AT46" i="58"/>
  <c r="AS46" i="58"/>
  <c r="AR46" i="58"/>
  <c r="AQ46" i="58"/>
  <c r="AP46" i="58"/>
  <c r="AO46" i="58"/>
  <c r="AN46" i="58"/>
  <c r="AM46" i="58"/>
  <c r="BP44" i="58"/>
  <c r="BO44" i="58"/>
  <c r="BN44" i="58"/>
  <c r="BM44" i="58"/>
  <c r="BL44" i="58"/>
  <c r="BK44" i="58"/>
  <c r="BJ44" i="58"/>
  <c r="BI44" i="58"/>
  <c r="BH44" i="58"/>
  <c r="BG44" i="58"/>
  <c r="BF44" i="58"/>
  <c r="BE44" i="58"/>
  <c r="BD44" i="58"/>
  <c r="BC44" i="58"/>
  <c r="BB44" i="58"/>
  <c r="BA44" i="58"/>
  <c r="AZ44" i="58"/>
  <c r="AY44" i="58"/>
  <c r="AX44" i="58"/>
  <c r="AW44" i="58"/>
  <c r="AV44" i="58"/>
  <c r="AU44" i="58"/>
  <c r="AT44" i="58"/>
  <c r="AS44" i="58"/>
  <c r="AR44" i="58"/>
  <c r="AQ44" i="58"/>
  <c r="AP44" i="58"/>
  <c r="AO44" i="58"/>
  <c r="AN44" i="58"/>
  <c r="AM44" i="58"/>
  <c r="BP42" i="58"/>
  <c r="BO42" i="58"/>
  <c r="BN42" i="58"/>
  <c r="BM42" i="58"/>
  <c r="BL42" i="58"/>
  <c r="BK42" i="58"/>
  <c r="BJ42" i="58"/>
  <c r="BI42" i="58"/>
  <c r="BH42" i="58"/>
  <c r="BG42" i="58"/>
  <c r="BF42" i="58"/>
  <c r="BE42" i="58"/>
  <c r="BD42" i="58"/>
  <c r="BC42" i="58"/>
  <c r="BB42" i="58"/>
  <c r="BA42" i="58"/>
  <c r="AZ42" i="58"/>
  <c r="AY42" i="58"/>
  <c r="AX42" i="58"/>
  <c r="AW42" i="58"/>
  <c r="AV42" i="58"/>
  <c r="AU42" i="58"/>
  <c r="AT42" i="58"/>
  <c r="AS42" i="58"/>
  <c r="AR42" i="58"/>
  <c r="AQ42" i="58"/>
  <c r="AP42" i="58"/>
  <c r="AO42" i="58"/>
  <c r="AN42" i="58"/>
  <c r="AM42" i="58"/>
  <c r="BP40" i="58"/>
  <c r="BO40" i="58"/>
  <c r="BN40" i="58"/>
  <c r="BM40" i="58"/>
  <c r="BL40" i="58"/>
  <c r="BK40" i="58"/>
  <c r="BJ40" i="58"/>
  <c r="BI40" i="58"/>
  <c r="BH40" i="58"/>
  <c r="BG40" i="58"/>
  <c r="BF40" i="58"/>
  <c r="BE40" i="58"/>
  <c r="BD40" i="58"/>
  <c r="BC40" i="58"/>
  <c r="BB40" i="58"/>
  <c r="BA40" i="58"/>
  <c r="AZ40" i="58"/>
  <c r="AY40" i="58"/>
  <c r="AX40" i="58"/>
  <c r="AW40" i="58"/>
  <c r="AV40" i="58"/>
  <c r="AU40" i="58"/>
  <c r="AT40" i="58"/>
  <c r="AS40" i="58"/>
  <c r="AR40" i="58"/>
  <c r="AQ40" i="58"/>
  <c r="AP40" i="58"/>
  <c r="AO40" i="58"/>
  <c r="AN40" i="58"/>
  <c r="AM40" i="58"/>
  <c r="CH38" i="58"/>
  <c r="CG38" i="58"/>
  <c r="CF38" i="58"/>
  <c r="CE38" i="58"/>
  <c r="CD38" i="58"/>
  <c r="CC38" i="58"/>
  <c r="CB38" i="58"/>
  <c r="CA38" i="58"/>
  <c r="BL92" i="58" s="1"/>
  <c r="BZ38" i="58"/>
  <c r="BY38" i="58"/>
  <c r="BX38" i="58"/>
  <c r="BW38" i="58"/>
  <c r="BV38" i="58"/>
  <c r="BP38" i="58"/>
  <c r="BO38" i="58"/>
  <c r="BN38" i="58"/>
  <c r="BM38" i="58"/>
  <c r="BL38" i="58"/>
  <c r="BK38" i="58"/>
  <c r="BJ38" i="58"/>
  <c r="BI38" i="58"/>
  <c r="BH38" i="58"/>
  <c r="BG38" i="58"/>
  <c r="BF38" i="58"/>
  <c r="BE38" i="58"/>
  <c r="BD38" i="58"/>
  <c r="BC38" i="58"/>
  <c r="BB38" i="58"/>
  <c r="BA38" i="58"/>
  <c r="AZ38" i="58"/>
  <c r="AY38" i="58"/>
  <c r="AX38" i="58"/>
  <c r="AW38" i="58"/>
  <c r="AV38" i="58"/>
  <c r="AU38" i="58"/>
  <c r="AT38" i="58"/>
  <c r="AS38" i="58"/>
  <c r="AR38" i="58"/>
  <c r="AQ38" i="58"/>
  <c r="AP38" i="58"/>
  <c r="AO38" i="58"/>
  <c r="AN38" i="58"/>
  <c r="AM38" i="58"/>
  <c r="BP36" i="58"/>
  <c r="BO36" i="58"/>
  <c r="BN36" i="58"/>
  <c r="BM36" i="58"/>
  <c r="BL36" i="58"/>
  <c r="BK36" i="58"/>
  <c r="BJ36" i="58"/>
  <c r="BI36" i="58"/>
  <c r="BH36" i="58"/>
  <c r="BG36" i="58"/>
  <c r="BF36" i="58"/>
  <c r="BE36" i="58"/>
  <c r="BD36" i="58"/>
  <c r="BC36" i="58"/>
  <c r="BB36" i="58"/>
  <c r="BA36" i="58"/>
  <c r="AZ36" i="58"/>
  <c r="AY36" i="58"/>
  <c r="AX36" i="58"/>
  <c r="AW36" i="58"/>
  <c r="AV36" i="58"/>
  <c r="AU36" i="58"/>
  <c r="AT36" i="58"/>
  <c r="AS36" i="58"/>
  <c r="AR36" i="58"/>
  <c r="AQ36" i="58"/>
  <c r="AP36" i="58"/>
  <c r="AO36" i="58"/>
  <c r="AN36" i="58"/>
  <c r="AM36" i="58"/>
  <c r="BL34" i="58"/>
  <c r="BJ34" i="58"/>
  <c r="BD34" i="58"/>
  <c r="BB34" i="58"/>
  <c r="AV34" i="58"/>
  <c r="AT34" i="58"/>
  <c r="AP34" i="58"/>
  <c r="AO34" i="58"/>
  <c r="AN34" i="58"/>
  <c r="AM34" i="58"/>
  <c r="BP32" i="58"/>
  <c r="BO32" i="58"/>
  <c r="BN32" i="58"/>
  <c r="BM32" i="58"/>
  <c r="BL32" i="58"/>
  <c r="BK32" i="58"/>
  <c r="BJ32" i="58"/>
  <c r="BI32" i="58"/>
  <c r="BH32" i="58"/>
  <c r="BG32" i="58"/>
  <c r="BF32" i="58"/>
  <c r="BE32" i="58"/>
  <c r="BD32" i="58"/>
  <c r="BC32" i="58"/>
  <c r="BB32" i="58"/>
  <c r="BA32" i="58"/>
  <c r="AZ32" i="58"/>
  <c r="AY32" i="58"/>
  <c r="AX32" i="58"/>
  <c r="AW32" i="58"/>
  <c r="AV32" i="58"/>
  <c r="AU32" i="58"/>
  <c r="AT32" i="58"/>
  <c r="AS32" i="58"/>
  <c r="AR32" i="58"/>
  <c r="AQ32" i="58"/>
  <c r="AP32" i="58"/>
  <c r="AO32" i="58"/>
  <c r="AN32" i="58"/>
  <c r="AM32" i="58"/>
  <c r="BY30" i="58"/>
  <c r="BX30" i="58"/>
  <c r="BW30" i="58"/>
  <c r="BV30" i="58"/>
  <c r="BP30" i="58"/>
  <c r="BO30" i="58"/>
  <c r="BN30" i="58"/>
  <c r="BM30" i="58"/>
  <c r="BL30" i="58"/>
  <c r="BK30" i="58"/>
  <c r="BJ30" i="58"/>
  <c r="BI30" i="58"/>
  <c r="BH30" i="58"/>
  <c r="BG30" i="58"/>
  <c r="BF30" i="58"/>
  <c r="BE30" i="58"/>
  <c r="BD30" i="58"/>
  <c r="BC30" i="58"/>
  <c r="BB30" i="58"/>
  <c r="BA30" i="58"/>
  <c r="AZ30" i="58"/>
  <c r="AY30" i="58"/>
  <c r="AX30" i="58"/>
  <c r="AW30" i="58"/>
  <c r="AV30" i="58"/>
  <c r="AU30" i="58"/>
  <c r="AT30" i="58"/>
  <c r="AS30" i="58"/>
  <c r="AR30" i="58"/>
  <c r="AQ30" i="58"/>
  <c r="AP30" i="58"/>
  <c r="AO30" i="58"/>
  <c r="AN30" i="58"/>
  <c r="AM30" i="58"/>
  <c r="BV29" i="58"/>
  <c r="BY28" i="58"/>
  <c r="BX28" i="58"/>
  <c r="BW28" i="58"/>
  <c r="BV28" i="58"/>
  <c r="BP28" i="58"/>
  <c r="BO28" i="58"/>
  <c r="BN28" i="58"/>
  <c r="BM28" i="58"/>
  <c r="BL28" i="58"/>
  <c r="BK28" i="58"/>
  <c r="BJ28" i="58"/>
  <c r="BI28" i="58"/>
  <c r="BH28" i="58"/>
  <c r="BG28" i="58"/>
  <c r="BF28" i="58"/>
  <c r="BE28" i="58"/>
  <c r="BD28" i="58"/>
  <c r="BC28" i="58"/>
  <c r="BB28" i="58"/>
  <c r="BA28" i="58"/>
  <c r="AZ28" i="58"/>
  <c r="AY28" i="58"/>
  <c r="AX28" i="58"/>
  <c r="AW28" i="58"/>
  <c r="AV28" i="58"/>
  <c r="AU28" i="58"/>
  <c r="AT28" i="58"/>
  <c r="AS28" i="58"/>
  <c r="AR28" i="58"/>
  <c r="AQ28" i="58"/>
  <c r="AP28" i="58"/>
  <c r="AO28" i="58"/>
  <c r="AN28" i="58"/>
  <c r="AM28" i="58"/>
  <c r="BV27" i="58"/>
  <c r="BY26" i="58"/>
  <c r="BY32" i="58" s="1"/>
  <c r="AP92" i="58" s="1"/>
  <c r="U6" i="58" s="1"/>
  <c r="BX26" i="58"/>
  <c r="BX32" i="58" s="1"/>
  <c r="BW26" i="58"/>
  <c r="BW32" i="58" s="1"/>
  <c r="BV26" i="58"/>
  <c r="BV32" i="58" s="1"/>
  <c r="BP26" i="58"/>
  <c r="BO26" i="58"/>
  <c r="BN26" i="58"/>
  <c r="BM26" i="58"/>
  <c r="BL26" i="58"/>
  <c r="BK26" i="58"/>
  <c r="BJ26" i="58"/>
  <c r="BI26" i="58"/>
  <c r="BH26" i="58"/>
  <c r="BG26" i="58"/>
  <c r="BF26" i="58"/>
  <c r="BE26" i="58"/>
  <c r="BD26" i="58"/>
  <c r="BC26" i="58"/>
  <c r="BB26" i="58"/>
  <c r="BA26" i="58"/>
  <c r="AZ26" i="58"/>
  <c r="AY26" i="58"/>
  <c r="AX26" i="58"/>
  <c r="AW26" i="58"/>
  <c r="AV26" i="58"/>
  <c r="AU26" i="58"/>
  <c r="AT26" i="58"/>
  <c r="AS26" i="58"/>
  <c r="AR26" i="58"/>
  <c r="AQ26" i="58"/>
  <c r="AP26" i="58"/>
  <c r="AO26" i="58"/>
  <c r="AN26" i="58"/>
  <c r="AM26" i="58"/>
  <c r="BP24" i="58"/>
  <c r="BO24" i="58"/>
  <c r="BN24" i="58"/>
  <c r="BM24" i="58"/>
  <c r="BL24" i="58"/>
  <c r="BK24" i="58"/>
  <c r="BJ24" i="58"/>
  <c r="BI24" i="58"/>
  <c r="BH24" i="58"/>
  <c r="BG24" i="58"/>
  <c r="BF24" i="58"/>
  <c r="BE24" i="58"/>
  <c r="BD24" i="58"/>
  <c r="BC24" i="58"/>
  <c r="BB24" i="58"/>
  <c r="BA24" i="58"/>
  <c r="AZ24" i="58"/>
  <c r="AY24" i="58"/>
  <c r="AX24" i="58"/>
  <c r="AW24" i="58"/>
  <c r="AV24" i="58"/>
  <c r="AU24" i="58"/>
  <c r="AT24" i="58"/>
  <c r="AS24" i="58"/>
  <c r="AR24" i="58"/>
  <c r="AQ24" i="58"/>
  <c r="AP24" i="58"/>
  <c r="AO24" i="58"/>
  <c r="AN24" i="58"/>
  <c r="AM24" i="58"/>
  <c r="BP22" i="58"/>
  <c r="BO22" i="58"/>
  <c r="BN22" i="58"/>
  <c r="BM22" i="58"/>
  <c r="BL22" i="58"/>
  <c r="BK22" i="58"/>
  <c r="BJ22" i="58"/>
  <c r="BI22" i="58"/>
  <c r="BH22" i="58"/>
  <c r="BG22" i="58"/>
  <c r="BF22" i="58"/>
  <c r="BE22" i="58"/>
  <c r="BD22" i="58"/>
  <c r="BC22" i="58"/>
  <c r="BB22" i="58"/>
  <c r="BA22" i="58"/>
  <c r="AZ22" i="58"/>
  <c r="AY22" i="58"/>
  <c r="AX22" i="58"/>
  <c r="AW22" i="58"/>
  <c r="AV22" i="58"/>
  <c r="AU22" i="58"/>
  <c r="AT22" i="58"/>
  <c r="AS22" i="58"/>
  <c r="AR22" i="58"/>
  <c r="AQ22" i="58"/>
  <c r="AP22" i="58"/>
  <c r="AO22" i="58"/>
  <c r="AN22" i="58"/>
  <c r="AM22" i="58"/>
  <c r="BV20" i="58"/>
  <c r="BP20" i="58"/>
  <c r="BO20" i="58"/>
  <c r="BN20" i="58"/>
  <c r="BM20" i="58"/>
  <c r="BL20" i="58"/>
  <c r="BK20" i="58"/>
  <c r="BJ20" i="58"/>
  <c r="BI20" i="58"/>
  <c r="BH20" i="58"/>
  <c r="BG20" i="58"/>
  <c r="BF20" i="58"/>
  <c r="BE20" i="58"/>
  <c r="BD20" i="58"/>
  <c r="BC20" i="58"/>
  <c r="BB20" i="58"/>
  <c r="BA20" i="58"/>
  <c r="AZ20" i="58"/>
  <c r="AY20" i="58"/>
  <c r="AX20" i="58"/>
  <c r="AW20" i="58"/>
  <c r="AV20" i="58"/>
  <c r="AU20" i="58"/>
  <c r="AT20" i="58"/>
  <c r="AS20" i="58"/>
  <c r="AR20" i="58"/>
  <c r="AQ20" i="58"/>
  <c r="AP20" i="58"/>
  <c r="AO20" i="58"/>
  <c r="AN20" i="58"/>
  <c r="AM20" i="58"/>
  <c r="BP18" i="58"/>
  <c r="BO18" i="58"/>
  <c r="BN18" i="58"/>
  <c r="BM18" i="58"/>
  <c r="BL18" i="58"/>
  <c r="BK18" i="58"/>
  <c r="BJ18" i="58"/>
  <c r="BI18" i="58"/>
  <c r="BH18" i="58"/>
  <c r="BG18" i="58"/>
  <c r="BF18" i="58"/>
  <c r="BE18" i="58"/>
  <c r="BD18" i="58"/>
  <c r="BC18" i="58"/>
  <c r="BB18" i="58"/>
  <c r="BA18" i="58"/>
  <c r="AZ18" i="58"/>
  <c r="AY18" i="58"/>
  <c r="AX18" i="58"/>
  <c r="AW18" i="58"/>
  <c r="AV18" i="58"/>
  <c r="AU18" i="58"/>
  <c r="AT18" i="58"/>
  <c r="AS18" i="58"/>
  <c r="AR18" i="58"/>
  <c r="AQ18" i="58"/>
  <c r="AP18" i="58"/>
  <c r="AO18" i="58"/>
  <c r="AN18" i="58"/>
  <c r="AM18" i="58"/>
  <c r="BP16" i="58"/>
  <c r="BO16" i="58"/>
  <c r="BN16" i="58"/>
  <c r="BM16" i="58"/>
  <c r="BL16" i="58"/>
  <c r="BK16" i="58"/>
  <c r="BJ16" i="58"/>
  <c r="BJ92" i="58" s="1"/>
  <c r="F195" i="58" s="1"/>
  <c r="BI16" i="58"/>
  <c r="BH16" i="58"/>
  <c r="BG16" i="58"/>
  <c r="BF16" i="58"/>
  <c r="BE16" i="58"/>
  <c r="BD16" i="58"/>
  <c r="BD92" i="58" s="1"/>
  <c r="F203" i="58" s="1"/>
  <c r="BC16" i="58"/>
  <c r="BB16" i="58"/>
  <c r="BB92" i="58" s="1"/>
  <c r="F192" i="58" s="1"/>
  <c r="BA16" i="58"/>
  <c r="AZ16" i="58"/>
  <c r="AY16" i="58"/>
  <c r="AX16" i="58"/>
  <c r="AW16" i="58"/>
  <c r="AV16" i="58"/>
  <c r="AV92" i="58" s="1"/>
  <c r="F206" i="58" s="1"/>
  <c r="AU16" i="58"/>
  <c r="AT16" i="58"/>
  <c r="AT92" i="58" s="1"/>
  <c r="U8" i="58" s="1"/>
  <c r="AP8" i="58" s="1"/>
  <c r="AS16" i="58"/>
  <c r="AR16" i="58"/>
  <c r="AQ16" i="58"/>
  <c r="AP16" i="58"/>
  <c r="AO16" i="58"/>
  <c r="AN16" i="58"/>
  <c r="AM16" i="58"/>
  <c r="D277" i="57"/>
  <c r="D276" i="57"/>
  <c r="BD50" i="57" s="1"/>
  <c r="D275" i="57"/>
  <c r="BI34" i="57" s="1"/>
  <c r="B275" i="57"/>
  <c r="Q273" i="57"/>
  <c r="O273" i="57"/>
  <c r="M273" i="57"/>
  <c r="AZ272" i="57"/>
  <c r="AY272" i="57"/>
  <c r="AW272" i="57"/>
  <c r="AV272" i="57"/>
  <c r="AN272" i="57"/>
  <c r="Q272" i="57"/>
  <c r="O272" i="57"/>
  <c r="M272" i="57"/>
  <c r="AZ271" i="57"/>
  <c r="AY271" i="57"/>
  <c r="AW271" i="57"/>
  <c r="AV271" i="57"/>
  <c r="Q271" i="57"/>
  <c r="O271" i="57"/>
  <c r="M271" i="57"/>
  <c r="AZ270" i="57"/>
  <c r="AY270" i="57"/>
  <c r="AW270" i="57"/>
  <c r="AV270" i="57"/>
  <c r="AN270" i="57"/>
  <c r="Q270" i="57"/>
  <c r="O270" i="57"/>
  <c r="M270" i="57"/>
  <c r="AZ269" i="57"/>
  <c r="AY269" i="57"/>
  <c r="AW269" i="57"/>
  <c r="AV269" i="57"/>
  <c r="Q269" i="57"/>
  <c r="O269" i="57"/>
  <c r="M269" i="57"/>
  <c r="AZ268" i="57"/>
  <c r="AY268" i="57"/>
  <c r="AW268" i="57"/>
  <c r="AV268" i="57"/>
  <c r="AN268" i="57"/>
  <c r="Q268" i="57"/>
  <c r="O268" i="57"/>
  <c r="M268" i="57"/>
  <c r="AZ267" i="57"/>
  <c r="AY267" i="57"/>
  <c r="AW267" i="57"/>
  <c r="AV267" i="57"/>
  <c r="Q267" i="57"/>
  <c r="O267" i="57"/>
  <c r="M267" i="57"/>
  <c r="AZ266" i="57"/>
  <c r="AY266" i="57"/>
  <c r="AW266" i="57"/>
  <c r="AV266" i="57"/>
  <c r="AN266" i="57"/>
  <c r="Q266" i="57"/>
  <c r="O266" i="57"/>
  <c r="M266" i="57"/>
  <c r="AZ265" i="57"/>
  <c r="AY265" i="57"/>
  <c r="AW265" i="57"/>
  <c r="AV265" i="57"/>
  <c r="Q265" i="57"/>
  <c r="O265" i="57"/>
  <c r="M265" i="57"/>
  <c r="AZ264" i="57"/>
  <c r="AY264" i="57"/>
  <c r="AW264" i="57"/>
  <c r="AV264" i="57"/>
  <c r="AN264" i="57"/>
  <c r="Q264" i="57"/>
  <c r="O264" i="57"/>
  <c r="M264" i="57"/>
  <c r="AZ263" i="57"/>
  <c r="AY263" i="57"/>
  <c r="AW263" i="57"/>
  <c r="AV263" i="57"/>
  <c r="Q263" i="57"/>
  <c r="O263" i="57"/>
  <c r="M263" i="57"/>
  <c r="AZ262" i="57"/>
  <c r="AY262" i="57"/>
  <c r="AW262" i="57"/>
  <c r="AV262" i="57"/>
  <c r="AN262" i="57"/>
  <c r="Q262" i="57"/>
  <c r="O262" i="57"/>
  <c r="M262" i="57"/>
  <c r="AZ261" i="57"/>
  <c r="AY261" i="57"/>
  <c r="AW261" i="57"/>
  <c r="Q261" i="57"/>
  <c r="O261" i="57"/>
  <c r="M261" i="57"/>
  <c r="AZ260" i="57"/>
  <c r="AW260" i="57"/>
  <c r="AV260" i="57"/>
  <c r="AN260" i="57"/>
  <c r="Q260" i="57"/>
  <c r="O260" i="57"/>
  <c r="M260" i="57"/>
  <c r="AZ259" i="57"/>
  <c r="AY259" i="57"/>
  <c r="AW259" i="57"/>
  <c r="AV259" i="57"/>
  <c r="Q259" i="57"/>
  <c r="O259" i="57"/>
  <c r="M259" i="57"/>
  <c r="AZ258" i="57"/>
  <c r="AW258" i="57"/>
  <c r="AV258" i="57"/>
  <c r="AN258" i="57"/>
  <c r="Q258" i="57"/>
  <c r="O258" i="57"/>
  <c r="M258" i="57"/>
  <c r="AZ257" i="57"/>
  <c r="Q257" i="57"/>
  <c r="O257" i="57"/>
  <c r="M257" i="57"/>
  <c r="AZ256" i="57"/>
  <c r="AN256" i="57"/>
  <c r="Q256" i="57"/>
  <c r="O256" i="57"/>
  <c r="M256" i="57"/>
  <c r="AZ255" i="57"/>
  <c r="Q255" i="57"/>
  <c r="O255" i="57"/>
  <c r="M255" i="57"/>
  <c r="AZ254" i="57"/>
  <c r="AY254" i="57"/>
  <c r="AN254" i="57"/>
  <c r="Q254" i="57"/>
  <c r="O254" i="57"/>
  <c r="M254" i="57"/>
  <c r="AZ253" i="57"/>
  <c r="AY253" i="57"/>
  <c r="AW253" i="57"/>
  <c r="AV253" i="57"/>
  <c r="Q253" i="57"/>
  <c r="O253" i="57"/>
  <c r="M253" i="57"/>
  <c r="AZ252" i="57"/>
  <c r="AY252" i="57"/>
  <c r="AW252" i="57"/>
  <c r="AV252" i="57"/>
  <c r="AN252" i="57"/>
  <c r="Q252" i="57"/>
  <c r="O252" i="57"/>
  <c r="M252" i="57"/>
  <c r="AZ251" i="57"/>
  <c r="AY251" i="57"/>
  <c r="AW251" i="57"/>
  <c r="AV251" i="57"/>
  <c r="Q251" i="57"/>
  <c r="O251" i="57"/>
  <c r="M251" i="57"/>
  <c r="AZ250" i="57"/>
  <c r="AY250" i="57"/>
  <c r="AW250" i="57"/>
  <c r="AV250" i="57"/>
  <c r="AN250" i="57"/>
  <c r="Q250" i="57"/>
  <c r="O250" i="57"/>
  <c r="M250" i="57"/>
  <c r="AZ249" i="57"/>
  <c r="AY249" i="57"/>
  <c r="AW249" i="57"/>
  <c r="AV249" i="57"/>
  <c r="Q249" i="57"/>
  <c r="O249" i="57"/>
  <c r="M249" i="57"/>
  <c r="AZ248" i="57"/>
  <c r="AY248" i="57"/>
  <c r="AW248" i="57"/>
  <c r="AV248" i="57"/>
  <c r="AN248" i="57"/>
  <c r="Q248" i="57"/>
  <c r="O248" i="57"/>
  <c r="M248" i="57"/>
  <c r="AZ247" i="57"/>
  <c r="AY247" i="57"/>
  <c r="AW247" i="57"/>
  <c r="AV247" i="57"/>
  <c r="Q247" i="57"/>
  <c r="O247" i="57"/>
  <c r="M247" i="57"/>
  <c r="AZ246" i="57"/>
  <c r="AY246" i="57"/>
  <c r="AW246" i="57"/>
  <c r="AV246" i="57"/>
  <c r="AN246" i="57"/>
  <c r="Q246" i="57"/>
  <c r="O246" i="57"/>
  <c r="M246" i="57"/>
  <c r="AZ245" i="57"/>
  <c r="AY245" i="57"/>
  <c r="AW245" i="57"/>
  <c r="AV245" i="57"/>
  <c r="Q245" i="57"/>
  <c r="O245" i="57"/>
  <c r="M245" i="57"/>
  <c r="AZ244" i="57"/>
  <c r="AY244" i="57"/>
  <c r="AW244" i="57"/>
  <c r="AV244" i="57"/>
  <c r="AN244" i="57"/>
  <c r="Q244" i="57"/>
  <c r="O244" i="57"/>
  <c r="M244" i="57"/>
  <c r="AZ243" i="57"/>
  <c r="AY243" i="57"/>
  <c r="AW243" i="57"/>
  <c r="AV243" i="57"/>
  <c r="Q243" i="57"/>
  <c r="O243" i="57"/>
  <c r="M243" i="57"/>
  <c r="AZ242" i="57"/>
  <c r="AY242" i="57"/>
  <c r="AW242" i="57"/>
  <c r="AV242" i="57"/>
  <c r="AN242" i="57"/>
  <c r="Q242" i="57"/>
  <c r="O242" i="57"/>
  <c r="M242" i="57"/>
  <c r="AZ241" i="57"/>
  <c r="AY241" i="57"/>
  <c r="AW241" i="57"/>
  <c r="AV241" i="57"/>
  <c r="Q241" i="57"/>
  <c r="O241" i="57"/>
  <c r="M241" i="57"/>
  <c r="AZ240" i="57"/>
  <c r="AY240" i="57"/>
  <c r="AW240" i="57"/>
  <c r="AV240" i="57"/>
  <c r="AN240" i="57"/>
  <c r="Q240" i="57"/>
  <c r="O240" i="57"/>
  <c r="M240" i="57"/>
  <c r="AZ239" i="57"/>
  <c r="AY239" i="57"/>
  <c r="AW239" i="57"/>
  <c r="AV239" i="57"/>
  <c r="Q239" i="57"/>
  <c r="O239" i="57"/>
  <c r="M239" i="57"/>
  <c r="AZ238" i="57"/>
  <c r="AY238" i="57"/>
  <c r="AW238" i="57"/>
  <c r="AV238" i="57"/>
  <c r="AN238" i="57"/>
  <c r="Q238" i="57"/>
  <c r="Q275" i="57" s="1"/>
  <c r="O238" i="57"/>
  <c r="M238" i="57"/>
  <c r="AZ237" i="57"/>
  <c r="AY237" i="57"/>
  <c r="AW237" i="57"/>
  <c r="AV237" i="57"/>
  <c r="Q237" i="57"/>
  <c r="O237" i="57"/>
  <c r="M237" i="57"/>
  <c r="AZ236" i="57"/>
  <c r="AY236" i="57"/>
  <c r="AW236" i="57"/>
  <c r="AV236" i="57"/>
  <c r="AN236" i="57"/>
  <c r="Q236" i="57"/>
  <c r="O236" i="57"/>
  <c r="M236" i="57"/>
  <c r="AZ235" i="57"/>
  <c r="AY235" i="57"/>
  <c r="AW235" i="57"/>
  <c r="AV235" i="57"/>
  <c r="Q235" i="57"/>
  <c r="O235" i="57"/>
  <c r="M235" i="57"/>
  <c r="AZ234" i="57"/>
  <c r="AY234" i="57"/>
  <c r="AW234" i="57"/>
  <c r="AV234" i="57"/>
  <c r="AN234" i="57"/>
  <c r="Q234" i="57"/>
  <c r="O234" i="57"/>
  <c r="O275" i="57" s="1"/>
  <c r="AN92" i="57" s="1"/>
  <c r="D8" i="57" s="1"/>
  <c r="M234" i="57"/>
  <c r="AT234" i="57" s="1"/>
  <c r="H181" i="57"/>
  <c r="AV261" i="57" s="1"/>
  <c r="H180" i="57"/>
  <c r="AY260" i="57" s="1"/>
  <c r="H179" i="57"/>
  <c r="H178" i="57"/>
  <c r="AY258" i="57" s="1"/>
  <c r="H177" i="57"/>
  <c r="H176" i="57"/>
  <c r="AY257" i="57" s="1"/>
  <c r="H175" i="57"/>
  <c r="AY256" i="57" s="1"/>
  <c r="H174" i="57"/>
  <c r="H173" i="57"/>
  <c r="H172" i="57"/>
  <c r="AY255" i="57" s="1"/>
  <c r="H171" i="57"/>
  <c r="H170" i="57"/>
  <c r="AW254" i="57" s="1"/>
  <c r="H169" i="57"/>
  <c r="H168" i="57"/>
  <c r="H167" i="57"/>
  <c r="H166" i="57"/>
  <c r="H165" i="57"/>
  <c r="H164" i="57"/>
  <c r="H163" i="57"/>
  <c r="H162" i="57"/>
  <c r="H161" i="57"/>
  <c r="H160" i="57"/>
  <c r="H159" i="57"/>
  <c r="H158" i="57"/>
  <c r="H157" i="57"/>
  <c r="H156" i="57"/>
  <c r="H155" i="57"/>
  <c r="H154" i="57"/>
  <c r="H153" i="57"/>
  <c r="H152" i="57"/>
  <c r="H151" i="57"/>
  <c r="H150" i="57"/>
  <c r="H149" i="57"/>
  <c r="H148" i="57"/>
  <c r="H147" i="57"/>
  <c r="H146" i="57"/>
  <c r="H145" i="57"/>
  <c r="H144" i="57"/>
  <c r="H143" i="57"/>
  <c r="H142" i="57"/>
  <c r="H141" i="57"/>
  <c r="H140" i="57"/>
  <c r="H139" i="57"/>
  <c r="H138" i="57"/>
  <c r="H137" i="57"/>
  <c r="H136" i="57"/>
  <c r="H135" i="57"/>
  <c r="H134" i="57"/>
  <c r="H133" i="57"/>
  <c r="H132" i="57"/>
  <c r="H131" i="57"/>
  <c r="H130" i="57"/>
  <c r="H129" i="57"/>
  <c r="H128" i="57"/>
  <c r="H127" i="57"/>
  <c r="H126" i="57"/>
  <c r="H125" i="57"/>
  <c r="H124" i="57"/>
  <c r="H123" i="57"/>
  <c r="H122" i="57"/>
  <c r="H121" i="57"/>
  <c r="H120" i="57"/>
  <c r="H119" i="57"/>
  <c r="H118" i="57"/>
  <c r="H117" i="57"/>
  <c r="H116" i="57"/>
  <c r="H115" i="57"/>
  <c r="H114" i="57"/>
  <c r="H113" i="57"/>
  <c r="H112" i="57"/>
  <c r="H111" i="57"/>
  <c r="H110" i="57"/>
  <c r="H109" i="57"/>
  <c r="H108" i="57"/>
  <c r="H107" i="57"/>
  <c r="H106" i="57"/>
  <c r="H105" i="57"/>
  <c r="H104" i="57"/>
  <c r="H103" i="57"/>
  <c r="B188" i="57" s="1" a="1"/>
  <c r="B188" i="57" s="1"/>
  <c r="BS92" i="57"/>
  <c r="BU90" i="57"/>
  <c r="BT90" i="57"/>
  <c r="BS90" i="57"/>
  <c r="BR90" i="57"/>
  <c r="BQ90" i="57"/>
  <c r="BP90" i="57"/>
  <c r="BO90" i="57"/>
  <c r="BN90" i="57"/>
  <c r="BM90" i="57"/>
  <c r="BL90" i="57"/>
  <c r="BK90" i="57"/>
  <c r="AU90" i="57"/>
  <c r="AR90" i="57"/>
  <c r="AQ90" i="57"/>
  <c r="AO90" i="57"/>
  <c r="AN90" i="57"/>
  <c r="AM90" i="57"/>
  <c r="BQ89" i="57"/>
  <c r="BP89" i="57"/>
  <c r="BO89" i="57"/>
  <c r="BN89" i="57"/>
  <c r="BM89" i="57"/>
  <c r="BL89" i="57"/>
  <c r="BK89" i="57"/>
  <c r="AU89" i="57"/>
  <c r="AR89" i="57"/>
  <c r="AQ89" i="57"/>
  <c r="AO89" i="57"/>
  <c r="AN89" i="57"/>
  <c r="AM89" i="57"/>
  <c r="BU88" i="57"/>
  <c r="BT88" i="57"/>
  <c r="BT92" i="57" s="1"/>
  <c r="BS88" i="57"/>
  <c r="BR88" i="57"/>
  <c r="BQ88" i="57"/>
  <c r="BP88" i="57"/>
  <c r="BO88" i="57"/>
  <c r="BN88" i="57"/>
  <c r="BM88" i="57"/>
  <c r="BL88" i="57"/>
  <c r="BK88" i="57"/>
  <c r="AU88" i="57"/>
  <c r="AR88" i="57"/>
  <c r="AQ88" i="57"/>
  <c r="AO88" i="57"/>
  <c r="AN88" i="57"/>
  <c r="AM88" i="57"/>
  <c r="BQ87" i="57"/>
  <c r="BQ92" i="57" s="1"/>
  <c r="BP87" i="57"/>
  <c r="BO87" i="57"/>
  <c r="BN87" i="57"/>
  <c r="BM87" i="57"/>
  <c r="BL87" i="57"/>
  <c r="BK87" i="57"/>
  <c r="AU87" i="57"/>
  <c r="AR87" i="57"/>
  <c r="AQ87" i="57"/>
  <c r="AO87" i="57"/>
  <c r="AN87" i="57"/>
  <c r="AM87" i="57"/>
  <c r="BU86" i="57"/>
  <c r="BU92" i="57" s="1"/>
  <c r="BT86" i="57"/>
  <c r="BS86" i="57"/>
  <c r="BR86" i="57"/>
  <c r="BR92" i="57" s="1"/>
  <c r="BQ86" i="57"/>
  <c r="BP86" i="57"/>
  <c r="BO86" i="57"/>
  <c r="BN86" i="57"/>
  <c r="BM86" i="57"/>
  <c r="BL86" i="57"/>
  <c r="BK86" i="57"/>
  <c r="AU86" i="57"/>
  <c r="AR86" i="57"/>
  <c r="AQ86" i="57"/>
  <c r="AO86" i="57"/>
  <c r="AN86" i="57"/>
  <c r="AM86" i="57"/>
  <c r="BP82" i="57"/>
  <c r="BO82" i="57"/>
  <c r="BN82" i="57"/>
  <c r="BM82" i="57"/>
  <c r="BL82" i="57"/>
  <c r="BK82" i="57"/>
  <c r="BJ82" i="57"/>
  <c r="BI82" i="57"/>
  <c r="BH82" i="57"/>
  <c r="BG82" i="57"/>
  <c r="BF82" i="57"/>
  <c r="BE82" i="57"/>
  <c r="BD82" i="57"/>
  <c r="BC82" i="57"/>
  <c r="BB82" i="57"/>
  <c r="BA82" i="57"/>
  <c r="AZ82" i="57"/>
  <c r="AY82" i="57"/>
  <c r="AX82" i="57"/>
  <c r="AW82" i="57"/>
  <c r="AV82" i="57"/>
  <c r="AU82" i="57"/>
  <c r="AT82" i="57"/>
  <c r="AS82" i="57"/>
  <c r="AR82" i="57"/>
  <c r="AQ82" i="57"/>
  <c r="AP82" i="57"/>
  <c r="AO82" i="57"/>
  <c r="AN82" i="57"/>
  <c r="AM82" i="57"/>
  <c r="BP80" i="57"/>
  <c r="BO80" i="57"/>
  <c r="BN80" i="57"/>
  <c r="BM80" i="57"/>
  <c r="BL80" i="57"/>
  <c r="BK80" i="57"/>
  <c r="BJ80" i="57"/>
  <c r="BI80" i="57"/>
  <c r="BH80" i="57"/>
  <c r="BG80" i="57"/>
  <c r="BF80" i="57"/>
  <c r="BE80" i="57"/>
  <c r="BD80" i="57"/>
  <c r="BC80" i="57"/>
  <c r="BB80" i="57"/>
  <c r="BA80" i="57"/>
  <c r="AZ80" i="57"/>
  <c r="AY80" i="57"/>
  <c r="AX80" i="57"/>
  <c r="AW80" i="57"/>
  <c r="AV80" i="57"/>
  <c r="AU80" i="57"/>
  <c r="AT80" i="57"/>
  <c r="AS80" i="57"/>
  <c r="AR80" i="57"/>
  <c r="AQ80" i="57"/>
  <c r="AP80" i="57"/>
  <c r="AO80" i="57"/>
  <c r="AN80" i="57"/>
  <c r="AM80" i="57"/>
  <c r="BP78" i="57"/>
  <c r="BO78" i="57"/>
  <c r="BN78" i="57"/>
  <c r="BM78" i="57"/>
  <c r="BL78" i="57"/>
  <c r="BK78" i="57"/>
  <c r="BJ78" i="57"/>
  <c r="BI78" i="57"/>
  <c r="BH78" i="57"/>
  <c r="BG78" i="57"/>
  <c r="BF78" i="57"/>
  <c r="BE78" i="57"/>
  <c r="BD78" i="57"/>
  <c r="BC78" i="57"/>
  <c r="BB78" i="57"/>
  <c r="BA78" i="57"/>
  <c r="AZ78" i="57"/>
  <c r="AY78" i="57"/>
  <c r="AX78" i="57"/>
  <c r="AW78" i="57"/>
  <c r="AV78" i="57"/>
  <c r="AU78" i="57"/>
  <c r="AT78" i="57"/>
  <c r="AS78" i="57"/>
  <c r="AR78" i="57"/>
  <c r="AQ78" i="57"/>
  <c r="AP78" i="57"/>
  <c r="AO78" i="57"/>
  <c r="AN78" i="57"/>
  <c r="AM78" i="57"/>
  <c r="BP74" i="57"/>
  <c r="BO74" i="57"/>
  <c r="BN74" i="57"/>
  <c r="BM74" i="57"/>
  <c r="BL74" i="57"/>
  <c r="BK74" i="57"/>
  <c r="BJ74" i="57"/>
  <c r="BI74" i="57"/>
  <c r="BH74" i="57"/>
  <c r="BG74" i="57"/>
  <c r="BF74" i="57"/>
  <c r="BE74" i="57"/>
  <c r="BD74" i="57"/>
  <c r="BC74" i="57"/>
  <c r="BB74" i="57"/>
  <c r="BA74" i="57"/>
  <c r="AZ74" i="57"/>
  <c r="AY74" i="57"/>
  <c r="AX74" i="57"/>
  <c r="AW74" i="57"/>
  <c r="AV74" i="57"/>
  <c r="AU74" i="57"/>
  <c r="AT74" i="57"/>
  <c r="AS74" i="57"/>
  <c r="AR74" i="57"/>
  <c r="AQ74" i="57"/>
  <c r="AP74" i="57"/>
  <c r="AO74" i="57"/>
  <c r="AN74" i="57"/>
  <c r="AM74" i="57"/>
  <c r="BP72" i="57"/>
  <c r="BO72" i="57"/>
  <c r="BN72" i="57"/>
  <c r="BM72" i="57"/>
  <c r="BL72" i="57"/>
  <c r="BK72" i="57"/>
  <c r="BJ72" i="57"/>
  <c r="BI72" i="57"/>
  <c r="BH72" i="57"/>
  <c r="BG72" i="57"/>
  <c r="BF72" i="57"/>
  <c r="BE72" i="57"/>
  <c r="BD72" i="57"/>
  <c r="BC72" i="57"/>
  <c r="BB72" i="57"/>
  <c r="BA72" i="57"/>
  <c r="AZ72" i="57"/>
  <c r="AY72" i="57"/>
  <c r="AX72" i="57"/>
  <c r="AW72" i="57"/>
  <c r="AV72" i="57"/>
  <c r="AU72" i="57"/>
  <c r="AT72" i="57"/>
  <c r="AS72" i="57"/>
  <c r="AR72" i="57"/>
  <c r="AQ72" i="57"/>
  <c r="AP72" i="57"/>
  <c r="AO72" i="57"/>
  <c r="AN72" i="57"/>
  <c r="AM72" i="57"/>
  <c r="BP70" i="57"/>
  <c r="BO70" i="57"/>
  <c r="BN70" i="57"/>
  <c r="BM70" i="57"/>
  <c r="BL70" i="57"/>
  <c r="BK70" i="57"/>
  <c r="BJ70" i="57"/>
  <c r="BI70" i="57"/>
  <c r="BH70" i="57"/>
  <c r="BG70" i="57"/>
  <c r="BF70" i="57"/>
  <c r="BE70" i="57"/>
  <c r="BD70" i="57"/>
  <c r="BC70" i="57"/>
  <c r="BB70" i="57"/>
  <c r="BA70" i="57"/>
  <c r="AZ70" i="57"/>
  <c r="AY70" i="57"/>
  <c r="AX70" i="57"/>
  <c r="AW70" i="57"/>
  <c r="AV70" i="57"/>
  <c r="AU70" i="57"/>
  <c r="AT70" i="57"/>
  <c r="AS70" i="57"/>
  <c r="AR70" i="57"/>
  <c r="AQ70" i="57"/>
  <c r="AP70" i="57"/>
  <c r="AO70" i="57"/>
  <c r="AN70" i="57"/>
  <c r="AM70" i="57"/>
  <c r="BP66" i="57"/>
  <c r="BO66" i="57"/>
  <c r="BN66" i="57"/>
  <c r="BM66" i="57"/>
  <c r="BL66" i="57"/>
  <c r="BK66" i="57"/>
  <c r="BJ66" i="57"/>
  <c r="BI66" i="57"/>
  <c r="BH66" i="57"/>
  <c r="BG66" i="57"/>
  <c r="BF66" i="57"/>
  <c r="BE66" i="57"/>
  <c r="BD66" i="57"/>
  <c r="BC66" i="57"/>
  <c r="BB66" i="57"/>
  <c r="BA66" i="57"/>
  <c r="AZ66" i="57"/>
  <c r="AY66" i="57"/>
  <c r="AX66" i="57"/>
  <c r="AW66" i="57"/>
  <c r="AV66" i="57"/>
  <c r="AU66" i="57"/>
  <c r="AT66" i="57"/>
  <c r="AS66" i="57"/>
  <c r="AR66" i="57"/>
  <c r="AQ66" i="57"/>
  <c r="AP66" i="57"/>
  <c r="AO66" i="57"/>
  <c r="AN66" i="57"/>
  <c r="AM66" i="57"/>
  <c r="BP64" i="57"/>
  <c r="BO64" i="57"/>
  <c r="BN64" i="57"/>
  <c r="BM64" i="57"/>
  <c r="BL64" i="57"/>
  <c r="BK64" i="57"/>
  <c r="BJ64" i="57"/>
  <c r="BI64" i="57"/>
  <c r="BH64" i="57"/>
  <c r="BG64" i="57"/>
  <c r="BF64" i="57"/>
  <c r="BE64" i="57"/>
  <c r="BD64" i="57"/>
  <c r="BC64" i="57"/>
  <c r="BB64" i="57"/>
  <c r="BA64" i="57"/>
  <c r="AZ64" i="57"/>
  <c r="AY64" i="57"/>
  <c r="AX64" i="57"/>
  <c r="AW64" i="57"/>
  <c r="AV64" i="57"/>
  <c r="AU64" i="57"/>
  <c r="AT64" i="57"/>
  <c r="AS64" i="57"/>
  <c r="AR64" i="57"/>
  <c r="AQ64" i="57"/>
  <c r="AP64" i="57"/>
  <c r="AO64" i="57"/>
  <c r="AN64" i="57"/>
  <c r="AM64" i="57"/>
  <c r="BP62" i="57"/>
  <c r="BO62" i="57"/>
  <c r="BN62" i="57"/>
  <c r="BM62" i="57"/>
  <c r="BL62" i="57"/>
  <c r="BK62" i="57"/>
  <c r="BJ62" i="57"/>
  <c r="BI62" i="57"/>
  <c r="BH62" i="57"/>
  <c r="BG62" i="57"/>
  <c r="BF62" i="57"/>
  <c r="BE62" i="57"/>
  <c r="BD62" i="57"/>
  <c r="BC62" i="57"/>
  <c r="BB62" i="57"/>
  <c r="BA62" i="57"/>
  <c r="AZ62" i="57"/>
  <c r="AY62" i="57"/>
  <c r="AX62" i="57"/>
  <c r="AW62" i="57"/>
  <c r="AV62" i="57"/>
  <c r="AU62" i="57"/>
  <c r="AT62" i="57"/>
  <c r="AS62" i="57"/>
  <c r="AR62" i="57"/>
  <c r="AQ62" i="57"/>
  <c r="AP62" i="57"/>
  <c r="AO62" i="57"/>
  <c r="AN62" i="57"/>
  <c r="AM62" i="57"/>
  <c r="BP60" i="57"/>
  <c r="BO60" i="57"/>
  <c r="BN60" i="57"/>
  <c r="BM60" i="57"/>
  <c r="BL60" i="57"/>
  <c r="BK60" i="57"/>
  <c r="BJ60" i="57"/>
  <c r="BI60" i="57"/>
  <c r="BH60" i="57"/>
  <c r="BG60" i="57"/>
  <c r="BF60" i="57"/>
  <c r="BE60" i="57"/>
  <c r="BD60" i="57"/>
  <c r="BC60" i="57"/>
  <c r="BB60" i="57"/>
  <c r="BA60" i="57"/>
  <c r="AZ60" i="57"/>
  <c r="AY60" i="57"/>
  <c r="AX60" i="57"/>
  <c r="AW60" i="57"/>
  <c r="AV60" i="57"/>
  <c r="AU60" i="57"/>
  <c r="AT60" i="57"/>
  <c r="AS60" i="57"/>
  <c r="AR60" i="57"/>
  <c r="AQ60" i="57"/>
  <c r="AP60" i="57"/>
  <c r="AO60" i="57"/>
  <c r="AN60" i="57"/>
  <c r="AM60" i="57"/>
  <c r="BP58" i="57"/>
  <c r="BO58" i="57"/>
  <c r="BN58" i="57"/>
  <c r="BM58" i="57"/>
  <c r="BL58" i="57"/>
  <c r="BK58" i="57"/>
  <c r="BJ58" i="57"/>
  <c r="BI58" i="57"/>
  <c r="BH58" i="57"/>
  <c r="BG58" i="57"/>
  <c r="BF58" i="57"/>
  <c r="BE58" i="57"/>
  <c r="BD58" i="57"/>
  <c r="BC58" i="57"/>
  <c r="BB58" i="57"/>
  <c r="BA58" i="57"/>
  <c r="AZ58" i="57"/>
  <c r="AY58" i="57"/>
  <c r="AX58" i="57"/>
  <c r="AW58" i="57"/>
  <c r="AV58" i="57"/>
  <c r="AU58" i="57"/>
  <c r="AT58" i="57"/>
  <c r="AS58" i="57"/>
  <c r="AR58" i="57"/>
  <c r="AQ58" i="57"/>
  <c r="AP58" i="57"/>
  <c r="AO58" i="57"/>
  <c r="AN58" i="57"/>
  <c r="AM58" i="57"/>
  <c r="BP56" i="57"/>
  <c r="BO56" i="57"/>
  <c r="BN56" i="57"/>
  <c r="BM56" i="57"/>
  <c r="BL56" i="57"/>
  <c r="BK56" i="57"/>
  <c r="BJ56" i="57"/>
  <c r="BI56" i="57"/>
  <c r="BH56" i="57"/>
  <c r="BG56" i="57"/>
  <c r="BF56" i="57"/>
  <c r="BE56" i="57"/>
  <c r="BD56" i="57"/>
  <c r="BC56" i="57"/>
  <c r="BB56" i="57"/>
  <c r="BA56" i="57"/>
  <c r="AZ56" i="57"/>
  <c r="AY56" i="57"/>
  <c r="AX56" i="57"/>
  <c r="AW56" i="57"/>
  <c r="AV56" i="57"/>
  <c r="AU56" i="57"/>
  <c r="AT56" i="57"/>
  <c r="AS56" i="57"/>
  <c r="AR56" i="57"/>
  <c r="AQ56" i="57"/>
  <c r="AP56" i="57"/>
  <c r="AO56" i="57"/>
  <c r="AN56" i="57"/>
  <c r="AM56" i="57"/>
  <c r="BP54" i="57"/>
  <c r="BO54" i="57"/>
  <c r="BN54" i="57"/>
  <c r="BM54" i="57"/>
  <c r="BL54" i="57"/>
  <c r="BK54" i="57"/>
  <c r="BJ54" i="57"/>
  <c r="BI54" i="57"/>
  <c r="BH54" i="57"/>
  <c r="BG54" i="57"/>
  <c r="BF54" i="57"/>
  <c r="BE54" i="57"/>
  <c r="BD54" i="57"/>
  <c r="BC54" i="57"/>
  <c r="BB54" i="57"/>
  <c r="BA54" i="57"/>
  <c r="AZ54" i="57"/>
  <c r="AY54" i="57"/>
  <c r="AX54" i="57"/>
  <c r="AW54" i="57"/>
  <c r="AV54" i="57"/>
  <c r="AU54" i="57"/>
  <c r="AT54" i="57"/>
  <c r="AS54" i="57"/>
  <c r="AR54" i="57"/>
  <c r="AQ54" i="57"/>
  <c r="AP54" i="57"/>
  <c r="AO54" i="57"/>
  <c r="AN54" i="57"/>
  <c r="AM54" i="57"/>
  <c r="BP52" i="57"/>
  <c r="BO52" i="57"/>
  <c r="BN52" i="57"/>
  <c r="BM52" i="57"/>
  <c r="BL52" i="57"/>
  <c r="BK52" i="57"/>
  <c r="BJ52" i="57"/>
  <c r="BI52" i="57"/>
  <c r="BH52" i="57"/>
  <c r="BG52" i="57"/>
  <c r="BF52" i="57"/>
  <c r="BE52" i="57"/>
  <c r="BD52" i="57"/>
  <c r="BC52" i="57"/>
  <c r="BB52" i="57"/>
  <c r="BA52" i="57"/>
  <c r="AZ52" i="57"/>
  <c r="AY52" i="57"/>
  <c r="AX52" i="57"/>
  <c r="AW52" i="57"/>
  <c r="AV52" i="57"/>
  <c r="AU52" i="57"/>
  <c r="AT52" i="57"/>
  <c r="AS52" i="57"/>
  <c r="AR52" i="57"/>
  <c r="AQ52" i="57"/>
  <c r="AP52" i="57"/>
  <c r="AO52" i="57"/>
  <c r="AN52" i="57"/>
  <c r="AM52" i="57"/>
  <c r="BP50" i="57"/>
  <c r="BO50" i="57"/>
  <c r="BN50" i="57"/>
  <c r="BM50" i="57"/>
  <c r="BL50" i="57"/>
  <c r="BK50" i="57"/>
  <c r="BJ50" i="57"/>
  <c r="BH50" i="57"/>
  <c r="BG50" i="57"/>
  <c r="BF50" i="57"/>
  <c r="BE50" i="57"/>
  <c r="BC50" i="57"/>
  <c r="BB50" i="57"/>
  <c r="AZ50" i="57"/>
  <c r="AY50" i="57"/>
  <c r="AX50" i="57"/>
  <c r="AW50" i="57"/>
  <c r="AU50" i="57"/>
  <c r="AT50" i="57"/>
  <c r="AS50" i="57"/>
  <c r="AR50" i="57"/>
  <c r="AQ50" i="57"/>
  <c r="AP50" i="57"/>
  <c r="AO50" i="57"/>
  <c r="AN50" i="57"/>
  <c r="AM50" i="57"/>
  <c r="BP48" i="57"/>
  <c r="BO48" i="57"/>
  <c r="BN48" i="57"/>
  <c r="BM48" i="57"/>
  <c r="BL48" i="57"/>
  <c r="BK48" i="57"/>
  <c r="BJ48" i="57"/>
  <c r="BI48" i="57"/>
  <c r="BH48" i="57"/>
  <c r="BG48" i="57"/>
  <c r="BF48" i="57"/>
  <c r="BE48" i="57"/>
  <c r="BD48" i="57"/>
  <c r="BC48" i="57"/>
  <c r="BB48" i="57"/>
  <c r="BA48" i="57"/>
  <c r="AZ48" i="57"/>
  <c r="AY48" i="57"/>
  <c r="AX48" i="57"/>
  <c r="AW48" i="57"/>
  <c r="AV48" i="57"/>
  <c r="AU48" i="57"/>
  <c r="AT48" i="57"/>
  <c r="AS48" i="57"/>
  <c r="AR48" i="57"/>
  <c r="AQ48" i="57"/>
  <c r="AP48" i="57"/>
  <c r="AO48" i="57"/>
  <c r="AN48" i="57"/>
  <c r="AM48" i="57"/>
  <c r="BO46" i="57"/>
  <c r="BN46" i="57"/>
  <c r="BL46" i="57"/>
  <c r="BK46" i="57"/>
  <c r="BJ46" i="57"/>
  <c r="BI46" i="57"/>
  <c r="BG46" i="57"/>
  <c r="BF46" i="57"/>
  <c r="BD46" i="57"/>
  <c r="BC46" i="57"/>
  <c r="BB46" i="57"/>
  <c r="BA46" i="57"/>
  <c r="AY46" i="57"/>
  <c r="AX46" i="57"/>
  <c r="AV46" i="57"/>
  <c r="AU46" i="57"/>
  <c r="AT46" i="57"/>
  <c r="AS46" i="57"/>
  <c r="AQ46" i="57"/>
  <c r="AP46" i="57"/>
  <c r="AO46" i="57"/>
  <c r="AN46" i="57"/>
  <c r="AM46" i="57"/>
  <c r="BP44" i="57"/>
  <c r="BO44" i="57"/>
  <c r="BN44" i="57"/>
  <c r="BM44" i="57"/>
  <c r="BL44" i="57"/>
  <c r="BK44" i="57"/>
  <c r="BJ44" i="57"/>
  <c r="BI44" i="57"/>
  <c r="BH44" i="57"/>
  <c r="BG44" i="57"/>
  <c r="BF44" i="57"/>
  <c r="BE44" i="57"/>
  <c r="BD44" i="57"/>
  <c r="BC44" i="57"/>
  <c r="BB44" i="57"/>
  <c r="BA44" i="57"/>
  <c r="AZ44" i="57"/>
  <c r="AY44" i="57"/>
  <c r="AX44" i="57"/>
  <c r="AW44" i="57"/>
  <c r="AV44" i="57"/>
  <c r="AU44" i="57"/>
  <c r="AT44" i="57"/>
  <c r="AS44" i="57"/>
  <c r="AR44" i="57"/>
  <c r="AQ44" i="57"/>
  <c r="AP44" i="57"/>
  <c r="AO44" i="57"/>
  <c r="AN44" i="57"/>
  <c r="AM44" i="57"/>
  <c r="BP42" i="57"/>
  <c r="BO42" i="57"/>
  <c r="BN42" i="57"/>
  <c r="BM42" i="57"/>
  <c r="BL42" i="57"/>
  <c r="BK42" i="57"/>
  <c r="BJ42" i="57"/>
  <c r="BI42" i="57"/>
  <c r="BH42" i="57"/>
  <c r="BG42" i="57"/>
  <c r="BF42" i="57"/>
  <c r="BE42" i="57"/>
  <c r="BD42" i="57"/>
  <c r="BC42" i="57"/>
  <c r="BB42" i="57"/>
  <c r="BA42" i="57"/>
  <c r="AZ42" i="57"/>
  <c r="AY42" i="57"/>
  <c r="AX42" i="57"/>
  <c r="AW42" i="57"/>
  <c r="AV42" i="57"/>
  <c r="AU42" i="57"/>
  <c r="AT42" i="57"/>
  <c r="AS42" i="57"/>
  <c r="AR42" i="57"/>
  <c r="AQ42" i="57"/>
  <c r="AP42" i="57"/>
  <c r="AO42" i="57"/>
  <c r="AN42" i="57"/>
  <c r="AM42" i="57"/>
  <c r="BP40" i="57"/>
  <c r="BO40" i="57"/>
  <c r="BN40" i="57"/>
  <c r="BM40" i="57"/>
  <c r="BL40" i="57"/>
  <c r="BK40" i="57"/>
  <c r="BJ40" i="57"/>
  <c r="BI40" i="57"/>
  <c r="BH40" i="57"/>
  <c r="BG40" i="57"/>
  <c r="BF40" i="57"/>
  <c r="BE40" i="57"/>
  <c r="BD40" i="57"/>
  <c r="BC40" i="57"/>
  <c r="BB40" i="57"/>
  <c r="BA40" i="57"/>
  <c r="AZ40" i="57"/>
  <c r="AY40" i="57"/>
  <c r="AX40" i="57"/>
  <c r="AW40" i="57"/>
  <c r="AV40" i="57"/>
  <c r="AU40" i="57"/>
  <c r="AT40" i="57"/>
  <c r="AS40" i="57"/>
  <c r="AR40" i="57"/>
  <c r="AQ40" i="57"/>
  <c r="AP40" i="57"/>
  <c r="AO40" i="57"/>
  <c r="AN40" i="57"/>
  <c r="AM40" i="57"/>
  <c r="CH38" i="57"/>
  <c r="CG38" i="57"/>
  <c r="CF38" i="57"/>
  <c r="CE38" i="57"/>
  <c r="CD38" i="57"/>
  <c r="CC38" i="57"/>
  <c r="CB38" i="57"/>
  <c r="CA38" i="57"/>
  <c r="BL92" i="57" s="1"/>
  <c r="BZ38" i="57"/>
  <c r="BY38" i="57"/>
  <c r="BX38" i="57"/>
  <c r="BW38" i="57"/>
  <c r="BV38" i="57"/>
  <c r="BP38" i="57"/>
  <c r="BO38" i="57"/>
  <c r="BN38" i="57"/>
  <c r="BM38" i="57"/>
  <c r="BL38" i="57"/>
  <c r="BK38" i="57"/>
  <c r="BJ38" i="57"/>
  <c r="BI38" i="57"/>
  <c r="BH38" i="57"/>
  <c r="BG38" i="57"/>
  <c r="BF38" i="57"/>
  <c r="BE38" i="57"/>
  <c r="BD38" i="57"/>
  <c r="BC38" i="57"/>
  <c r="BB38" i="57"/>
  <c r="BA38" i="57"/>
  <c r="AZ38" i="57"/>
  <c r="AY38" i="57"/>
  <c r="AX38" i="57"/>
  <c r="AW38" i="57"/>
  <c r="AV38" i="57"/>
  <c r="AU38" i="57"/>
  <c r="AT38" i="57"/>
  <c r="AS38" i="57"/>
  <c r="AR38" i="57"/>
  <c r="AQ38" i="57"/>
  <c r="AP38" i="57"/>
  <c r="AO38" i="57"/>
  <c r="AN38" i="57"/>
  <c r="AM38" i="57"/>
  <c r="BP36" i="57"/>
  <c r="BO36" i="57"/>
  <c r="BN36" i="57"/>
  <c r="BM36" i="57"/>
  <c r="BL36" i="57"/>
  <c r="BK36" i="57"/>
  <c r="BJ36" i="57"/>
  <c r="BI36" i="57"/>
  <c r="BH36" i="57"/>
  <c r="BG36" i="57"/>
  <c r="BF36" i="57"/>
  <c r="BE36" i="57"/>
  <c r="BD36" i="57"/>
  <c r="BC36" i="57"/>
  <c r="BB36" i="57"/>
  <c r="BA36" i="57"/>
  <c r="AZ36" i="57"/>
  <c r="AY36" i="57"/>
  <c r="AX36" i="57"/>
  <c r="AW36" i="57"/>
  <c r="AV36" i="57"/>
  <c r="AU36" i="57"/>
  <c r="AT36" i="57"/>
  <c r="AS36" i="57"/>
  <c r="AR36" i="57"/>
  <c r="AQ36" i="57"/>
  <c r="AP36" i="57"/>
  <c r="AO36" i="57"/>
  <c r="AN36" i="57"/>
  <c r="AM36" i="57"/>
  <c r="BO34" i="57"/>
  <c r="BL34" i="57"/>
  <c r="BK34" i="57"/>
  <c r="BJ34" i="57"/>
  <c r="BG34" i="57"/>
  <c r="BD34" i="57"/>
  <c r="BC34" i="57"/>
  <c r="BB34" i="57"/>
  <c r="AY34" i="57"/>
  <c r="AV34" i="57"/>
  <c r="AU34" i="57"/>
  <c r="AT34" i="57"/>
  <c r="AQ34" i="57"/>
  <c r="AP34" i="57"/>
  <c r="AO34" i="57"/>
  <c r="AN34" i="57"/>
  <c r="AM34" i="57"/>
  <c r="BP32" i="57"/>
  <c r="BO32" i="57"/>
  <c r="BN32" i="57"/>
  <c r="BM32" i="57"/>
  <c r="BL32" i="57"/>
  <c r="BK32" i="57"/>
  <c r="BJ32" i="57"/>
  <c r="BI32" i="57"/>
  <c r="BH32" i="57"/>
  <c r="BG32" i="57"/>
  <c r="BF32" i="57"/>
  <c r="BE32" i="57"/>
  <c r="BD32" i="57"/>
  <c r="BC32" i="57"/>
  <c r="BB32" i="57"/>
  <c r="BA32" i="57"/>
  <c r="AZ32" i="57"/>
  <c r="AY32" i="57"/>
  <c r="AX32" i="57"/>
  <c r="AW32" i="57"/>
  <c r="AV32" i="57"/>
  <c r="AU32" i="57"/>
  <c r="AT32" i="57"/>
  <c r="AS32" i="57"/>
  <c r="AR32" i="57"/>
  <c r="AQ32" i="57"/>
  <c r="AP32" i="57"/>
  <c r="AO32" i="57"/>
  <c r="AN32" i="57"/>
  <c r="AM32" i="57"/>
  <c r="BY30" i="57"/>
  <c r="BX30" i="57"/>
  <c r="BW30" i="57"/>
  <c r="BV30" i="57"/>
  <c r="BP30" i="57"/>
  <c r="BO30" i="57"/>
  <c r="BN30" i="57"/>
  <c r="BM30" i="57"/>
  <c r="BL30" i="57"/>
  <c r="BK30" i="57"/>
  <c r="BJ30" i="57"/>
  <c r="BI30" i="57"/>
  <c r="BH30" i="57"/>
  <c r="BG30" i="57"/>
  <c r="BF30" i="57"/>
  <c r="BE30" i="57"/>
  <c r="BD30" i="57"/>
  <c r="BC30" i="57"/>
  <c r="BB30" i="57"/>
  <c r="BA30" i="57"/>
  <c r="AZ30" i="57"/>
  <c r="AY30" i="57"/>
  <c r="AX30" i="57"/>
  <c r="AW30" i="57"/>
  <c r="AV30" i="57"/>
  <c r="AU30" i="57"/>
  <c r="AT30" i="57"/>
  <c r="AS30" i="57"/>
  <c r="AR30" i="57"/>
  <c r="AQ30" i="57"/>
  <c r="AP30" i="57"/>
  <c r="AO30" i="57"/>
  <c r="AN30" i="57"/>
  <c r="AM30" i="57"/>
  <c r="BV29" i="57"/>
  <c r="BY28" i="57"/>
  <c r="BX28" i="57"/>
  <c r="BW28" i="57"/>
  <c r="BV28" i="57"/>
  <c r="BP28" i="57"/>
  <c r="BO28" i="57"/>
  <c r="BN28" i="57"/>
  <c r="BM28" i="57"/>
  <c r="BL28" i="57"/>
  <c r="BK28" i="57"/>
  <c r="BJ28" i="57"/>
  <c r="BI28" i="57"/>
  <c r="BH28" i="57"/>
  <c r="BG28" i="57"/>
  <c r="BF28" i="57"/>
  <c r="BE28" i="57"/>
  <c r="BD28" i="57"/>
  <c r="BC28" i="57"/>
  <c r="BB28" i="57"/>
  <c r="BA28" i="57"/>
  <c r="AZ28" i="57"/>
  <c r="AY28" i="57"/>
  <c r="AX28" i="57"/>
  <c r="AW28" i="57"/>
  <c r="AV28" i="57"/>
  <c r="AU28" i="57"/>
  <c r="AT28" i="57"/>
  <c r="AS28" i="57"/>
  <c r="AR28" i="57"/>
  <c r="AQ28" i="57"/>
  <c r="AP28" i="57"/>
  <c r="AO28" i="57"/>
  <c r="AN28" i="57"/>
  <c r="AM28" i="57"/>
  <c r="BV27" i="57"/>
  <c r="BY26" i="57"/>
  <c r="BY32" i="57" s="1"/>
  <c r="AP92" i="57" s="1"/>
  <c r="U6" i="57" s="1"/>
  <c r="BX26" i="57"/>
  <c r="BX32" i="57" s="1"/>
  <c r="BW26" i="57"/>
  <c r="BW32" i="57" s="1"/>
  <c r="BV26" i="57"/>
  <c r="BV32" i="57" s="1"/>
  <c r="BP26" i="57"/>
  <c r="BO26" i="57"/>
  <c r="BN26" i="57"/>
  <c r="BM26" i="57"/>
  <c r="BL26" i="57"/>
  <c r="BK26" i="57"/>
  <c r="BJ26" i="57"/>
  <c r="BI26" i="57"/>
  <c r="BH26" i="57"/>
  <c r="BG26" i="57"/>
  <c r="BF26" i="57"/>
  <c r="BE26" i="57"/>
  <c r="BD26" i="57"/>
  <c r="BC26" i="57"/>
  <c r="BB26" i="57"/>
  <c r="BA26" i="57"/>
  <c r="AZ26" i="57"/>
  <c r="AY26" i="57"/>
  <c r="AX26" i="57"/>
  <c r="AW26" i="57"/>
  <c r="AV26" i="57"/>
  <c r="AU26" i="57"/>
  <c r="AT26" i="57"/>
  <c r="AS26" i="57"/>
  <c r="AR26" i="57"/>
  <c r="AQ26" i="57"/>
  <c r="AP26" i="57"/>
  <c r="AO26" i="57"/>
  <c r="AN26" i="57"/>
  <c r="AM26" i="57"/>
  <c r="BP24" i="57"/>
  <c r="BO24" i="57"/>
  <c r="BN24" i="57"/>
  <c r="BM24" i="57"/>
  <c r="BL24" i="57"/>
  <c r="BK24" i="57"/>
  <c r="BJ24" i="57"/>
  <c r="BI24" i="57"/>
  <c r="BH24" i="57"/>
  <c r="BG24" i="57"/>
  <c r="BF24" i="57"/>
  <c r="BE24" i="57"/>
  <c r="BD24" i="57"/>
  <c r="BC24" i="57"/>
  <c r="BB24" i="57"/>
  <c r="BA24" i="57"/>
  <c r="AZ24" i="57"/>
  <c r="AY24" i="57"/>
  <c r="AX24" i="57"/>
  <c r="AW24" i="57"/>
  <c r="AV24" i="57"/>
  <c r="AU24" i="57"/>
  <c r="AT24" i="57"/>
  <c r="AS24" i="57"/>
  <c r="AR24" i="57"/>
  <c r="AQ24" i="57"/>
  <c r="AP24" i="57"/>
  <c r="AO24" i="57"/>
  <c r="AN24" i="57"/>
  <c r="AM24" i="57"/>
  <c r="BP22" i="57"/>
  <c r="BO22" i="57"/>
  <c r="BN22" i="57"/>
  <c r="BM22" i="57"/>
  <c r="BL22" i="57"/>
  <c r="BK22" i="57"/>
  <c r="BJ22" i="57"/>
  <c r="BI22" i="57"/>
  <c r="BH22" i="57"/>
  <c r="BG22" i="57"/>
  <c r="BF22" i="57"/>
  <c r="BE22" i="57"/>
  <c r="BD22" i="57"/>
  <c r="BC22" i="57"/>
  <c r="BB22" i="57"/>
  <c r="BA22" i="57"/>
  <c r="AZ22" i="57"/>
  <c r="AY22" i="57"/>
  <c r="AX22" i="57"/>
  <c r="AW22" i="57"/>
  <c r="AV22" i="57"/>
  <c r="AU22" i="57"/>
  <c r="AT22" i="57"/>
  <c r="AS22" i="57"/>
  <c r="AR22" i="57"/>
  <c r="AQ22" i="57"/>
  <c r="AP22" i="57"/>
  <c r="AO22" i="57"/>
  <c r="AN22" i="57"/>
  <c r="AM22" i="57"/>
  <c r="BV20" i="57"/>
  <c r="BP20" i="57"/>
  <c r="BO20" i="57"/>
  <c r="BN20" i="57"/>
  <c r="BM20" i="57"/>
  <c r="BL20" i="57"/>
  <c r="BK20" i="57"/>
  <c r="BJ20" i="57"/>
  <c r="BI20" i="57"/>
  <c r="BH20" i="57"/>
  <c r="BG20" i="57"/>
  <c r="BF20" i="57"/>
  <c r="BE20" i="57"/>
  <c r="BD20" i="57"/>
  <c r="BC20" i="57"/>
  <c r="BB20" i="57"/>
  <c r="BA20" i="57"/>
  <c r="AZ20" i="57"/>
  <c r="AY20" i="57"/>
  <c r="AX20" i="57"/>
  <c r="AW20" i="57"/>
  <c r="AV20" i="57"/>
  <c r="AU20" i="57"/>
  <c r="AT20" i="57"/>
  <c r="AS20" i="57"/>
  <c r="AR20" i="57"/>
  <c r="AQ20" i="57"/>
  <c r="AP20" i="57"/>
  <c r="AO20" i="57"/>
  <c r="AN20" i="57"/>
  <c r="AM20" i="57"/>
  <c r="BP18" i="57"/>
  <c r="BO18" i="57"/>
  <c r="BO92" i="57" s="1"/>
  <c r="BN18" i="57"/>
  <c r="BM18" i="57"/>
  <c r="BL18" i="57"/>
  <c r="BK18" i="57"/>
  <c r="BJ18" i="57"/>
  <c r="BI18" i="57"/>
  <c r="BH18" i="57"/>
  <c r="BG18" i="57"/>
  <c r="BG92" i="57" s="1"/>
  <c r="F205" i="57" s="1"/>
  <c r="BF18" i="57"/>
  <c r="BE18" i="57"/>
  <c r="BD18" i="57"/>
  <c r="BC18" i="57"/>
  <c r="BB18" i="57"/>
  <c r="BA18" i="57"/>
  <c r="AZ18" i="57"/>
  <c r="AY18" i="57"/>
  <c r="AY92" i="57" s="1"/>
  <c r="F198" i="57" s="1"/>
  <c r="AX18" i="57"/>
  <c r="AW18" i="57"/>
  <c r="AV18" i="57"/>
  <c r="AU18" i="57"/>
  <c r="AT18" i="57"/>
  <c r="AS18" i="57"/>
  <c r="AR18" i="57"/>
  <c r="AQ18" i="57"/>
  <c r="AQ92" i="57" s="1"/>
  <c r="AA2" i="57" s="1"/>
  <c r="AP18" i="57"/>
  <c r="AO18" i="57"/>
  <c r="AN18" i="57"/>
  <c r="AM18" i="57"/>
  <c r="BP16" i="57"/>
  <c r="BO16" i="57"/>
  <c r="BN16" i="57"/>
  <c r="BM16" i="57"/>
  <c r="BL16" i="57"/>
  <c r="BK16" i="57"/>
  <c r="BK92" i="57" s="1"/>
  <c r="BJ16" i="57"/>
  <c r="BJ92" i="57" s="1"/>
  <c r="F195" i="57" s="1"/>
  <c r="BI16" i="57"/>
  <c r="BH16" i="57"/>
  <c r="BG16" i="57"/>
  <c r="BF16" i="57"/>
  <c r="BE16" i="57"/>
  <c r="BD16" i="57"/>
  <c r="BD92" i="57" s="1"/>
  <c r="F203" i="57" s="1"/>
  <c r="BC16" i="57"/>
  <c r="BC92" i="57" s="1"/>
  <c r="F202" i="57" s="1"/>
  <c r="BB16" i="57"/>
  <c r="BB92" i="57" s="1"/>
  <c r="F192" i="57" s="1"/>
  <c r="BA16" i="57"/>
  <c r="AZ16" i="57"/>
  <c r="AY16" i="57"/>
  <c r="AX16" i="57"/>
  <c r="AW16" i="57"/>
  <c r="AV16" i="57"/>
  <c r="AU16" i="57"/>
  <c r="AU92" i="57" s="1"/>
  <c r="AT16" i="57"/>
  <c r="AT92" i="57" s="1"/>
  <c r="U8" i="57" s="1"/>
  <c r="AP8" i="57" s="1"/>
  <c r="AS16" i="57"/>
  <c r="AR16" i="57"/>
  <c r="AQ16" i="57"/>
  <c r="AP16" i="57"/>
  <c r="AO16" i="57"/>
  <c r="AN16" i="57"/>
  <c r="AM16" i="57"/>
  <c r="D277" i="56"/>
  <c r="D276" i="56"/>
  <c r="D275" i="56"/>
  <c r="BP34" i="56" s="1"/>
  <c r="B275" i="56"/>
  <c r="Q273" i="56"/>
  <c r="O273" i="56"/>
  <c r="M273" i="56"/>
  <c r="AZ272" i="56"/>
  <c r="AY272" i="56"/>
  <c r="AW272" i="56"/>
  <c r="AV272" i="56"/>
  <c r="AN272" i="56"/>
  <c r="Q272" i="56"/>
  <c r="O272" i="56"/>
  <c r="M272" i="56"/>
  <c r="AZ271" i="56"/>
  <c r="AY271" i="56"/>
  <c r="AW271" i="56"/>
  <c r="AV271" i="56"/>
  <c r="Q271" i="56"/>
  <c r="O271" i="56"/>
  <c r="M271" i="56"/>
  <c r="AZ270" i="56"/>
  <c r="AY270" i="56"/>
  <c r="AW270" i="56"/>
  <c r="AV270" i="56"/>
  <c r="AN270" i="56"/>
  <c r="Q270" i="56"/>
  <c r="O270" i="56"/>
  <c r="M270" i="56"/>
  <c r="AZ269" i="56"/>
  <c r="AY269" i="56"/>
  <c r="AW269" i="56"/>
  <c r="AV269" i="56"/>
  <c r="Q269" i="56"/>
  <c r="O269" i="56"/>
  <c r="M269" i="56"/>
  <c r="AZ268" i="56"/>
  <c r="AY268" i="56"/>
  <c r="AW268" i="56"/>
  <c r="AV268" i="56"/>
  <c r="AN268" i="56"/>
  <c r="Q268" i="56"/>
  <c r="O268" i="56"/>
  <c r="M268" i="56"/>
  <c r="AZ267" i="56"/>
  <c r="AY267" i="56"/>
  <c r="AW267" i="56"/>
  <c r="AV267" i="56"/>
  <c r="Q267" i="56"/>
  <c r="O267" i="56"/>
  <c r="M267" i="56"/>
  <c r="AZ266" i="56"/>
  <c r="AY266" i="56"/>
  <c r="AW266" i="56"/>
  <c r="AV266" i="56"/>
  <c r="AN266" i="56"/>
  <c r="Q266" i="56"/>
  <c r="O266" i="56"/>
  <c r="M266" i="56"/>
  <c r="AZ265" i="56"/>
  <c r="AY265" i="56"/>
  <c r="AW265" i="56"/>
  <c r="AV265" i="56"/>
  <c r="Q265" i="56"/>
  <c r="O265" i="56"/>
  <c r="M265" i="56"/>
  <c r="AZ264" i="56"/>
  <c r="AY264" i="56"/>
  <c r="AW264" i="56"/>
  <c r="AV264" i="56"/>
  <c r="AN264" i="56"/>
  <c r="Q264" i="56"/>
  <c r="O264" i="56"/>
  <c r="M264" i="56"/>
  <c r="AZ263" i="56"/>
  <c r="AY263" i="56"/>
  <c r="AW263" i="56"/>
  <c r="AV263" i="56"/>
  <c r="Q263" i="56"/>
  <c r="O263" i="56"/>
  <c r="M263" i="56"/>
  <c r="AZ262" i="56"/>
  <c r="AY262" i="56"/>
  <c r="AW262" i="56"/>
  <c r="AV262" i="56"/>
  <c r="AN262" i="56"/>
  <c r="Q262" i="56"/>
  <c r="O262" i="56"/>
  <c r="M262" i="56"/>
  <c r="AZ261" i="56"/>
  <c r="AY261" i="56"/>
  <c r="AW261" i="56"/>
  <c r="Q261" i="56"/>
  <c r="O261" i="56"/>
  <c r="M261" i="56"/>
  <c r="AZ260" i="56"/>
  <c r="AY260" i="56"/>
  <c r="AW260" i="56"/>
  <c r="AV260" i="56"/>
  <c r="AN260" i="56"/>
  <c r="Q260" i="56"/>
  <c r="O260" i="56"/>
  <c r="M260" i="56"/>
  <c r="AZ259" i="56"/>
  <c r="AY259" i="56"/>
  <c r="AW259" i="56"/>
  <c r="AV259" i="56"/>
  <c r="Q259" i="56"/>
  <c r="O259" i="56"/>
  <c r="M259" i="56"/>
  <c r="AZ258" i="56"/>
  <c r="AW258" i="56"/>
  <c r="AV258" i="56"/>
  <c r="AN258" i="56"/>
  <c r="Q258" i="56"/>
  <c r="O258" i="56"/>
  <c r="M258" i="56"/>
  <c r="AZ257" i="56"/>
  <c r="Q257" i="56"/>
  <c r="O257" i="56"/>
  <c r="M257" i="56"/>
  <c r="AZ256" i="56"/>
  <c r="AN256" i="56"/>
  <c r="Q256" i="56"/>
  <c r="O256" i="56"/>
  <c r="M256" i="56"/>
  <c r="AZ255" i="56"/>
  <c r="AW255" i="56"/>
  <c r="AV255" i="56"/>
  <c r="Q255" i="56"/>
  <c r="O255" i="56"/>
  <c r="M255" i="56"/>
  <c r="AZ254" i="56"/>
  <c r="AN254" i="56"/>
  <c r="Q254" i="56"/>
  <c r="O254" i="56"/>
  <c r="M254" i="56"/>
  <c r="AZ253" i="56"/>
  <c r="AY253" i="56"/>
  <c r="AW253" i="56"/>
  <c r="AV253" i="56"/>
  <c r="Q253" i="56"/>
  <c r="O253" i="56"/>
  <c r="M253" i="56"/>
  <c r="AZ252" i="56"/>
  <c r="AY252" i="56"/>
  <c r="AW252" i="56"/>
  <c r="AV252" i="56"/>
  <c r="AN252" i="56"/>
  <c r="Q252" i="56"/>
  <c r="O252" i="56"/>
  <c r="M252" i="56"/>
  <c r="AZ251" i="56"/>
  <c r="AY251" i="56"/>
  <c r="AW251" i="56"/>
  <c r="AV251" i="56"/>
  <c r="Q251" i="56"/>
  <c r="O251" i="56"/>
  <c r="M251" i="56"/>
  <c r="AZ250" i="56"/>
  <c r="AY250" i="56"/>
  <c r="AW250" i="56"/>
  <c r="AV250" i="56"/>
  <c r="AN250" i="56"/>
  <c r="Q250" i="56"/>
  <c r="O250" i="56"/>
  <c r="M250" i="56"/>
  <c r="AZ249" i="56"/>
  <c r="AY249" i="56"/>
  <c r="AW249" i="56"/>
  <c r="AV249" i="56"/>
  <c r="Q249" i="56"/>
  <c r="O249" i="56"/>
  <c r="M249" i="56"/>
  <c r="AZ248" i="56"/>
  <c r="AY248" i="56"/>
  <c r="AW248" i="56"/>
  <c r="AV248" i="56"/>
  <c r="AN248" i="56"/>
  <c r="Q248" i="56"/>
  <c r="O248" i="56"/>
  <c r="M248" i="56"/>
  <c r="AZ247" i="56"/>
  <c r="AY247" i="56"/>
  <c r="AW247" i="56"/>
  <c r="AV247" i="56"/>
  <c r="Q247" i="56"/>
  <c r="O247" i="56"/>
  <c r="M247" i="56"/>
  <c r="AZ246" i="56"/>
  <c r="AY246" i="56"/>
  <c r="AW246" i="56"/>
  <c r="AV246" i="56"/>
  <c r="AN246" i="56"/>
  <c r="Q246" i="56"/>
  <c r="O246" i="56"/>
  <c r="M246" i="56"/>
  <c r="AZ245" i="56"/>
  <c r="AY245" i="56"/>
  <c r="AW245" i="56"/>
  <c r="AV245" i="56"/>
  <c r="Q245" i="56"/>
  <c r="O245" i="56"/>
  <c r="M245" i="56"/>
  <c r="AZ244" i="56"/>
  <c r="AY244" i="56"/>
  <c r="AW244" i="56"/>
  <c r="AV244" i="56"/>
  <c r="AN244" i="56"/>
  <c r="Q244" i="56"/>
  <c r="O244" i="56"/>
  <c r="M244" i="56"/>
  <c r="AZ243" i="56"/>
  <c r="AY243" i="56"/>
  <c r="AW243" i="56"/>
  <c r="AV243" i="56"/>
  <c r="Q243" i="56"/>
  <c r="O243" i="56"/>
  <c r="M243" i="56"/>
  <c r="AZ242" i="56"/>
  <c r="AY242" i="56"/>
  <c r="AW242" i="56"/>
  <c r="AV242" i="56"/>
  <c r="AN242" i="56"/>
  <c r="Q242" i="56"/>
  <c r="O242" i="56"/>
  <c r="M242" i="56"/>
  <c r="AZ241" i="56"/>
  <c r="AY241" i="56"/>
  <c r="AW241" i="56"/>
  <c r="AV241" i="56"/>
  <c r="Q241" i="56"/>
  <c r="O241" i="56"/>
  <c r="M241" i="56"/>
  <c r="AZ240" i="56"/>
  <c r="AY240" i="56"/>
  <c r="AW240" i="56"/>
  <c r="AV240" i="56"/>
  <c r="AN240" i="56"/>
  <c r="Q240" i="56"/>
  <c r="O240" i="56"/>
  <c r="M240" i="56"/>
  <c r="AZ239" i="56"/>
  <c r="AY239" i="56"/>
  <c r="AW239" i="56"/>
  <c r="AV239" i="56"/>
  <c r="Q239" i="56"/>
  <c r="O239" i="56"/>
  <c r="M239" i="56"/>
  <c r="AZ238" i="56"/>
  <c r="AY238" i="56"/>
  <c r="AW238" i="56"/>
  <c r="AV238" i="56"/>
  <c r="AN238" i="56"/>
  <c r="Q238" i="56"/>
  <c r="O238" i="56"/>
  <c r="M238" i="56"/>
  <c r="AZ237" i="56"/>
  <c r="AY237" i="56"/>
  <c r="AW237" i="56"/>
  <c r="AV237" i="56"/>
  <c r="Q237" i="56"/>
  <c r="O237" i="56"/>
  <c r="M237" i="56"/>
  <c r="AZ236" i="56"/>
  <c r="AY236" i="56"/>
  <c r="AW236" i="56"/>
  <c r="AV236" i="56"/>
  <c r="AN236" i="56"/>
  <c r="Q236" i="56"/>
  <c r="O236" i="56"/>
  <c r="M236" i="56"/>
  <c r="AZ235" i="56"/>
  <c r="AY235" i="56"/>
  <c r="AW235" i="56"/>
  <c r="AV235" i="56"/>
  <c r="Q235" i="56"/>
  <c r="O235" i="56"/>
  <c r="M235" i="56"/>
  <c r="AZ234" i="56"/>
  <c r="AY234" i="56"/>
  <c r="AW234" i="56"/>
  <c r="AV234" i="56"/>
  <c r="AN234" i="56"/>
  <c r="Q234" i="56"/>
  <c r="Q275" i="56" s="1"/>
  <c r="O234" i="56"/>
  <c r="O275" i="56" s="1"/>
  <c r="M234" i="56"/>
  <c r="AT234" i="56" s="1"/>
  <c r="H181" i="56"/>
  <c r="AV261" i="56" s="1"/>
  <c r="H180" i="56"/>
  <c r="H179" i="56"/>
  <c r="H178" i="56"/>
  <c r="AY258" i="56" s="1"/>
  <c r="H177" i="56"/>
  <c r="H176" i="56"/>
  <c r="AY257" i="56" s="1"/>
  <c r="H175" i="56"/>
  <c r="AY256" i="56" s="1"/>
  <c r="H174" i="56"/>
  <c r="H173" i="56"/>
  <c r="H172" i="56"/>
  <c r="AY255" i="56" s="1"/>
  <c r="H171" i="56"/>
  <c r="H170" i="56"/>
  <c r="AY254" i="56" s="1"/>
  <c r="H169" i="56"/>
  <c r="H168" i="56"/>
  <c r="H167" i="56"/>
  <c r="H166" i="56"/>
  <c r="H165" i="56"/>
  <c r="H164" i="56"/>
  <c r="H163" i="56"/>
  <c r="H162" i="56"/>
  <c r="H161" i="56"/>
  <c r="H160" i="56"/>
  <c r="H159" i="56"/>
  <c r="H158" i="56"/>
  <c r="H157" i="56"/>
  <c r="H156" i="56"/>
  <c r="H155" i="56"/>
  <c r="H154" i="56"/>
  <c r="H153" i="56"/>
  <c r="H152" i="56"/>
  <c r="H151" i="56"/>
  <c r="H150" i="56"/>
  <c r="H149" i="56"/>
  <c r="H148" i="56"/>
  <c r="H147" i="56"/>
  <c r="H146" i="56"/>
  <c r="H145" i="56"/>
  <c r="H144" i="56"/>
  <c r="H143" i="56"/>
  <c r="H142" i="56"/>
  <c r="H141" i="56"/>
  <c r="H140" i="56"/>
  <c r="H139" i="56"/>
  <c r="H138" i="56"/>
  <c r="H137" i="56"/>
  <c r="H136" i="56"/>
  <c r="H135" i="56"/>
  <c r="H134" i="56"/>
  <c r="H133" i="56"/>
  <c r="H132" i="56"/>
  <c r="H131" i="56"/>
  <c r="H130" i="56"/>
  <c r="H129" i="56"/>
  <c r="H128" i="56"/>
  <c r="H127" i="56"/>
  <c r="H126" i="56"/>
  <c r="H125" i="56"/>
  <c r="H124" i="56"/>
  <c r="H123" i="56"/>
  <c r="H122" i="56"/>
  <c r="H121" i="56"/>
  <c r="H120" i="56"/>
  <c r="H119" i="56"/>
  <c r="H118" i="56"/>
  <c r="H117" i="56"/>
  <c r="H116" i="56"/>
  <c r="H115" i="56"/>
  <c r="H114" i="56"/>
  <c r="H113" i="56"/>
  <c r="H112" i="56"/>
  <c r="H111" i="56"/>
  <c r="H110" i="56"/>
  <c r="H109" i="56"/>
  <c r="H108" i="56"/>
  <c r="H107" i="56"/>
  <c r="H106" i="56"/>
  <c r="H105" i="56"/>
  <c r="H104" i="56"/>
  <c r="H103" i="56"/>
  <c r="B188" i="56" s="1" a="1"/>
  <c r="B188" i="56" s="1"/>
  <c r="BU90" i="56"/>
  <c r="BT90" i="56"/>
  <c r="BS90" i="56"/>
  <c r="BS92" i="56" s="1"/>
  <c r="BR90" i="56"/>
  <c r="BQ90" i="56"/>
  <c r="BP90" i="56"/>
  <c r="BO90" i="56"/>
  <c r="BN90" i="56"/>
  <c r="BM90" i="56"/>
  <c r="BL90" i="56"/>
  <c r="BK90" i="56"/>
  <c r="AU90" i="56"/>
  <c r="AR90" i="56"/>
  <c r="AQ90" i="56"/>
  <c r="AO90" i="56"/>
  <c r="AN90" i="56"/>
  <c r="AM90" i="56"/>
  <c r="BQ89" i="56"/>
  <c r="BP89" i="56"/>
  <c r="BO89" i="56"/>
  <c r="BN89" i="56"/>
  <c r="BM89" i="56"/>
  <c r="BL89" i="56"/>
  <c r="BK89" i="56"/>
  <c r="AU89" i="56"/>
  <c r="AR89" i="56"/>
  <c r="AQ89" i="56"/>
  <c r="AO89" i="56"/>
  <c r="AN89" i="56"/>
  <c r="AM89" i="56"/>
  <c r="BU88" i="56"/>
  <c r="BT88" i="56"/>
  <c r="BS88" i="56"/>
  <c r="BR88" i="56"/>
  <c r="BQ88" i="56"/>
  <c r="BQ92" i="56" s="1"/>
  <c r="BP88" i="56"/>
  <c r="BO88" i="56"/>
  <c r="BN88" i="56"/>
  <c r="BM88" i="56"/>
  <c r="BL88" i="56"/>
  <c r="BK88" i="56"/>
  <c r="AU88" i="56"/>
  <c r="AR88" i="56"/>
  <c r="AQ88" i="56"/>
  <c r="AO88" i="56"/>
  <c r="AN88" i="56"/>
  <c r="AM88" i="56"/>
  <c r="BQ87" i="56"/>
  <c r="BP87" i="56"/>
  <c r="BO87" i="56"/>
  <c r="BN87" i="56"/>
  <c r="BM87" i="56"/>
  <c r="BL87" i="56"/>
  <c r="BK87" i="56"/>
  <c r="AU87" i="56"/>
  <c r="AR87" i="56"/>
  <c r="AQ87" i="56"/>
  <c r="AO87" i="56"/>
  <c r="AN87" i="56"/>
  <c r="AM87" i="56"/>
  <c r="BU86" i="56"/>
  <c r="BU92" i="56" s="1"/>
  <c r="BT86" i="56"/>
  <c r="BT92" i="56" s="1"/>
  <c r="BS86" i="56"/>
  <c r="BR86" i="56"/>
  <c r="BR92" i="56" s="1"/>
  <c r="BQ86" i="56"/>
  <c r="BP86" i="56"/>
  <c r="BO86" i="56"/>
  <c r="BN86" i="56"/>
  <c r="BM86" i="56"/>
  <c r="BL86" i="56"/>
  <c r="BK86" i="56"/>
  <c r="AU86" i="56"/>
  <c r="AR86" i="56"/>
  <c r="AQ86" i="56"/>
  <c r="AO86" i="56"/>
  <c r="AN86" i="56"/>
  <c r="AM86" i="56"/>
  <c r="BP82" i="56"/>
  <c r="BO82" i="56"/>
  <c r="BN82" i="56"/>
  <c r="BM82" i="56"/>
  <c r="BL82" i="56"/>
  <c r="BK82" i="56"/>
  <c r="BJ82" i="56"/>
  <c r="BI82" i="56"/>
  <c r="BH82" i="56"/>
  <c r="BG82" i="56"/>
  <c r="BF82" i="56"/>
  <c r="BE82" i="56"/>
  <c r="BD82" i="56"/>
  <c r="BC82" i="56"/>
  <c r="BB82" i="56"/>
  <c r="BA82" i="56"/>
  <c r="AZ82" i="56"/>
  <c r="AY82" i="56"/>
  <c r="AX82" i="56"/>
  <c r="AW82" i="56"/>
  <c r="AV82" i="56"/>
  <c r="AU82" i="56"/>
  <c r="AT82" i="56"/>
  <c r="AS82" i="56"/>
  <c r="AR82" i="56"/>
  <c r="AQ82" i="56"/>
  <c r="AP82" i="56"/>
  <c r="AO82" i="56"/>
  <c r="AN82" i="56"/>
  <c r="AM82" i="56"/>
  <c r="BP80" i="56"/>
  <c r="BO80" i="56"/>
  <c r="BN80" i="56"/>
  <c r="BM80" i="56"/>
  <c r="BL80" i="56"/>
  <c r="BK80" i="56"/>
  <c r="BJ80" i="56"/>
  <c r="BI80" i="56"/>
  <c r="BH80" i="56"/>
  <c r="BG80" i="56"/>
  <c r="BF80" i="56"/>
  <c r="BE80" i="56"/>
  <c r="BD80" i="56"/>
  <c r="BC80" i="56"/>
  <c r="BB80" i="56"/>
  <c r="BA80" i="56"/>
  <c r="AZ80" i="56"/>
  <c r="AY80" i="56"/>
  <c r="AX80" i="56"/>
  <c r="AW80" i="56"/>
  <c r="AV80" i="56"/>
  <c r="AU80" i="56"/>
  <c r="AT80" i="56"/>
  <c r="AS80" i="56"/>
  <c r="AR80" i="56"/>
  <c r="AQ80" i="56"/>
  <c r="AP80" i="56"/>
  <c r="AO80" i="56"/>
  <c r="AN80" i="56"/>
  <c r="AM80" i="56"/>
  <c r="BP78" i="56"/>
  <c r="BO78" i="56"/>
  <c r="BN78" i="56"/>
  <c r="BM78" i="56"/>
  <c r="BL78" i="56"/>
  <c r="BK78" i="56"/>
  <c r="BJ78" i="56"/>
  <c r="BI78" i="56"/>
  <c r="BH78" i="56"/>
  <c r="BG78" i="56"/>
  <c r="BF78" i="56"/>
  <c r="BE78" i="56"/>
  <c r="BD78" i="56"/>
  <c r="BC78" i="56"/>
  <c r="BB78" i="56"/>
  <c r="BA78" i="56"/>
  <c r="AZ78" i="56"/>
  <c r="AY78" i="56"/>
  <c r="AX78" i="56"/>
  <c r="AW78" i="56"/>
  <c r="AV78" i="56"/>
  <c r="AU78" i="56"/>
  <c r="AT78" i="56"/>
  <c r="AS78" i="56"/>
  <c r="AR78" i="56"/>
  <c r="AQ78" i="56"/>
  <c r="AP78" i="56"/>
  <c r="AO78" i="56"/>
  <c r="AN78" i="56"/>
  <c r="AM78" i="56"/>
  <c r="BP74" i="56"/>
  <c r="BO74" i="56"/>
  <c r="BN74" i="56"/>
  <c r="BM74" i="56"/>
  <c r="BL74" i="56"/>
  <c r="BK74" i="56"/>
  <c r="BJ74" i="56"/>
  <c r="BI74" i="56"/>
  <c r="BH74" i="56"/>
  <c r="BG74" i="56"/>
  <c r="BF74" i="56"/>
  <c r="BE74" i="56"/>
  <c r="BD74" i="56"/>
  <c r="BC74" i="56"/>
  <c r="BB74" i="56"/>
  <c r="BA74" i="56"/>
  <c r="AZ74" i="56"/>
  <c r="AY74" i="56"/>
  <c r="AX74" i="56"/>
  <c r="AW74" i="56"/>
  <c r="AV74" i="56"/>
  <c r="AU74" i="56"/>
  <c r="AT74" i="56"/>
  <c r="AS74" i="56"/>
  <c r="AR74" i="56"/>
  <c r="AQ74" i="56"/>
  <c r="AP74" i="56"/>
  <c r="AO74" i="56"/>
  <c r="AN74" i="56"/>
  <c r="AM74" i="56"/>
  <c r="BP72" i="56"/>
  <c r="BO72" i="56"/>
  <c r="BN72" i="56"/>
  <c r="BM72" i="56"/>
  <c r="BL72" i="56"/>
  <c r="BK72" i="56"/>
  <c r="BJ72" i="56"/>
  <c r="BI72" i="56"/>
  <c r="BH72" i="56"/>
  <c r="BG72" i="56"/>
  <c r="BF72" i="56"/>
  <c r="BE72" i="56"/>
  <c r="BD72" i="56"/>
  <c r="BC72" i="56"/>
  <c r="BB72" i="56"/>
  <c r="BA72" i="56"/>
  <c r="AZ72" i="56"/>
  <c r="AY72" i="56"/>
  <c r="AX72" i="56"/>
  <c r="AW72" i="56"/>
  <c r="AV72" i="56"/>
  <c r="AU72" i="56"/>
  <c r="AT72" i="56"/>
  <c r="AS72" i="56"/>
  <c r="AR72" i="56"/>
  <c r="AQ72" i="56"/>
  <c r="AP72" i="56"/>
  <c r="AO72" i="56"/>
  <c r="AN72" i="56"/>
  <c r="AM72" i="56"/>
  <c r="BP70" i="56"/>
  <c r="BO70" i="56"/>
  <c r="BN70" i="56"/>
  <c r="BM70" i="56"/>
  <c r="BL70" i="56"/>
  <c r="BK70" i="56"/>
  <c r="BJ70" i="56"/>
  <c r="BI70" i="56"/>
  <c r="BH70" i="56"/>
  <c r="BG70" i="56"/>
  <c r="BF70" i="56"/>
  <c r="BE70" i="56"/>
  <c r="BD70" i="56"/>
  <c r="BC70" i="56"/>
  <c r="BB70" i="56"/>
  <c r="BA70" i="56"/>
  <c r="AZ70" i="56"/>
  <c r="AY70" i="56"/>
  <c r="AX70" i="56"/>
  <c r="AW70" i="56"/>
  <c r="AV70" i="56"/>
  <c r="AU70" i="56"/>
  <c r="AT70" i="56"/>
  <c r="AS70" i="56"/>
  <c r="AR70" i="56"/>
  <c r="AQ70" i="56"/>
  <c r="AP70" i="56"/>
  <c r="AO70" i="56"/>
  <c r="AN70" i="56"/>
  <c r="AM70" i="56"/>
  <c r="BP66" i="56"/>
  <c r="BO66" i="56"/>
  <c r="BN66" i="56"/>
  <c r="BM66" i="56"/>
  <c r="BL66" i="56"/>
  <c r="BK66" i="56"/>
  <c r="BJ66" i="56"/>
  <c r="BI66" i="56"/>
  <c r="BH66" i="56"/>
  <c r="BG66" i="56"/>
  <c r="BF66" i="56"/>
  <c r="BE66" i="56"/>
  <c r="BD66" i="56"/>
  <c r="BC66" i="56"/>
  <c r="BB66" i="56"/>
  <c r="BA66" i="56"/>
  <c r="AZ66" i="56"/>
  <c r="AY66" i="56"/>
  <c r="AX66" i="56"/>
  <c r="AW66" i="56"/>
  <c r="AV66" i="56"/>
  <c r="AU66" i="56"/>
  <c r="AT66" i="56"/>
  <c r="AS66" i="56"/>
  <c r="AR66" i="56"/>
  <c r="AQ66" i="56"/>
  <c r="AP66" i="56"/>
  <c r="AO66" i="56"/>
  <c r="AN66" i="56"/>
  <c r="AM66" i="56"/>
  <c r="BP64" i="56"/>
  <c r="BO64" i="56"/>
  <c r="BN64" i="56"/>
  <c r="BM64" i="56"/>
  <c r="BL64" i="56"/>
  <c r="BK64" i="56"/>
  <c r="BJ64" i="56"/>
  <c r="BI64" i="56"/>
  <c r="BH64" i="56"/>
  <c r="BG64" i="56"/>
  <c r="BF64" i="56"/>
  <c r="BE64" i="56"/>
  <c r="BD64" i="56"/>
  <c r="BC64" i="56"/>
  <c r="BB64" i="56"/>
  <c r="BA64" i="56"/>
  <c r="AZ64" i="56"/>
  <c r="AY64" i="56"/>
  <c r="AX64" i="56"/>
  <c r="AW64" i="56"/>
  <c r="AV64" i="56"/>
  <c r="AU64" i="56"/>
  <c r="AT64" i="56"/>
  <c r="AS64" i="56"/>
  <c r="AR64" i="56"/>
  <c r="AQ64" i="56"/>
  <c r="AP64" i="56"/>
  <c r="AO64" i="56"/>
  <c r="AN64" i="56"/>
  <c r="AM64" i="56"/>
  <c r="BP62" i="56"/>
  <c r="BO62" i="56"/>
  <c r="BN62" i="56"/>
  <c r="BM62" i="56"/>
  <c r="BL62" i="56"/>
  <c r="BK62" i="56"/>
  <c r="BJ62" i="56"/>
  <c r="BI62" i="56"/>
  <c r="BH62" i="56"/>
  <c r="BG62" i="56"/>
  <c r="BF62" i="56"/>
  <c r="BE62" i="56"/>
  <c r="BD62" i="56"/>
  <c r="BC62" i="56"/>
  <c r="BB62" i="56"/>
  <c r="BA62" i="56"/>
  <c r="AZ62" i="56"/>
  <c r="AY62" i="56"/>
  <c r="AX62" i="56"/>
  <c r="AW62" i="56"/>
  <c r="AV62" i="56"/>
  <c r="AU62" i="56"/>
  <c r="AT62" i="56"/>
  <c r="AS62" i="56"/>
  <c r="AR62" i="56"/>
  <c r="AQ62" i="56"/>
  <c r="AP62" i="56"/>
  <c r="AO62" i="56"/>
  <c r="AN62" i="56"/>
  <c r="AM62" i="56"/>
  <c r="BP60" i="56"/>
  <c r="BO60" i="56"/>
  <c r="BN60" i="56"/>
  <c r="BM60" i="56"/>
  <c r="BL60" i="56"/>
  <c r="BK60" i="56"/>
  <c r="BJ60" i="56"/>
  <c r="BI60" i="56"/>
  <c r="BH60" i="56"/>
  <c r="BG60" i="56"/>
  <c r="BF60" i="56"/>
  <c r="BE60" i="56"/>
  <c r="BD60" i="56"/>
  <c r="BC60" i="56"/>
  <c r="BB60" i="56"/>
  <c r="BA60" i="56"/>
  <c r="AZ60" i="56"/>
  <c r="AY60" i="56"/>
  <c r="AX60" i="56"/>
  <c r="AW60" i="56"/>
  <c r="AV60" i="56"/>
  <c r="AU60" i="56"/>
  <c r="AT60" i="56"/>
  <c r="AS60" i="56"/>
  <c r="AR60" i="56"/>
  <c r="AQ60" i="56"/>
  <c r="AP60" i="56"/>
  <c r="AO60" i="56"/>
  <c r="AN60" i="56"/>
  <c r="AM60" i="56"/>
  <c r="BP58" i="56"/>
  <c r="BO58" i="56"/>
  <c r="BN58" i="56"/>
  <c r="BM58" i="56"/>
  <c r="BL58" i="56"/>
  <c r="BK58" i="56"/>
  <c r="BJ58" i="56"/>
  <c r="BI58" i="56"/>
  <c r="BH58" i="56"/>
  <c r="BG58" i="56"/>
  <c r="BF58" i="56"/>
  <c r="BE58" i="56"/>
  <c r="BD58" i="56"/>
  <c r="BC58" i="56"/>
  <c r="BB58" i="56"/>
  <c r="BA58" i="56"/>
  <c r="AZ58" i="56"/>
  <c r="AY58" i="56"/>
  <c r="AX58" i="56"/>
  <c r="AW58" i="56"/>
  <c r="AV58" i="56"/>
  <c r="AU58" i="56"/>
  <c r="AT58" i="56"/>
  <c r="AS58" i="56"/>
  <c r="AR58" i="56"/>
  <c r="AQ58" i="56"/>
  <c r="AP58" i="56"/>
  <c r="AO58" i="56"/>
  <c r="AN58" i="56"/>
  <c r="AM58" i="56"/>
  <c r="BP56" i="56"/>
  <c r="BO56" i="56"/>
  <c r="BN56" i="56"/>
  <c r="BM56" i="56"/>
  <c r="BL56" i="56"/>
  <c r="BK56" i="56"/>
  <c r="BJ56" i="56"/>
  <c r="BI56" i="56"/>
  <c r="BH56" i="56"/>
  <c r="BG56" i="56"/>
  <c r="BF56" i="56"/>
  <c r="BE56" i="56"/>
  <c r="BD56" i="56"/>
  <c r="BC56" i="56"/>
  <c r="BB56" i="56"/>
  <c r="BA56" i="56"/>
  <c r="AZ56" i="56"/>
  <c r="AY56" i="56"/>
  <c r="AX56" i="56"/>
  <c r="AW56" i="56"/>
  <c r="AV56" i="56"/>
  <c r="AU56" i="56"/>
  <c r="AT56" i="56"/>
  <c r="AS56" i="56"/>
  <c r="AR56" i="56"/>
  <c r="AQ56" i="56"/>
  <c r="AP56" i="56"/>
  <c r="AO56" i="56"/>
  <c r="AN56" i="56"/>
  <c r="AM56" i="56"/>
  <c r="BP54" i="56"/>
  <c r="BO54" i="56"/>
  <c r="BN54" i="56"/>
  <c r="BM54" i="56"/>
  <c r="BL54" i="56"/>
  <c r="BK54" i="56"/>
  <c r="BJ54" i="56"/>
  <c r="BI54" i="56"/>
  <c r="BH54" i="56"/>
  <c r="BG54" i="56"/>
  <c r="BF54" i="56"/>
  <c r="BE54" i="56"/>
  <c r="BD54" i="56"/>
  <c r="BC54" i="56"/>
  <c r="BB54" i="56"/>
  <c r="BA54" i="56"/>
  <c r="AZ54" i="56"/>
  <c r="AY54" i="56"/>
  <c r="AX54" i="56"/>
  <c r="AW54" i="56"/>
  <c r="AV54" i="56"/>
  <c r="AU54" i="56"/>
  <c r="AT54" i="56"/>
  <c r="AS54" i="56"/>
  <c r="AR54" i="56"/>
  <c r="AQ54" i="56"/>
  <c r="AP54" i="56"/>
  <c r="AO54" i="56"/>
  <c r="AN54" i="56"/>
  <c r="AM54" i="56"/>
  <c r="BP52" i="56"/>
  <c r="BO52" i="56"/>
  <c r="BN52" i="56"/>
  <c r="BM52" i="56"/>
  <c r="BL52" i="56"/>
  <c r="BK52" i="56"/>
  <c r="BJ52" i="56"/>
  <c r="BI52" i="56"/>
  <c r="BH52" i="56"/>
  <c r="BG52" i="56"/>
  <c r="BF52" i="56"/>
  <c r="BE52" i="56"/>
  <c r="BD52" i="56"/>
  <c r="BC52" i="56"/>
  <c r="BB52" i="56"/>
  <c r="BA52" i="56"/>
  <c r="AZ52" i="56"/>
  <c r="AY52" i="56"/>
  <c r="AX52" i="56"/>
  <c r="AW52" i="56"/>
  <c r="AV52" i="56"/>
  <c r="AU52" i="56"/>
  <c r="AT52" i="56"/>
  <c r="AS52" i="56"/>
  <c r="AR52" i="56"/>
  <c r="AQ52" i="56"/>
  <c r="AP52" i="56"/>
  <c r="AO52" i="56"/>
  <c r="AN52" i="56"/>
  <c r="AM52" i="56"/>
  <c r="BP50" i="56"/>
  <c r="BO50" i="56"/>
  <c r="BN50" i="56"/>
  <c r="BM50" i="56"/>
  <c r="BL50" i="56"/>
  <c r="BK50" i="56"/>
  <c r="BJ50" i="56"/>
  <c r="BI50" i="56"/>
  <c r="BH50" i="56"/>
  <c r="BG50" i="56"/>
  <c r="BF50" i="56"/>
  <c r="BE50" i="56"/>
  <c r="BD50" i="56"/>
  <c r="BC50" i="56"/>
  <c r="BB50" i="56"/>
  <c r="BA50" i="56"/>
  <c r="AZ50" i="56"/>
  <c r="AY50" i="56"/>
  <c r="AX50" i="56"/>
  <c r="AW50" i="56"/>
  <c r="AV50" i="56"/>
  <c r="AU50" i="56"/>
  <c r="AT50" i="56"/>
  <c r="AS50" i="56"/>
  <c r="AR50" i="56"/>
  <c r="AQ50" i="56"/>
  <c r="AP50" i="56"/>
  <c r="AO50" i="56"/>
  <c r="AN50" i="56"/>
  <c r="AM50" i="56"/>
  <c r="BP48" i="56"/>
  <c r="BO48" i="56"/>
  <c r="BN48" i="56"/>
  <c r="BM48" i="56"/>
  <c r="BL48" i="56"/>
  <c r="BK48" i="56"/>
  <c r="BJ48" i="56"/>
  <c r="BI48" i="56"/>
  <c r="BH48" i="56"/>
  <c r="BG48" i="56"/>
  <c r="BF48" i="56"/>
  <c r="BE48" i="56"/>
  <c r="BD48" i="56"/>
  <c r="BC48" i="56"/>
  <c r="BB48" i="56"/>
  <c r="BA48" i="56"/>
  <c r="AZ48" i="56"/>
  <c r="AY48" i="56"/>
  <c r="AX48" i="56"/>
  <c r="AW48" i="56"/>
  <c r="AV48" i="56"/>
  <c r="AU48" i="56"/>
  <c r="AT48" i="56"/>
  <c r="AS48" i="56"/>
  <c r="AR48" i="56"/>
  <c r="AQ48" i="56"/>
  <c r="AP48" i="56"/>
  <c r="AO48" i="56"/>
  <c r="AN48" i="56"/>
  <c r="AM48" i="56"/>
  <c r="BP46" i="56"/>
  <c r="BO46" i="56"/>
  <c r="BN46" i="56"/>
  <c r="BM46" i="56"/>
  <c r="BL46" i="56"/>
  <c r="BK46" i="56"/>
  <c r="BJ46" i="56"/>
  <c r="BI46" i="56"/>
  <c r="BH46" i="56"/>
  <c r="BG46" i="56"/>
  <c r="BF46" i="56"/>
  <c r="BE46" i="56"/>
  <c r="BD46" i="56"/>
  <c r="BC46" i="56"/>
  <c r="BB46" i="56"/>
  <c r="BA46" i="56"/>
  <c r="AZ46" i="56"/>
  <c r="AY46" i="56"/>
  <c r="AX46" i="56"/>
  <c r="AW46" i="56"/>
  <c r="AV46" i="56"/>
  <c r="AU46" i="56"/>
  <c r="AT46" i="56"/>
  <c r="AS46" i="56"/>
  <c r="AR46" i="56"/>
  <c r="AQ46" i="56"/>
  <c r="AP46" i="56"/>
  <c r="AO46" i="56"/>
  <c r="AN46" i="56"/>
  <c r="AM46" i="56"/>
  <c r="BP44" i="56"/>
  <c r="BO44" i="56"/>
  <c r="BN44" i="56"/>
  <c r="BM44" i="56"/>
  <c r="BL44" i="56"/>
  <c r="BK44" i="56"/>
  <c r="BJ44" i="56"/>
  <c r="BI44" i="56"/>
  <c r="BH44" i="56"/>
  <c r="BG44" i="56"/>
  <c r="BF44" i="56"/>
  <c r="BE44" i="56"/>
  <c r="BD44" i="56"/>
  <c r="BC44" i="56"/>
  <c r="BB44" i="56"/>
  <c r="BA44" i="56"/>
  <c r="AZ44" i="56"/>
  <c r="AY44" i="56"/>
  <c r="AX44" i="56"/>
  <c r="AW44" i="56"/>
  <c r="AV44" i="56"/>
  <c r="AU44" i="56"/>
  <c r="AT44" i="56"/>
  <c r="AS44" i="56"/>
  <c r="AR44" i="56"/>
  <c r="AQ44" i="56"/>
  <c r="AP44" i="56"/>
  <c r="AO44" i="56"/>
  <c r="AN44" i="56"/>
  <c r="AM44" i="56"/>
  <c r="BP42" i="56"/>
  <c r="BO42" i="56"/>
  <c r="BN42" i="56"/>
  <c r="BM42" i="56"/>
  <c r="BL42" i="56"/>
  <c r="BK42" i="56"/>
  <c r="BJ42" i="56"/>
  <c r="BI42" i="56"/>
  <c r="BH42" i="56"/>
  <c r="BG42" i="56"/>
  <c r="BF42" i="56"/>
  <c r="BE42" i="56"/>
  <c r="BD42" i="56"/>
  <c r="BC42" i="56"/>
  <c r="BB42" i="56"/>
  <c r="BA42" i="56"/>
  <c r="AZ42" i="56"/>
  <c r="AY42" i="56"/>
  <c r="AX42" i="56"/>
  <c r="AW42" i="56"/>
  <c r="AV42" i="56"/>
  <c r="AU42" i="56"/>
  <c r="AT42" i="56"/>
  <c r="AS42" i="56"/>
  <c r="AR42" i="56"/>
  <c r="AQ42" i="56"/>
  <c r="AP42" i="56"/>
  <c r="AO42" i="56"/>
  <c r="AN42" i="56"/>
  <c r="AM42" i="56"/>
  <c r="BP40" i="56"/>
  <c r="BO40" i="56"/>
  <c r="BN40" i="56"/>
  <c r="BM40" i="56"/>
  <c r="BL40" i="56"/>
  <c r="BK40" i="56"/>
  <c r="BJ40" i="56"/>
  <c r="BI40" i="56"/>
  <c r="BH40" i="56"/>
  <c r="BG40" i="56"/>
  <c r="BF40" i="56"/>
  <c r="BE40" i="56"/>
  <c r="BD40" i="56"/>
  <c r="BC40" i="56"/>
  <c r="BB40" i="56"/>
  <c r="BA40" i="56"/>
  <c r="AZ40" i="56"/>
  <c r="AY40" i="56"/>
  <c r="AX40" i="56"/>
  <c r="AW40" i="56"/>
  <c r="AV40" i="56"/>
  <c r="AU40" i="56"/>
  <c r="AT40" i="56"/>
  <c r="AS40" i="56"/>
  <c r="AR40" i="56"/>
  <c r="AQ40" i="56"/>
  <c r="AP40" i="56"/>
  <c r="AO40" i="56"/>
  <c r="AN40" i="56"/>
  <c r="AM40" i="56"/>
  <c r="CH38" i="56"/>
  <c r="CG38" i="56"/>
  <c r="CF38" i="56"/>
  <c r="CE38" i="56"/>
  <c r="CD38" i="56"/>
  <c r="CC38" i="56"/>
  <c r="CB38" i="56"/>
  <c r="CA38" i="56"/>
  <c r="BL92" i="56" s="1"/>
  <c r="BZ38" i="56"/>
  <c r="BK92" i="56" s="1"/>
  <c r="BY38" i="56"/>
  <c r="BX38" i="56"/>
  <c r="BW38" i="56"/>
  <c r="BV38" i="56"/>
  <c r="BP38" i="56"/>
  <c r="BO38" i="56"/>
  <c r="BN38" i="56"/>
  <c r="BM38" i="56"/>
  <c r="BL38" i="56"/>
  <c r="BK38" i="56"/>
  <c r="BJ38" i="56"/>
  <c r="BI38" i="56"/>
  <c r="BH38" i="56"/>
  <c r="BG38" i="56"/>
  <c r="BF38" i="56"/>
  <c r="BE38" i="56"/>
  <c r="BD38" i="56"/>
  <c r="BC38" i="56"/>
  <c r="BB38" i="56"/>
  <c r="BA38" i="56"/>
  <c r="AZ38" i="56"/>
  <c r="AY38" i="56"/>
  <c r="AX38" i="56"/>
  <c r="AW38" i="56"/>
  <c r="AV38" i="56"/>
  <c r="AU38" i="56"/>
  <c r="AT38" i="56"/>
  <c r="AS38" i="56"/>
  <c r="AR38" i="56"/>
  <c r="AQ38" i="56"/>
  <c r="AP38" i="56"/>
  <c r="AO38" i="56"/>
  <c r="AN38" i="56"/>
  <c r="AM38" i="56"/>
  <c r="BP36" i="56"/>
  <c r="BO36" i="56"/>
  <c r="BN36" i="56"/>
  <c r="BM36" i="56"/>
  <c r="BL36" i="56"/>
  <c r="BK36" i="56"/>
  <c r="BJ36" i="56"/>
  <c r="BI36" i="56"/>
  <c r="BH36" i="56"/>
  <c r="BG36" i="56"/>
  <c r="BF36" i="56"/>
  <c r="BE36" i="56"/>
  <c r="BD36" i="56"/>
  <c r="BC36" i="56"/>
  <c r="BB36" i="56"/>
  <c r="BA36" i="56"/>
  <c r="AZ36" i="56"/>
  <c r="AY36" i="56"/>
  <c r="AX36" i="56"/>
  <c r="AW36" i="56"/>
  <c r="AV36" i="56"/>
  <c r="AU36" i="56"/>
  <c r="AT36" i="56"/>
  <c r="AS36" i="56"/>
  <c r="AR36" i="56"/>
  <c r="AQ36" i="56"/>
  <c r="AP36" i="56"/>
  <c r="AO36" i="56"/>
  <c r="AN36" i="56"/>
  <c r="AM36" i="56"/>
  <c r="BM34" i="56"/>
  <c r="BL34" i="56"/>
  <c r="BK34" i="56"/>
  <c r="BJ34" i="56"/>
  <c r="BI34" i="56"/>
  <c r="BE34" i="56"/>
  <c r="BD34" i="56"/>
  <c r="BC34" i="56"/>
  <c r="BB34" i="56"/>
  <c r="BA34" i="56"/>
  <c r="AW34" i="56"/>
  <c r="AV34" i="56"/>
  <c r="AU34" i="56"/>
  <c r="AT34" i="56"/>
  <c r="AS34" i="56"/>
  <c r="AP34" i="56"/>
  <c r="AO34" i="56"/>
  <c r="AN34" i="56"/>
  <c r="AM34" i="56"/>
  <c r="BP32" i="56"/>
  <c r="BO32" i="56"/>
  <c r="BN32" i="56"/>
  <c r="BM32" i="56"/>
  <c r="BL32" i="56"/>
  <c r="BK32" i="56"/>
  <c r="BJ32" i="56"/>
  <c r="BI32" i="56"/>
  <c r="BH32" i="56"/>
  <c r="BG32" i="56"/>
  <c r="BF32" i="56"/>
  <c r="BE32" i="56"/>
  <c r="BD32" i="56"/>
  <c r="BC32" i="56"/>
  <c r="BB32" i="56"/>
  <c r="BA32" i="56"/>
  <c r="AZ32" i="56"/>
  <c r="AY32" i="56"/>
  <c r="AX32" i="56"/>
  <c r="AW32" i="56"/>
  <c r="AV32" i="56"/>
  <c r="AU32" i="56"/>
  <c r="AT32" i="56"/>
  <c r="AS32" i="56"/>
  <c r="AR32" i="56"/>
  <c r="AQ32" i="56"/>
  <c r="AP32" i="56"/>
  <c r="AO32" i="56"/>
  <c r="AN32" i="56"/>
  <c r="AM32" i="56"/>
  <c r="BY30" i="56"/>
  <c r="BX30" i="56"/>
  <c r="BW30" i="56"/>
  <c r="BV30" i="56"/>
  <c r="BP30" i="56"/>
  <c r="BO30" i="56"/>
  <c r="BN30" i="56"/>
  <c r="BM30" i="56"/>
  <c r="BL30" i="56"/>
  <c r="BK30" i="56"/>
  <c r="BJ30" i="56"/>
  <c r="BI30" i="56"/>
  <c r="BH30" i="56"/>
  <c r="BG30" i="56"/>
  <c r="BF30" i="56"/>
  <c r="BE30" i="56"/>
  <c r="BD30" i="56"/>
  <c r="BC30" i="56"/>
  <c r="BB30" i="56"/>
  <c r="BA30" i="56"/>
  <c r="AZ30" i="56"/>
  <c r="AY30" i="56"/>
  <c r="AX30" i="56"/>
  <c r="AW30" i="56"/>
  <c r="AV30" i="56"/>
  <c r="AU30" i="56"/>
  <c r="AT30" i="56"/>
  <c r="AS30" i="56"/>
  <c r="AR30" i="56"/>
  <c r="AQ30" i="56"/>
  <c r="AP30" i="56"/>
  <c r="AO30" i="56"/>
  <c r="AN30" i="56"/>
  <c r="AM30" i="56"/>
  <c r="BV29" i="56"/>
  <c r="BY28" i="56"/>
  <c r="BX28" i="56"/>
  <c r="BW28" i="56"/>
  <c r="BV28" i="56"/>
  <c r="BP28" i="56"/>
  <c r="BO28" i="56"/>
  <c r="BN28" i="56"/>
  <c r="BM28" i="56"/>
  <c r="BL28" i="56"/>
  <c r="BK28" i="56"/>
  <c r="BJ28" i="56"/>
  <c r="BI28" i="56"/>
  <c r="BH28" i="56"/>
  <c r="BG28" i="56"/>
  <c r="BF28" i="56"/>
  <c r="BE28" i="56"/>
  <c r="BD28" i="56"/>
  <c r="BC28" i="56"/>
  <c r="BB28" i="56"/>
  <c r="BA28" i="56"/>
  <c r="AZ28" i="56"/>
  <c r="AY28" i="56"/>
  <c r="AX28" i="56"/>
  <c r="AW28" i="56"/>
  <c r="AV28" i="56"/>
  <c r="AU28" i="56"/>
  <c r="AT28" i="56"/>
  <c r="AS28" i="56"/>
  <c r="AR28" i="56"/>
  <c r="AQ28" i="56"/>
  <c r="AP28" i="56"/>
  <c r="AO28" i="56"/>
  <c r="AN28" i="56"/>
  <c r="AM28" i="56"/>
  <c r="BV27" i="56"/>
  <c r="BY26" i="56"/>
  <c r="BY32" i="56" s="1"/>
  <c r="AP92" i="56" s="1"/>
  <c r="U6" i="56" s="1"/>
  <c r="BX26" i="56"/>
  <c r="BX32" i="56" s="1"/>
  <c r="BW26" i="56"/>
  <c r="BW32" i="56" s="1"/>
  <c r="BV26" i="56"/>
  <c r="BV32" i="56" s="1"/>
  <c r="BP26" i="56"/>
  <c r="BO26" i="56"/>
  <c r="BN26" i="56"/>
  <c r="BM26" i="56"/>
  <c r="BL26" i="56"/>
  <c r="BK26" i="56"/>
  <c r="BJ26" i="56"/>
  <c r="BI26" i="56"/>
  <c r="BH26" i="56"/>
  <c r="BG26" i="56"/>
  <c r="BF26" i="56"/>
  <c r="BE26" i="56"/>
  <c r="BD26" i="56"/>
  <c r="BC26" i="56"/>
  <c r="BB26" i="56"/>
  <c r="BA26" i="56"/>
  <c r="AZ26" i="56"/>
  <c r="AY26" i="56"/>
  <c r="AX26" i="56"/>
  <c r="AW26" i="56"/>
  <c r="AV26" i="56"/>
  <c r="AU26" i="56"/>
  <c r="AT26" i="56"/>
  <c r="AS26" i="56"/>
  <c r="AR26" i="56"/>
  <c r="AQ26" i="56"/>
  <c r="AP26" i="56"/>
  <c r="AO26" i="56"/>
  <c r="AN26" i="56"/>
  <c r="AM26" i="56"/>
  <c r="BP24" i="56"/>
  <c r="BO24" i="56"/>
  <c r="BN24" i="56"/>
  <c r="BM24" i="56"/>
  <c r="BL24" i="56"/>
  <c r="BK24" i="56"/>
  <c r="BJ24" i="56"/>
  <c r="BI24" i="56"/>
  <c r="BH24" i="56"/>
  <c r="BG24" i="56"/>
  <c r="BF24" i="56"/>
  <c r="BE24" i="56"/>
  <c r="BD24" i="56"/>
  <c r="BC24" i="56"/>
  <c r="BB24" i="56"/>
  <c r="BA24" i="56"/>
  <c r="AZ24" i="56"/>
  <c r="AY24" i="56"/>
  <c r="AX24" i="56"/>
  <c r="AW24" i="56"/>
  <c r="AV24" i="56"/>
  <c r="AU24" i="56"/>
  <c r="AT24" i="56"/>
  <c r="AS24" i="56"/>
  <c r="AR24" i="56"/>
  <c r="AQ24" i="56"/>
  <c r="AP24" i="56"/>
  <c r="AO24" i="56"/>
  <c r="AN24" i="56"/>
  <c r="AM24" i="56"/>
  <c r="BP22" i="56"/>
  <c r="BO22" i="56"/>
  <c r="BN22" i="56"/>
  <c r="BM22" i="56"/>
  <c r="BL22" i="56"/>
  <c r="BK22" i="56"/>
  <c r="BJ22" i="56"/>
  <c r="BI22" i="56"/>
  <c r="BH22" i="56"/>
  <c r="BG22" i="56"/>
  <c r="BF22" i="56"/>
  <c r="BE22" i="56"/>
  <c r="BD22" i="56"/>
  <c r="BC22" i="56"/>
  <c r="BB22" i="56"/>
  <c r="BA22" i="56"/>
  <c r="AZ22" i="56"/>
  <c r="AY22" i="56"/>
  <c r="AX22" i="56"/>
  <c r="AW22" i="56"/>
  <c r="AV22" i="56"/>
  <c r="AU22" i="56"/>
  <c r="AT22" i="56"/>
  <c r="AS22" i="56"/>
  <c r="AR22" i="56"/>
  <c r="AQ22" i="56"/>
  <c r="AP22" i="56"/>
  <c r="AO22" i="56"/>
  <c r="AN22" i="56"/>
  <c r="AM22" i="56"/>
  <c r="BV20" i="56"/>
  <c r="BP20" i="56"/>
  <c r="BO20" i="56"/>
  <c r="BN20" i="56"/>
  <c r="BM20" i="56"/>
  <c r="BL20" i="56"/>
  <c r="BK20" i="56"/>
  <c r="BJ20" i="56"/>
  <c r="BI20" i="56"/>
  <c r="BH20" i="56"/>
  <c r="BG20" i="56"/>
  <c r="BF20" i="56"/>
  <c r="BE20" i="56"/>
  <c r="BD20" i="56"/>
  <c r="BC20" i="56"/>
  <c r="BB20" i="56"/>
  <c r="BA20" i="56"/>
  <c r="AZ20" i="56"/>
  <c r="AY20" i="56"/>
  <c r="AX20" i="56"/>
  <c r="AW20" i="56"/>
  <c r="AV20" i="56"/>
  <c r="AU20" i="56"/>
  <c r="AT20" i="56"/>
  <c r="AS20" i="56"/>
  <c r="AR20" i="56"/>
  <c r="AQ20" i="56"/>
  <c r="AP20" i="56"/>
  <c r="AO20" i="56"/>
  <c r="AN20" i="56"/>
  <c r="AM20" i="56"/>
  <c r="BP18" i="56"/>
  <c r="BO18" i="56"/>
  <c r="BN18" i="56"/>
  <c r="BM18" i="56"/>
  <c r="BL18" i="56"/>
  <c r="BK18" i="56"/>
  <c r="BJ18" i="56"/>
  <c r="BI18" i="56"/>
  <c r="BH18" i="56"/>
  <c r="BG18" i="56"/>
  <c r="BF18" i="56"/>
  <c r="BE18" i="56"/>
  <c r="BD18" i="56"/>
  <c r="BC18" i="56"/>
  <c r="BB18" i="56"/>
  <c r="BA18" i="56"/>
  <c r="AZ18" i="56"/>
  <c r="AY18" i="56"/>
  <c r="AX18" i="56"/>
  <c r="AW18" i="56"/>
  <c r="AV18" i="56"/>
  <c r="AU18" i="56"/>
  <c r="AT18" i="56"/>
  <c r="AS18" i="56"/>
  <c r="AR18" i="56"/>
  <c r="AQ18" i="56"/>
  <c r="AP18" i="56"/>
  <c r="AO18" i="56"/>
  <c r="AN18" i="56"/>
  <c r="AM18" i="56"/>
  <c r="BP16" i="56"/>
  <c r="BP92" i="56" s="1"/>
  <c r="BO16" i="56"/>
  <c r="BN16" i="56"/>
  <c r="BM16" i="56"/>
  <c r="BL16" i="56"/>
  <c r="BK16" i="56"/>
  <c r="BJ16" i="56"/>
  <c r="BJ92" i="56" s="1"/>
  <c r="F195" i="56" s="1"/>
  <c r="BI16" i="56"/>
  <c r="BI92" i="56" s="1"/>
  <c r="F201" i="56" s="1"/>
  <c r="BH16" i="56"/>
  <c r="BG16" i="56"/>
  <c r="BF16" i="56"/>
  <c r="BE16" i="56"/>
  <c r="BE92" i="56" s="1"/>
  <c r="F196" i="56" s="1"/>
  <c r="BD16" i="56"/>
  <c r="BD92" i="56" s="1"/>
  <c r="F203" i="56" s="1"/>
  <c r="BC16" i="56"/>
  <c r="BC92" i="56" s="1"/>
  <c r="F202" i="56" s="1"/>
  <c r="BB16" i="56"/>
  <c r="BB92" i="56" s="1"/>
  <c r="F192" i="56" s="1"/>
  <c r="BA16" i="56"/>
  <c r="BA92" i="56" s="1"/>
  <c r="F194" i="56" s="1"/>
  <c r="AZ16" i="56"/>
  <c r="AY16" i="56"/>
  <c r="AX16" i="56"/>
  <c r="AW16" i="56"/>
  <c r="AW92" i="56" s="1"/>
  <c r="F199" i="56" s="1"/>
  <c r="AV16" i="56"/>
  <c r="AV92" i="56" s="1"/>
  <c r="F206" i="56" s="1"/>
  <c r="AU16" i="56"/>
  <c r="AU92" i="56" s="1"/>
  <c r="AT16" i="56"/>
  <c r="AT92" i="56" s="1"/>
  <c r="U8" i="56" s="1"/>
  <c r="AP8" i="56" s="1"/>
  <c r="AS16" i="56"/>
  <c r="AS92" i="56" s="1"/>
  <c r="AR16" i="56"/>
  <c r="AQ16" i="56"/>
  <c r="AP16" i="56"/>
  <c r="AO16" i="56"/>
  <c r="AN16" i="56"/>
  <c r="AM16" i="56"/>
  <c r="D277" i="55"/>
  <c r="D276" i="55"/>
  <c r="BD50" i="55" s="1"/>
  <c r="D275" i="55"/>
  <c r="B275" i="55"/>
  <c r="Q273" i="55"/>
  <c r="O273" i="55"/>
  <c r="M273" i="55"/>
  <c r="AZ272" i="55"/>
  <c r="AY272" i="55"/>
  <c r="AW272" i="55"/>
  <c r="AV272" i="55"/>
  <c r="AN272" i="55"/>
  <c r="Q272" i="55"/>
  <c r="O272" i="55"/>
  <c r="M272" i="55"/>
  <c r="AZ271" i="55"/>
  <c r="AY271" i="55"/>
  <c r="AW271" i="55"/>
  <c r="AV271" i="55"/>
  <c r="Q271" i="55"/>
  <c r="O271" i="55"/>
  <c r="M271" i="55"/>
  <c r="AZ270" i="55"/>
  <c r="AY270" i="55"/>
  <c r="AW270" i="55"/>
  <c r="AV270" i="55"/>
  <c r="AN270" i="55"/>
  <c r="Q270" i="55"/>
  <c r="O270" i="55"/>
  <c r="M270" i="55"/>
  <c r="AZ269" i="55"/>
  <c r="AY269" i="55"/>
  <c r="AW269" i="55"/>
  <c r="AV269" i="55"/>
  <c r="Q269" i="55"/>
  <c r="O269" i="55"/>
  <c r="M269" i="55"/>
  <c r="AZ268" i="55"/>
  <c r="AY268" i="55"/>
  <c r="AW268" i="55"/>
  <c r="AV268" i="55"/>
  <c r="AN268" i="55"/>
  <c r="Q268" i="55"/>
  <c r="O268" i="55"/>
  <c r="M268" i="55"/>
  <c r="AZ267" i="55"/>
  <c r="AY267" i="55"/>
  <c r="AW267" i="55"/>
  <c r="AV267" i="55"/>
  <c r="Q267" i="55"/>
  <c r="O267" i="55"/>
  <c r="M267" i="55"/>
  <c r="AZ266" i="55"/>
  <c r="AY266" i="55"/>
  <c r="AW266" i="55"/>
  <c r="AV266" i="55"/>
  <c r="AN266" i="55"/>
  <c r="Q266" i="55"/>
  <c r="O266" i="55"/>
  <c r="M266" i="55"/>
  <c r="AZ265" i="55"/>
  <c r="AY265" i="55"/>
  <c r="AW265" i="55"/>
  <c r="AV265" i="55"/>
  <c r="Q265" i="55"/>
  <c r="O265" i="55"/>
  <c r="M265" i="55"/>
  <c r="AZ264" i="55"/>
  <c r="AY264" i="55"/>
  <c r="AW264" i="55"/>
  <c r="AV264" i="55"/>
  <c r="AN264" i="55"/>
  <c r="Q264" i="55"/>
  <c r="O264" i="55"/>
  <c r="M264" i="55"/>
  <c r="AZ263" i="55"/>
  <c r="AY263" i="55"/>
  <c r="AW263" i="55"/>
  <c r="AV263" i="55"/>
  <c r="Q263" i="55"/>
  <c r="O263" i="55"/>
  <c r="M263" i="55"/>
  <c r="AZ262" i="55"/>
  <c r="AY262" i="55"/>
  <c r="AW262" i="55"/>
  <c r="AV262" i="55"/>
  <c r="AN262" i="55"/>
  <c r="Q262" i="55"/>
  <c r="O262" i="55"/>
  <c r="M262" i="55"/>
  <c r="AZ261" i="55"/>
  <c r="AY261" i="55"/>
  <c r="AW261" i="55"/>
  <c r="Q261" i="55"/>
  <c r="O261" i="55"/>
  <c r="M261" i="55"/>
  <c r="AZ260" i="55"/>
  <c r="AV260" i="55"/>
  <c r="AN260" i="55"/>
  <c r="Q260" i="55"/>
  <c r="O260" i="55"/>
  <c r="M260" i="55"/>
  <c r="AZ259" i="55"/>
  <c r="Q259" i="55"/>
  <c r="O259" i="55"/>
  <c r="M259" i="55"/>
  <c r="AZ258" i="55"/>
  <c r="AV258" i="55"/>
  <c r="AN258" i="55"/>
  <c r="Q258" i="55"/>
  <c r="O258" i="55"/>
  <c r="M258" i="55"/>
  <c r="AZ257" i="55"/>
  <c r="Q257" i="55"/>
  <c r="O257" i="55"/>
  <c r="M257" i="55"/>
  <c r="AZ256" i="55"/>
  <c r="AY256" i="55"/>
  <c r="AN256" i="55"/>
  <c r="Q256" i="55"/>
  <c r="O256" i="55"/>
  <c r="M256" i="55"/>
  <c r="AZ255" i="55"/>
  <c r="AY255" i="55"/>
  <c r="Q255" i="55"/>
  <c r="O255" i="55"/>
  <c r="M255" i="55"/>
  <c r="AZ254" i="55"/>
  <c r="AY254" i="55"/>
  <c r="AW254" i="55"/>
  <c r="AN254" i="55"/>
  <c r="Q254" i="55"/>
  <c r="O254" i="55"/>
  <c r="M254" i="55"/>
  <c r="AZ253" i="55"/>
  <c r="AY253" i="55"/>
  <c r="AW253" i="55"/>
  <c r="AV253" i="55"/>
  <c r="Q253" i="55"/>
  <c r="O253" i="55"/>
  <c r="M253" i="55"/>
  <c r="AZ252" i="55"/>
  <c r="AY252" i="55"/>
  <c r="AW252" i="55"/>
  <c r="AV252" i="55"/>
  <c r="AN252" i="55"/>
  <c r="Q252" i="55"/>
  <c r="O252" i="55"/>
  <c r="M252" i="55"/>
  <c r="AZ251" i="55"/>
  <c r="AY251" i="55"/>
  <c r="AW251" i="55"/>
  <c r="AV251" i="55"/>
  <c r="Q251" i="55"/>
  <c r="O251" i="55"/>
  <c r="M251" i="55"/>
  <c r="AZ250" i="55"/>
  <c r="AY250" i="55"/>
  <c r="AW250" i="55"/>
  <c r="AV250" i="55"/>
  <c r="AN250" i="55"/>
  <c r="Q250" i="55"/>
  <c r="O250" i="55"/>
  <c r="M250" i="55"/>
  <c r="AZ249" i="55"/>
  <c r="AY249" i="55"/>
  <c r="AW249" i="55"/>
  <c r="AV249" i="55"/>
  <c r="Q249" i="55"/>
  <c r="O249" i="55"/>
  <c r="M249" i="55"/>
  <c r="AZ248" i="55"/>
  <c r="AY248" i="55"/>
  <c r="AW248" i="55"/>
  <c r="AV248" i="55"/>
  <c r="AN248" i="55"/>
  <c r="Q248" i="55"/>
  <c r="O248" i="55"/>
  <c r="M248" i="55"/>
  <c r="AZ247" i="55"/>
  <c r="AY247" i="55"/>
  <c r="AW247" i="55"/>
  <c r="AV247" i="55"/>
  <c r="Q247" i="55"/>
  <c r="O247" i="55"/>
  <c r="M247" i="55"/>
  <c r="AZ246" i="55"/>
  <c r="AY246" i="55"/>
  <c r="AW246" i="55"/>
  <c r="AV246" i="55"/>
  <c r="AN246" i="55"/>
  <c r="Q246" i="55"/>
  <c r="O246" i="55"/>
  <c r="O275" i="55" s="1"/>
  <c r="M246" i="55"/>
  <c r="AZ245" i="55"/>
  <c r="AY245" i="55"/>
  <c r="AW245" i="55"/>
  <c r="AV245" i="55"/>
  <c r="Q245" i="55"/>
  <c r="O245" i="55"/>
  <c r="M245" i="55"/>
  <c r="AZ244" i="55"/>
  <c r="AY244" i="55"/>
  <c r="AW244" i="55"/>
  <c r="AV244" i="55"/>
  <c r="AN244" i="55"/>
  <c r="Q244" i="55"/>
  <c r="O244" i="55"/>
  <c r="M244" i="55"/>
  <c r="AZ243" i="55"/>
  <c r="AY243" i="55"/>
  <c r="AW243" i="55"/>
  <c r="AV243" i="55"/>
  <c r="Q243" i="55"/>
  <c r="O243" i="55"/>
  <c r="M243" i="55"/>
  <c r="AZ242" i="55"/>
  <c r="AY242" i="55"/>
  <c r="AW242" i="55"/>
  <c r="AV242" i="55"/>
  <c r="AN242" i="55"/>
  <c r="Q242" i="55"/>
  <c r="O242" i="55"/>
  <c r="M242" i="55"/>
  <c r="AZ241" i="55"/>
  <c r="AY241" i="55"/>
  <c r="AW241" i="55"/>
  <c r="AV241" i="55"/>
  <c r="Q241" i="55"/>
  <c r="O241" i="55"/>
  <c r="M241" i="55"/>
  <c r="AZ240" i="55"/>
  <c r="AY240" i="55"/>
  <c r="AW240" i="55"/>
  <c r="AV240" i="55"/>
  <c r="AN240" i="55"/>
  <c r="Q240" i="55"/>
  <c r="Q275" i="55" s="1"/>
  <c r="O240" i="55"/>
  <c r="M240" i="55"/>
  <c r="AZ239" i="55"/>
  <c r="AY239" i="55"/>
  <c r="AW239" i="55"/>
  <c r="AV239" i="55"/>
  <c r="Q239" i="55"/>
  <c r="O239" i="55"/>
  <c r="M239" i="55"/>
  <c r="AZ238" i="55"/>
  <c r="AY238" i="55"/>
  <c r="AW238" i="55"/>
  <c r="AV238" i="55"/>
  <c r="AN238" i="55"/>
  <c r="Q238" i="55"/>
  <c r="O238" i="55"/>
  <c r="M238" i="55"/>
  <c r="AZ237" i="55"/>
  <c r="AY237" i="55"/>
  <c r="AW237" i="55"/>
  <c r="AV237" i="55"/>
  <c r="Q237" i="55"/>
  <c r="O237" i="55"/>
  <c r="M237" i="55"/>
  <c r="AZ236" i="55"/>
  <c r="AY236" i="55"/>
  <c r="AW236" i="55"/>
  <c r="AV236" i="55"/>
  <c r="AN236" i="55"/>
  <c r="Q236" i="55"/>
  <c r="O236" i="55"/>
  <c r="M236" i="55"/>
  <c r="AZ235" i="55"/>
  <c r="AY235" i="55"/>
  <c r="AW235" i="55"/>
  <c r="AV235" i="55"/>
  <c r="Q235" i="55"/>
  <c r="O235" i="55"/>
  <c r="M235" i="55"/>
  <c r="AZ234" i="55"/>
  <c r="AY234" i="55"/>
  <c r="AW234" i="55"/>
  <c r="AV234" i="55"/>
  <c r="AT234" i="55"/>
  <c r="AN234" i="55"/>
  <c r="Q234" i="55"/>
  <c r="O234" i="55"/>
  <c r="M234" i="55"/>
  <c r="M275" i="55" s="1"/>
  <c r="AM92" i="55" s="1"/>
  <c r="D6" i="55" s="1"/>
  <c r="H181" i="55"/>
  <c r="AV261" i="55" s="1"/>
  <c r="H180" i="55"/>
  <c r="AY260" i="55" s="1"/>
  <c r="H179" i="55"/>
  <c r="AW259" i="55" s="1"/>
  <c r="H178" i="55"/>
  <c r="AY258" i="55" s="1"/>
  <c r="H177" i="55"/>
  <c r="H176" i="55"/>
  <c r="AY257" i="55" s="1"/>
  <c r="H175" i="55"/>
  <c r="AW256" i="55" s="1"/>
  <c r="H174" i="55"/>
  <c r="H173" i="55"/>
  <c r="H172" i="55"/>
  <c r="AW255" i="55" s="1"/>
  <c r="H171" i="55"/>
  <c r="H170" i="55"/>
  <c r="AV254" i="55" s="1"/>
  <c r="H169" i="55"/>
  <c r="H168" i="55"/>
  <c r="H167" i="55"/>
  <c r="H166" i="55"/>
  <c r="H165" i="55"/>
  <c r="H164" i="55"/>
  <c r="H163" i="55"/>
  <c r="H162" i="55"/>
  <c r="H161" i="55"/>
  <c r="H160" i="55"/>
  <c r="H159" i="55"/>
  <c r="H158" i="55"/>
  <c r="H157" i="55"/>
  <c r="H156" i="55"/>
  <c r="H155" i="55"/>
  <c r="H154" i="55"/>
  <c r="H153" i="55"/>
  <c r="H152" i="55"/>
  <c r="H151" i="55"/>
  <c r="H150" i="55"/>
  <c r="H149" i="55"/>
  <c r="H148" i="55"/>
  <c r="H147" i="55"/>
  <c r="H146" i="55"/>
  <c r="H145" i="55"/>
  <c r="H144" i="55"/>
  <c r="H143" i="55"/>
  <c r="H142" i="55"/>
  <c r="H141" i="55"/>
  <c r="H140" i="55"/>
  <c r="H139" i="55"/>
  <c r="H138" i="55"/>
  <c r="H137" i="55"/>
  <c r="H136" i="55"/>
  <c r="H135" i="55"/>
  <c r="H134" i="55"/>
  <c r="H133" i="55"/>
  <c r="H132" i="55"/>
  <c r="H131" i="55"/>
  <c r="H130" i="55"/>
  <c r="H129" i="55"/>
  <c r="H128" i="55"/>
  <c r="H127" i="55"/>
  <c r="H126" i="55"/>
  <c r="H125" i="55"/>
  <c r="H124" i="55"/>
  <c r="H123" i="55"/>
  <c r="H122" i="55"/>
  <c r="H121" i="55"/>
  <c r="H120" i="55"/>
  <c r="H119" i="55"/>
  <c r="H118" i="55"/>
  <c r="H117" i="55"/>
  <c r="H116" i="55"/>
  <c r="H115" i="55"/>
  <c r="H114" i="55"/>
  <c r="H113" i="55"/>
  <c r="H112" i="55"/>
  <c r="H111" i="55"/>
  <c r="H110" i="55"/>
  <c r="H109" i="55"/>
  <c r="H108" i="55"/>
  <c r="H107" i="55"/>
  <c r="H106" i="55"/>
  <c r="H105" i="55"/>
  <c r="H104" i="55"/>
  <c r="H103" i="55"/>
  <c r="B188" i="55" s="1" a="1"/>
  <c r="B188" i="55" s="1"/>
  <c r="BR92" i="55"/>
  <c r="BU90" i="55"/>
  <c r="BT90" i="55"/>
  <c r="BS90" i="55"/>
  <c r="BR90" i="55"/>
  <c r="BQ90" i="55"/>
  <c r="BP90" i="55"/>
  <c r="BO90" i="55"/>
  <c r="BN90" i="55"/>
  <c r="BM90" i="55"/>
  <c r="BL90" i="55"/>
  <c r="BK90" i="55"/>
  <c r="AU90" i="55"/>
  <c r="AR90" i="55"/>
  <c r="AQ90" i="55"/>
  <c r="AO90" i="55"/>
  <c r="AN90" i="55"/>
  <c r="AM90" i="55"/>
  <c r="BQ89" i="55"/>
  <c r="BP89" i="55"/>
  <c r="BO89" i="55"/>
  <c r="BN89" i="55"/>
  <c r="BM89" i="55"/>
  <c r="BL89" i="55"/>
  <c r="BK89" i="55"/>
  <c r="AU89" i="55"/>
  <c r="AR89" i="55"/>
  <c r="AQ89" i="55"/>
  <c r="AO89" i="55"/>
  <c r="AN89" i="55"/>
  <c r="AM89" i="55"/>
  <c r="BU88" i="55"/>
  <c r="BT88" i="55"/>
  <c r="BT92" i="55" s="1"/>
  <c r="BS88" i="55"/>
  <c r="BS92" i="55" s="1"/>
  <c r="BR88" i="55"/>
  <c r="BQ88" i="55"/>
  <c r="BP88" i="55"/>
  <c r="BO88" i="55"/>
  <c r="BN88" i="55"/>
  <c r="BM88" i="55"/>
  <c r="BL88" i="55"/>
  <c r="BK88" i="55"/>
  <c r="AU88" i="55"/>
  <c r="AR88" i="55"/>
  <c r="AQ88" i="55"/>
  <c r="AO88" i="55"/>
  <c r="AN88" i="55"/>
  <c r="AM88" i="55"/>
  <c r="BQ87" i="55"/>
  <c r="BP87" i="55"/>
  <c r="BO87" i="55"/>
  <c r="BN87" i="55"/>
  <c r="BM87" i="55"/>
  <c r="BL87" i="55"/>
  <c r="BK87" i="55"/>
  <c r="AU87" i="55"/>
  <c r="AR87" i="55"/>
  <c r="AQ87" i="55"/>
  <c r="AO87" i="55"/>
  <c r="AN87" i="55"/>
  <c r="AM87" i="55"/>
  <c r="BU86" i="55"/>
  <c r="BU92" i="55" s="1"/>
  <c r="BT86" i="55"/>
  <c r="BS86" i="55"/>
  <c r="BR86" i="55"/>
  <c r="BQ86" i="55"/>
  <c r="BQ92" i="55" s="1"/>
  <c r="BP86" i="55"/>
  <c r="BO86" i="55"/>
  <c r="BN86" i="55"/>
  <c r="BM86" i="55"/>
  <c r="BL86" i="55"/>
  <c r="BK86" i="55"/>
  <c r="AU86" i="55"/>
  <c r="AR86" i="55"/>
  <c r="AQ86" i="55"/>
  <c r="AO86" i="55"/>
  <c r="AN86" i="55"/>
  <c r="AM86" i="55"/>
  <c r="BP82" i="55"/>
  <c r="BO82" i="55"/>
  <c r="BN82" i="55"/>
  <c r="BM82" i="55"/>
  <c r="BL82" i="55"/>
  <c r="BK82" i="55"/>
  <c r="BJ82" i="55"/>
  <c r="BI82" i="55"/>
  <c r="BH82" i="55"/>
  <c r="BG82" i="55"/>
  <c r="BF82" i="55"/>
  <c r="BE82" i="55"/>
  <c r="BD82" i="55"/>
  <c r="BC82" i="55"/>
  <c r="BB82" i="55"/>
  <c r="BA82" i="55"/>
  <c r="AZ82" i="55"/>
  <c r="AY82" i="55"/>
  <c r="AX82" i="55"/>
  <c r="AW82" i="55"/>
  <c r="AV82" i="55"/>
  <c r="AU82" i="55"/>
  <c r="AT82" i="55"/>
  <c r="AS82" i="55"/>
  <c r="AR82" i="55"/>
  <c r="AQ82" i="55"/>
  <c r="AP82" i="55"/>
  <c r="AO82" i="55"/>
  <c r="AN82" i="55"/>
  <c r="AM82" i="55"/>
  <c r="BP80" i="55"/>
  <c r="BO80" i="55"/>
  <c r="BN80" i="55"/>
  <c r="BM80" i="55"/>
  <c r="BL80" i="55"/>
  <c r="BK80" i="55"/>
  <c r="BJ80" i="55"/>
  <c r="BI80" i="55"/>
  <c r="BH80" i="55"/>
  <c r="BG80" i="55"/>
  <c r="BF80" i="55"/>
  <c r="BE80" i="55"/>
  <c r="BD80" i="55"/>
  <c r="BC80" i="55"/>
  <c r="BB80" i="55"/>
  <c r="BA80" i="55"/>
  <c r="AZ80" i="55"/>
  <c r="AY80" i="55"/>
  <c r="AX80" i="55"/>
  <c r="AW80" i="55"/>
  <c r="AV80" i="55"/>
  <c r="AU80" i="55"/>
  <c r="AT80" i="55"/>
  <c r="AS80" i="55"/>
  <c r="AR80" i="55"/>
  <c r="AQ80" i="55"/>
  <c r="AP80" i="55"/>
  <c r="AO80" i="55"/>
  <c r="AN80" i="55"/>
  <c r="AM80" i="55"/>
  <c r="BP78" i="55"/>
  <c r="BO78" i="55"/>
  <c r="BN78" i="55"/>
  <c r="BM78" i="55"/>
  <c r="BL78" i="55"/>
  <c r="BK78" i="55"/>
  <c r="BJ78" i="55"/>
  <c r="BI78" i="55"/>
  <c r="BH78" i="55"/>
  <c r="BG78" i="55"/>
  <c r="BF78" i="55"/>
  <c r="BE78" i="55"/>
  <c r="BD78" i="55"/>
  <c r="BC78" i="55"/>
  <c r="BB78" i="55"/>
  <c r="BA78" i="55"/>
  <c r="AZ78" i="55"/>
  <c r="AY78" i="55"/>
  <c r="AX78" i="55"/>
  <c r="AW78" i="55"/>
  <c r="AV78" i="55"/>
  <c r="AU78" i="55"/>
  <c r="AT78" i="55"/>
  <c r="AS78" i="55"/>
  <c r="AR78" i="55"/>
  <c r="AQ78" i="55"/>
  <c r="AP78" i="55"/>
  <c r="AO78" i="55"/>
  <c r="AN78" i="55"/>
  <c r="AM78" i="55"/>
  <c r="BP74" i="55"/>
  <c r="BO74" i="55"/>
  <c r="BN74" i="55"/>
  <c r="BM74" i="55"/>
  <c r="BL74" i="55"/>
  <c r="BK74" i="55"/>
  <c r="BJ74" i="55"/>
  <c r="BI74" i="55"/>
  <c r="BH74" i="55"/>
  <c r="BG74" i="55"/>
  <c r="BF74" i="55"/>
  <c r="BE74" i="55"/>
  <c r="BD74" i="55"/>
  <c r="BC74" i="55"/>
  <c r="BB74" i="55"/>
  <c r="BA74" i="55"/>
  <c r="AZ74" i="55"/>
  <c r="AY74" i="55"/>
  <c r="AX74" i="55"/>
  <c r="AW74" i="55"/>
  <c r="AV74" i="55"/>
  <c r="AU74" i="55"/>
  <c r="AT74" i="55"/>
  <c r="AS74" i="55"/>
  <c r="AR74" i="55"/>
  <c r="AQ74" i="55"/>
  <c r="AP74" i="55"/>
  <c r="AO74" i="55"/>
  <c r="AN74" i="55"/>
  <c r="AM74" i="55"/>
  <c r="BP72" i="55"/>
  <c r="BO72" i="55"/>
  <c r="BN72" i="55"/>
  <c r="BM72" i="55"/>
  <c r="BL72" i="55"/>
  <c r="BK72" i="55"/>
  <c r="BJ72" i="55"/>
  <c r="BI72" i="55"/>
  <c r="BH72" i="55"/>
  <c r="BG72" i="55"/>
  <c r="BF72" i="55"/>
  <c r="BE72" i="55"/>
  <c r="BD72" i="55"/>
  <c r="BC72" i="55"/>
  <c r="BB72" i="55"/>
  <c r="BA72" i="55"/>
  <c r="AZ72" i="55"/>
  <c r="AY72" i="55"/>
  <c r="AX72" i="55"/>
  <c r="AW72" i="55"/>
  <c r="AV72" i="55"/>
  <c r="AU72" i="55"/>
  <c r="AT72" i="55"/>
  <c r="AS72" i="55"/>
  <c r="AR72" i="55"/>
  <c r="AQ72" i="55"/>
  <c r="AP72" i="55"/>
  <c r="AO72" i="55"/>
  <c r="AN72" i="55"/>
  <c r="AM72" i="55"/>
  <c r="BP70" i="55"/>
  <c r="BO70" i="55"/>
  <c r="BN70" i="55"/>
  <c r="BM70" i="55"/>
  <c r="BL70" i="55"/>
  <c r="BK70" i="55"/>
  <c r="BJ70" i="55"/>
  <c r="BI70" i="55"/>
  <c r="BH70" i="55"/>
  <c r="BG70" i="55"/>
  <c r="BF70" i="55"/>
  <c r="BE70" i="55"/>
  <c r="BD70" i="55"/>
  <c r="BC70" i="55"/>
  <c r="BB70" i="55"/>
  <c r="BA70" i="55"/>
  <c r="AZ70" i="55"/>
  <c r="AY70" i="55"/>
  <c r="AX70" i="55"/>
  <c r="AW70" i="55"/>
  <c r="AV70" i="55"/>
  <c r="AU70" i="55"/>
  <c r="AT70" i="55"/>
  <c r="AS70" i="55"/>
  <c r="AR70" i="55"/>
  <c r="AQ70" i="55"/>
  <c r="AP70" i="55"/>
  <c r="AO70" i="55"/>
  <c r="AN70" i="55"/>
  <c r="AM70" i="55"/>
  <c r="BP66" i="55"/>
  <c r="BO66" i="55"/>
  <c r="BN66" i="55"/>
  <c r="BM66" i="55"/>
  <c r="BL66" i="55"/>
  <c r="BK66" i="55"/>
  <c r="BJ66" i="55"/>
  <c r="BI66" i="55"/>
  <c r="BH66" i="55"/>
  <c r="BG66" i="55"/>
  <c r="BF66" i="55"/>
  <c r="BE66" i="55"/>
  <c r="BD66" i="55"/>
  <c r="BC66" i="55"/>
  <c r="BB66" i="55"/>
  <c r="BA66" i="55"/>
  <c r="AZ66" i="55"/>
  <c r="AY66" i="55"/>
  <c r="AX66" i="55"/>
  <c r="AW66" i="55"/>
  <c r="AV66" i="55"/>
  <c r="AU66" i="55"/>
  <c r="AT66" i="55"/>
  <c r="AS66" i="55"/>
  <c r="AR66" i="55"/>
  <c r="AQ66" i="55"/>
  <c r="AP66" i="55"/>
  <c r="AO66" i="55"/>
  <c r="AN66" i="55"/>
  <c r="AM66" i="55"/>
  <c r="BP64" i="55"/>
  <c r="BO64" i="55"/>
  <c r="BN64" i="55"/>
  <c r="BM64" i="55"/>
  <c r="BL64" i="55"/>
  <c r="BK64" i="55"/>
  <c r="BJ64" i="55"/>
  <c r="BI64" i="55"/>
  <c r="BH64" i="55"/>
  <c r="BG64" i="55"/>
  <c r="BF64" i="55"/>
  <c r="BE64" i="55"/>
  <c r="BD64" i="55"/>
  <c r="BC64" i="55"/>
  <c r="BB64" i="55"/>
  <c r="BA64" i="55"/>
  <c r="AZ64" i="55"/>
  <c r="AY64" i="55"/>
  <c r="AX64" i="55"/>
  <c r="AW64" i="55"/>
  <c r="AV64" i="55"/>
  <c r="AU64" i="55"/>
  <c r="AT64" i="55"/>
  <c r="AS64" i="55"/>
  <c r="AR64" i="55"/>
  <c r="AQ64" i="55"/>
  <c r="AP64" i="55"/>
  <c r="AO64" i="55"/>
  <c r="AN64" i="55"/>
  <c r="AM64" i="55"/>
  <c r="BP62" i="55"/>
  <c r="BO62" i="55"/>
  <c r="BN62" i="55"/>
  <c r="BM62" i="55"/>
  <c r="BL62" i="55"/>
  <c r="BK62" i="55"/>
  <c r="BJ62" i="55"/>
  <c r="BI62" i="55"/>
  <c r="BH62" i="55"/>
  <c r="BG62" i="55"/>
  <c r="BF62" i="55"/>
  <c r="BE62" i="55"/>
  <c r="BD62" i="55"/>
  <c r="BC62" i="55"/>
  <c r="BB62" i="55"/>
  <c r="BA62" i="55"/>
  <c r="AZ62" i="55"/>
  <c r="AY62" i="55"/>
  <c r="AX62" i="55"/>
  <c r="AW62" i="55"/>
  <c r="AV62" i="55"/>
  <c r="AU62" i="55"/>
  <c r="AT62" i="55"/>
  <c r="AS62" i="55"/>
  <c r="AR62" i="55"/>
  <c r="AQ62" i="55"/>
  <c r="AP62" i="55"/>
  <c r="AO62" i="55"/>
  <c r="AN62" i="55"/>
  <c r="AM62" i="55"/>
  <c r="BP60" i="55"/>
  <c r="BO60" i="55"/>
  <c r="BN60" i="55"/>
  <c r="BM60" i="55"/>
  <c r="BL60" i="55"/>
  <c r="BK60" i="55"/>
  <c r="BJ60" i="55"/>
  <c r="BI60" i="55"/>
  <c r="BH60" i="55"/>
  <c r="BG60" i="55"/>
  <c r="BF60" i="55"/>
  <c r="BE60" i="55"/>
  <c r="BD60" i="55"/>
  <c r="BC60" i="55"/>
  <c r="BB60" i="55"/>
  <c r="BA60" i="55"/>
  <c r="AZ60" i="55"/>
  <c r="AY60" i="55"/>
  <c r="AX60" i="55"/>
  <c r="AW60" i="55"/>
  <c r="AV60" i="55"/>
  <c r="AU60" i="55"/>
  <c r="AT60" i="55"/>
  <c r="AS60" i="55"/>
  <c r="AR60" i="55"/>
  <c r="AQ60" i="55"/>
  <c r="AP60" i="55"/>
  <c r="AO60" i="55"/>
  <c r="AN60" i="55"/>
  <c r="AM60" i="55"/>
  <c r="BP58" i="55"/>
  <c r="BO58" i="55"/>
  <c r="BN58" i="55"/>
  <c r="BM58" i="55"/>
  <c r="BL58" i="55"/>
  <c r="BK58" i="55"/>
  <c r="BJ58" i="55"/>
  <c r="BI58" i="55"/>
  <c r="BH58" i="55"/>
  <c r="BG58" i="55"/>
  <c r="BF58" i="55"/>
  <c r="BE58" i="55"/>
  <c r="BD58" i="55"/>
  <c r="BC58" i="55"/>
  <c r="BB58" i="55"/>
  <c r="BA58" i="55"/>
  <c r="AZ58" i="55"/>
  <c r="AY58" i="55"/>
  <c r="AX58" i="55"/>
  <c r="AW58" i="55"/>
  <c r="AV58" i="55"/>
  <c r="AU58" i="55"/>
  <c r="AT58" i="55"/>
  <c r="AS58" i="55"/>
  <c r="AR58" i="55"/>
  <c r="AQ58" i="55"/>
  <c r="AP58" i="55"/>
  <c r="AO58" i="55"/>
  <c r="AN58" i="55"/>
  <c r="AM58" i="55"/>
  <c r="BP56" i="55"/>
  <c r="BO56" i="55"/>
  <c r="BN56" i="55"/>
  <c r="BM56" i="55"/>
  <c r="BL56" i="55"/>
  <c r="BK56" i="55"/>
  <c r="BJ56" i="55"/>
  <c r="BI56" i="55"/>
  <c r="BH56" i="55"/>
  <c r="BG56" i="55"/>
  <c r="BF56" i="55"/>
  <c r="BE56" i="55"/>
  <c r="BD56" i="55"/>
  <c r="BC56" i="55"/>
  <c r="BB56" i="55"/>
  <c r="BA56" i="55"/>
  <c r="AZ56" i="55"/>
  <c r="AY56" i="55"/>
  <c r="AX56" i="55"/>
  <c r="AW56" i="55"/>
  <c r="AV56" i="55"/>
  <c r="AU56" i="55"/>
  <c r="AT56" i="55"/>
  <c r="AS56" i="55"/>
  <c r="AR56" i="55"/>
  <c r="AQ56" i="55"/>
  <c r="AP56" i="55"/>
  <c r="AO56" i="55"/>
  <c r="AN56" i="55"/>
  <c r="AM56" i="55"/>
  <c r="BP54" i="55"/>
  <c r="BO54" i="55"/>
  <c r="BN54" i="55"/>
  <c r="BM54" i="55"/>
  <c r="BL54" i="55"/>
  <c r="BK54" i="55"/>
  <c r="BJ54" i="55"/>
  <c r="BI54" i="55"/>
  <c r="BH54" i="55"/>
  <c r="BG54" i="55"/>
  <c r="BF54" i="55"/>
  <c r="BE54" i="55"/>
  <c r="BD54" i="55"/>
  <c r="BC54" i="55"/>
  <c r="BB54" i="55"/>
  <c r="BA54" i="55"/>
  <c r="AZ54" i="55"/>
  <c r="AY54" i="55"/>
  <c r="AX54" i="55"/>
  <c r="AW54" i="55"/>
  <c r="AV54" i="55"/>
  <c r="AU54" i="55"/>
  <c r="AT54" i="55"/>
  <c r="AS54" i="55"/>
  <c r="AR54" i="55"/>
  <c r="AQ54" i="55"/>
  <c r="AP54" i="55"/>
  <c r="AO54" i="55"/>
  <c r="AN54" i="55"/>
  <c r="AM54" i="55"/>
  <c r="BP52" i="55"/>
  <c r="BO52" i="55"/>
  <c r="BN52" i="55"/>
  <c r="BM52" i="55"/>
  <c r="BL52" i="55"/>
  <c r="BK52" i="55"/>
  <c r="BJ52" i="55"/>
  <c r="BI52" i="55"/>
  <c r="BH52" i="55"/>
  <c r="BG52" i="55"/>
  <c r="BF52" i="55"/>
  <c r="BE52" i="55"/>
  <c r="BD52" i="55"/>
  <c r="BC52" i="55"/>
  <c r="BB52" i="55"/>
  <c r="BA52" i="55"/>
  <c r="AZ52" i="55"/>
  <c r="AY52" i="55"/>
  <c r="AX52" i="55"/>
  <c r="AW52" i="55"/>
  <c r="AV52" i="55"/>
  <c r="AU52" i="55"/>
  <c r="AT52" i="55"/>
  <c r="AS52" i="55"/>
  <c r="AR52" i="55"/>
  <c r="AQ52" i="55"/>
  <c r="AP52" i="55"/>
  <c r="AO52" i="55"/>
  <c r="AN52" i="55"/>
  <c r="AM52" i="55"/>
  <c r="BP50" i="55"/>
  <c r="BO50" i="55"/>
  <c r="BN50" i="55"/>
  <c r="BM50" i="55"/>
  <c r="BL50" i="55"/>
  <c r="BK50" i="55"/>
  <c r="BJ50" i="55"/>
  <c r="BI50" i="55"/>
  <c r="BF50" i="55"/>
  <c r="BE50" i="55"/>
  <c r="BC50" i="55"/>
  <c r="BB50" i="55"/>
  <c r="BA50" i="55"/>
  <c r="AX50" i="55"/>
  <c r="AW50" i="55"/>
  <c r="AU50" i="55"/>
  <c r="AT50" i="55"/>
  <c r="AS50" i="55"/>
  <c r="AP50" i="55"/>
  <c r="AO50" i="55"/>
  <c r="AN50" i="55"/>
  <c r="AM50" i="55"/>
  <c r="BP48" i="55"/>
  <c r="BO48" i="55"/>
  <c r="BN48" i="55"/>
  <c r="BM48" i="55"/>
  <c r="BL48" i="55"/>
  <c r="BK48" i="55"/>
  <c r="BJ48" i="55"/>
  <c r="BI48" i="55"/>
  <c r="BH48" i="55"/>
  <c r="BG48" i="55"/>
  <c r="BF48" i="55"/>
  <c r="BE48" i="55"/>
  <c r="BD48" i="55"/>
  <c r="BC48" i="55"/>
  <c r="BB48" i="55"/>
  <c r="BA48" i="55"/>
  <c r="AZ48" i="55"/>
  <c r="AY48" i="55"/>
  <c r="AX48" i="55"/>
  <c r="AW48" i="55"/>
  <c r="AV48" i="55"/>
  <c r="AU48" i="55"/>
  <c r="AT48" i="55"/>
  <c r="AS48" i="55"/>
  <c r="AR48" i="55"/>
  <c r="AQ48" i="55"/>
  <c r="AP48" i="55"/>
  <c r="AO48" i="55"/>
  <c r="AN48" i="55"/>
  <c r="AM48" i="55"/>
  <c r="BO46" i="55"/>
  <c r="BN46" i="55"/>
  <c r="BM46" i="55"/>
  <c r="BJ46" i="55"/>
  <c r="BI46" i="55"/>
  <c r="BG46" i="55"/>
  <c r="BF46" i="55"/>
  <c r="BE46" i="55"/>
  <c r="BB46" i="55"/>
  <c r="BA46" i="55"/>
  <c r="AY46" i="55"/>
  <c r="AX46" i="55"/>
  <c r="AW46" i="55"/>
  <c r="AT46" i="55"/>
  <c r="AS46" i="55"/>
  <c r="AQ46" i="55"/>
  <c r="AP46" i="55"/>
  <c r="AO46" i="55"/>
  <c r="AN46" i="55"/>
  <c r="AM46" i="55"/>
  <c r="BP44" i="55"/>
  <c r="BO44" i="55"/>
  <c r="BN44" i="55"/>
  <c r="BM44" i="55"/>
  <c r="BL44" i="55"/>
  <c r="BK44" i="55"/>
  <c r="BJ44" i="55"/>
  <c r="BI44" i="55"/>
  <c r="BH44" i="55"/>
  <c r="BG44" i="55"/>
  <c r="BF44" i="55"/>
  <c r="BE44" i="55"/>
  <c r="BD44" i="55"/>
  <c r="BC44" i="55"/>
  <c r="BB44" i="55"/>
  <c r="BA44" i="55"/>
  <c r="AZ44" i="55"/>
  <c r="AY44" i="55"/>
  <c r="AX44" i="55"/>
  <c r="AW44" i="55"/>
  <c r="AV44" i="55"/>
  <c r="AU44" i="55"/>
  <c r="AT44" i="55"/>
  <c r="AS44" i="55"/>
  <c r="AR44" i="55"/>
  <c r="AQ44" i="55"/>
  <c r="AP44" i="55"/>
  <c r="AO44" i="55"/>
  <c r="AN44" i="55"/>
  <c r="AM44" i="55"/>
  <c r="BP42" i="55"/>
  <c r="BO42" i="55"/>
  <c r="BN42" i="55"/>
  <c r="BM42" i="55"/>
  <c r="BL42" i="55"/>
  <c r="BK42" i="55"/>
  <c r="BJ42" i="55"/>
  <c r="BI42" i="55"/>
  <c r="BH42" i="55"/>
  <c r="BG42" i="55"/>
  <c r="BF42" i="55"/>
  <c r="BE42" i="55"/>
  <c r="BD42" i="55"/>
  <c r="BC42" i="55"/>
  <c r="BB42" i="55"/>
  <c r="BA42" i="55"/>
  <c r="AZ42" i="55"/>
  <c r="AY42" i="55"/>
  <c r="AX42" i="55"/>
  <c r="AW42" i="55"/>
  <c r="AV42" i="55"/>
  <c r="AU42" i="55"/>
  <c r="AT42" i="55"/>
  <c r="AS42" i="55"/>
  <c r="AR42" i="55"/>
  <c r="AQ42" i="55"/>
  <c r="AP42" i="55"/>
  <c r="AO42" i="55"/>
  <c r="AN42" i="55"/>
  <c r="AM42" i="55"/>
  <c r="BP40" i="55"/>
  <c r="BO40" i="55"/>
  <c r="BN40" i="55"/>
  <c r="BM40" i="55"/>
  <c r="BL40" i="55"/>
  <c r="BK40" i="55"/>
  <c r="BJ40" i="55"/>
  <c r="BI40" i="55"/>
  <c r="BH40" i="55"/>
  <c r="BG40" i="55"/>
  <c r="BF40" i="55"/>
  <c r="BE40" i="55"/>
  <c r="BD40" i="55"/>
  <c r="BC40" i="55"/>
  <c r="BB40" i="55"/>
  <c r="BA40" i="55"/>
  <c r="AZ40" i="55"/>
  <c r="AY40" i="55"/>
  <c r="AX40" i="55"/>
  <c r="AW40" i="55"/>
  <c r="AV40" i="55"/>
  <c r="AU40" i="55"/>
  <c r="AT40" i="55"/>
  <c r="AS40" i="55"/>
  <c r="AR40" i="55"/>
  <c r="AQ40" i="55"/>
  <c r="AP40" i="55"/>
  <c r="AO40" i="55"/>
  <c r="AN40" i="55"/>
  <c r="AM40" i="55"/>
  <c r="CH38" i="55"/>
  <c r="CG38" i="55"/>
  <c r="CF38" i="55"/>
  <c r="CE38" i="55"/>
  <c r="CD38" i="55"/>
  <c r="CC38" i="55"/>
  <c r="CB38" i="55"/>
  <c r="CA38" i="55"/>
  <c r="BZ38" i="55"/>
  <c r="BY38" i="55"/>
  <c r="BX38" i="55"/>
  <c r="BW38" i="55"/>
  <c r="BV38" i="55"/>
  <c r="BP38" i="55"/>
  <c r="BO38" i="55"/>
  <c r="BN38" i="55"/>
  <c r="BM38" i="55"/>
  <c r="BL38" i="55"/>
  <c r="BK38" i="55"/>
  <c r="BJ38" i="55"/>
  <c r="BI38" i="55"/>
  <c r="BH38" i="55"/>
  <c r="BG38" i="55"/>
  <c r="BF38" i="55"/>
  <c r="BE38" i="55"/>
  <c r="BD38" i="55"/>
  <c r="BC38" i="55"/>
  <c r="BB38" i="55"/>
  <c r="BA38" i="55"/>
  <c r="AZ38" i="55"/>
  <c r="AY38" i="55"/>
  <c r="AX38" i="55"/>
  <c r="AW38" i="55"/>
  <c r="AV38" i="55"/>
  <c r="AU38" i="55"/>
  <c r="AT38" i="55"/>
  <c r="AS38" i="55"/>
  <c r="AR38" i="55"/>
  <c r="AQ38" i="55"/>
  <c r="AP38" i="55"/>
  <c r="AO38" i="55"/>
  <c r="AN38" i="55"/>
  <c r="AM38" i="55"/>
  <c r="BP36" i="55"/>
  <c r="BO36" i="55"/>
  <c r="BN36" i="55"/>
  <c r="BM36" i="55"/>
  <c r="BL36" i="55"/>
  <c r="BK36" i="55"/>
  <c r="BJ36" i="55"/>
  <c r="BI36" i="55"/>
  <c r="BH36" i="55"/>
  <c r="BG36" i="55"/>
  <c r="BF36" i="55"/>
  <c r="BE36" i="55"/>
  <c r="BD36" i="55"/>
  <c r="BC36" i="55"/>
  <c r="BB36" i="55"/>
  <c r="BA36" i="55"/>
  <c r="AZ36" i="55"/>
  <c r="AY36" i="55"/>
  <c r="AX36" i="55"/>
  <c r="AW36" i="55"/>
  <c r="AV36" i="55"/>
  <c r="AU36" i="55"/>
  <c r="AT36" i="55"/>
  <c r="AS36" i="55"/>
  <c r="AR36" i="55"/>
  <c r="AQ36" i="55"/>
  <c r="AP36" i="55"/>
  <c r="AO36" i="55"/>
  <c r="AN36" i="55"/>
  <c r="AM36" i="55"/>
  <c r="BP34" i="55"/>
  <c r="BO34" i="55"/>
  <c r="BN34" i="55"/>
  <c r="BM34" i="55"/>
  <c r="BL34" i="55"/>
  <c r="BK34" i="55"/>
  <c r="BJ34" i="55"/>
  <c r="BI34" i="55"/>
  <c r="BH34" i="55"/>
  <c r="BG34" i="55"/>
  <c r="BF34" i="55"/>
  <c r="BE34" i="55"/>
  <c r="BD34" i="55"/>
  <c r="BC34" i="55"/>
  <c r="BB34" i="55"/>
  <c r="BA34" i="55"/>
  <c r="AZ34" i="55"/>
  <c r="AY34" i="55"/>
  <c r="AX34" i="55"/>
  <c r="AW34" i="55"/>
  <c r="AV34" i="55"/>
  <c r="AU34" i="55"/>
  <c r="AT34" i="55"/>
  <c r="AS34" i="55"/>
  <c r="AR34" i="55"/>
  <c r="AQ34" i="55"/>
  <c r="AP34" i="55"/>
  <c r="AO34" i="55"/>
  <c r="AN34" i="55"/>
  <c r="AM34" i="55"/>
  <c r="BP32" i="55"/>
  <c r="BO32" i="55"/>
  <c r="BN32" i="55"/>
  <c r="BM32" i="55"/>
  <c r="BL32" i="55"/>
  <c r="BK32" i="55"/>
  <c r="BJ32" i="55"/>
  <c r="BI32" i="55"/>
  <c r="BH32" i="55"/>
  <c r="BG32" i="55"/>
  <c r="BF32" i="55"/>
  <c r="BE32" i="55"/>
  <c r="BD32" i="55"/>
  <c r="BC32" i="55"/>
  <c r="BB32" i="55"/>
  <c r="BA32" i="55"/>
  <c r="AZ32" i="55"/>
  <c r="AY32" i="55"/>
  <c r="AX32" i="55"/>
  <c r="AW32" i="55"/>
  <c r="AV32" i="55"/>
  <c r="AU32" i="55"/>
  <c r="AT32" i="55"/>
  <c r="AS32" i="55"/>
  <c r="AR32" i="55"/>
  <c r="AQ32" i="55"/>
  <c r="AP32" i="55"/>
  <c r="AO32" i="55"/>
  <c r="AN32" i="55"/>
  <c r="AM32" i="55"/>
  <c r="BY30" i="55"/>
  <c r="BX30" i="55"/>
  <c r="BW30" i="55"/>
  <c r="BV30" i="55"/>
  <c r="BP30" i="55"/>
  <c r="BO30" i="55"/>
  <c r="BN30" i="55"/>
  <c r="BM30" i="55"/>
  <c r="BL30" i="55"/>
  <c r="BK30" i="55"/>
  <c r="BJ30" i="55"/>
  <c r="BJ92" i="55" s="1"/>
  <c r="F195" i="55" s="1"/>
  <c r="BI30" i="55"/>
  <c r="BH30" i="55"/>
  <c r="BG30" i="55"/>
  <c r="BF30" i="55"/>
  <c r="BE30" i="55"/>
  <c r="BD30" i="55"/>
  <c r="BC30" i="55"/>
  <c r="BB30" i="55"/>
  <c r="BB92" i="55" s="1"/>
  <c r="F192" i="55" s="1"/>
  <c r="BA30" i="55"/>
  <c r="AZ30" i="55"/>
  <c r="AY30" i="55"/>
  <c r="AX30" i="55"/>
  <c r="AW30" i="55"/>
  <c r="AV30" i="55"/>
  <c r="AU30" i="55"/>
  <c r="AT30" i="55"/>
  <c r="AT92" i="55" s="1"/>
  <c r="U8" i="55" s="1"/>
  <c r="AP8" i="55" s="1"/>
  <c r="AS30" i="55"/>
  <c r="AR30" i="55"/>
  <c r="AQ30" i="55"/>
  <c r="AP30" i="55"/>
  <c r="AO30" i="55"/>
  <c r="AN30" i="55"/>
  <c r="AM30" i="55"/>
  <c r="BV29" i="55"/>
  <c r="BY28" i="55"/>
  <c r="BX28" i="55"/>
  <c r="BW28" i="55"/>
  <c r="BV28" i="55"/>
  <c r="BP28" i="55"/>
  <c r="BO28" i="55"/>
  <c r="BN28" i="55"/>
  <c r="BM28" i="55"/>
  <c r="BL28" i="55"/>
  <c r="BK28" i="55"/>
  <c r="BJ28" i="55"/>
  <c r="BI28" i="55"/>
  <c r="BH28" i="55"/>
  <c r="BG28" i="55"/>
  <c r="BF28" i="55"/>
  <c r="BE28" i="55"/>
  <c r="BD28" i="55"/>
  <c r="BC28" i="55"/>
  <c r="BB28" i="55"/>
  <c r="BA28" i="55"/>
  <c r="AZ28" i="55"/>
  <c r="AY28" i="55"/>
  <c r="AX28" i="55"/>
  <c r="AW28" i="55"/>
  <c r="AV28" i="55"/>
  <c r="AU28" i="55"/>
  <c r="AT28" i="55"/>
  <c r="AS28" i="55"/>
  <c r="AR28" i="55"/>
  <c r="AQ28" i="55"/>
  <c r="AP28" i="55"/>
  <c r="AO28" i="55"/>
  <c r="AN28" i="55"/>
  <c r="AM28" i="55"/>
  <c r="BV27" i="55"/>
  <c r="BY26" i="55"/>
  <c r="BY32" i="55" s="1"/>
  <c r="AP92" i="55" s="1"/>
  <c r="U6" i="55" s="1"/>
  <c r="BX26" i="55"/>
  <c r="BX32" i="55" s="1"/>
  <c r="BW26" i="55"/>
  <c r="BW32" i="55" s="1"/>
  <c r="BV26" i="55"/>
  <c r="BV32" i="55" s="1"/>
  <c r="BP26" i="55"/>
  <c r="BO26" i="55"/>
  <c r="BN26" i="55"/>
  <c r="BM26" i="55"/>
  <c r="BL26" i="55"/>
  <c r="BK26" i="55"/>
  <c r="BJ26" i="55"/>
  <c r="BI26" i="55"/>
  <c r="BH26" i="55"/>
  <c r="BG26" i="55"/>
  <c r="BF26" i="55"/>
  <c r="BE26" i="55"/>
  <c r="BD26" i="55"/>
  <c r="BC26" i="55"/>
  <c r="BB26" i="55"/>
  <c r="BA26" i="55"/>
  <c r="AZ26" i="55"/>
  <c r="AY26" i="55"/>
  <c r="AX26" i="55"/>
  <c r="AW26" i="55"/>
  <c r="AV26" i="55"/>
  <c r="AU26" i="55"/>
  <c r="AT26" i="55"/>
  <c r="AS26" i="55"/>
  <c r="AR26" i="55"/>
  <c r="AQ26" i="55"/>
  <c r="AP26" i="55"/>
  <c r="AO26" i="55"/>
  <c r="AN26" i="55"/>
  <c r="AM26" i="55"/>
  <c r="BP24" i="55"/>
  <c r="BO24" i="55"/>
  <c r="BN24" i="55"/>
  <c r="BM24" i="55"/>
  <c r="BL24" i="55"/>
  <c r="BK24" i="55"/>
  <c r="BJ24" i="55"/>
  <c r="BI24" i="55"/>
  <c r="BH24" i="55"/>
  <c r="BG24" i="55"/>
  <c r="BF24" i="55"/>
  <c r="BE24" i="55"/>
  <c r="BD24" i="55"/>
  <c r="BC24" i="55"/>
  <c r="BB24" i="55"/>
  <c r="BA24" i="55"/>
  <c r="AZ24" i="55"/>
  <c r="AY24" i="55"/>
  <c r="AX24" i="55"/>
  <c r="AW24" i="55"/>
  <c r="AV24" i="55"/>
  <c r="AU24" i="55"/>
  <c r="AT24" i="55"/>
  <c r="AS24" i="55"/>
  <c r="AR24" i="55"/>
  <c r="AQ24" i="55"/>
  <c r="AP24" i="55"/>
  <c r="AO24" i="55"/>
  <c r="AN24" i="55"/>
  <c r="AM24" i="55"/>
  <c r="BP22" i="55"/>
  <c r="BO22" i="55"/>
  <c r="BN22" i="55"/>
  <c r="BM22" i="55"/>
  <c r="BL22" i="55"/>
  <c r="BK22" i="55"/>
  <c r="BJ22" i="55"/>
  <c r="BI22" i="55"/>
  <c r="BH22" i="55"/>
  <c r="BG22" i="55"/>
  <c r="BF22" i="55"/>
  <c r="BE22" i="55"/>
  <c r="BD22" i="55"/>
  <c r="BC22" i="55"/>
  <c r="BB22" i="55"/>
  <c r="BA22" i="55"/>
  <c r="AZ22" i="55"/>
  <c r="AY22" i="55"/>
  <c r="AX22" i="55"/>
  <c r="AW22" i="55"/>
  <c r="AV22" i="55"/>
  <c r="AU22" i="55"/>
  <c r="AT22" i="55"/>
  <c r="AS22" i="55"/>
  <c r="AR22" i="55"/>
  <c r="AQ22" i="55"/>
  <c r="AP22" i="55"/>
  <c r="AO22" i="55"/>
  <c r="AN22" i="55"/>
  <c r="AM22" i="55"/>
  <c r="BV20" i="55"/>
  <c r="BP20" i="55"/>
  <c r="BO20" i="55"/>
  <c r="BN20" i="55"/>
  <c r="BM20" i="55"/>
  <c r="BL20" i="55"/>
  <c r="BK20" i="55"/>
  <c r="BJ20" i="55"/>
  <c r="BI20" i="55"/>
  <c r="BH20" i="55"/>
  <c r="BG20" i="55"/>
  <c r="BF20" i="55"/>
  <c r="BE20" i="55"/>
  <c r="BD20" i="55"/>
  <c r="BC20" i="55"/>
  <c r="BB20" i="55"/>
  <c r="BA20" i="55"/>
  <c r="AZ20" i="55"/>
  <c r="AY20" i="55"/>
  <c r="AX20" i="55"/>
  <c r="AW20" i="55"/>
  <c r="AV20" i="55"/>
  <c r="AU20" i="55"/>
  <c r="AT20" i="55"/>
  <c r="AS20" i="55"/>
  <c r="AR20" i="55"/>
  <c r="AQ20" i="55"/>
  <c r="AP20" i="55"/>
  <c r="AO20" i="55"/>
  <c r="AN20" i="55"/>
  <c r="AM20" i="55"/>
  <c r="BP18" i="55"/>
  <c r="BO18" i="55"/>
  <c r="BN18" i="55"/>
  <c r="BM18" i="55"/>
  <c r="BL18" i="55"/>
  <c r="BK18" i="55"/>
  <c r="BJ18" i="55"/>
  <c r="BI18" i="55"/>
  <c r="BH18" i="55"/>
  <c r="BG18" i="55"/>
  <c r="BF18" i="55"/>
  <c r="BE18" i="55"/>
  <c r="BD18" i="55"/>
  <c r="BC18" i="55"/>
  <c r="BB18" i="55"/>
  <c r="BA18" i="55"/>
  <c r="AZ18" i="55"/>
  <c r="AY18" i="55"/>
  <c r="AX18" i="55"/>
  <c r="AW18" i="55"/>
  <c r="AV18" i="55"/>
  <c r="AU18" i="55"/>
  <c r="AT18" i="55"/>
  <c r="AS18" i="55"/>
  <c r="AR18" i="55"/>
  <c r="AQ18" i="55"/>
  <c r="AP18" i="55"/>
  <c r="AO18" i="55"/>
  <c r="AN18" i="55"/>
  <c r="AM18" i="55"/>
  <c r="BP16" i="55"/>
  <c r="BO16" i="55"/>
  <c r="BO92" i="55" s="1"/>
  <c r="BN16" i="55"/>
  <c r="BN92" i="55" s="1"/>
  <c r="BM16" i="55"/>
  <c r="BL16" i="55"/>
  <c r="BK16" i="55"/>
  <c r="BJ16" i="55"/>
  <c r="BI16" i="55"/>
  <c r="BI92" i="55" s="1"/>
  <c r="F201" i="55" s="1"/>
  <c r="BH16" i="55"/>
  <c r="BG16" i="55"/>
  <c r="BF16" i="55"/>
  <c r="BF92" i="55" s="1"/>
  <c r="F193" i="55" s="1"/>
  <c r="BE16" i="55"/>
  <c r="BE92" i="55" s="1"/>
  <c r="F196" i="55" s="1"/>
  <c r="BD16" i="55"/>
  <c r="BC16" i="55"/>
  <c r="BB16" i="55"/>
  <c r="BA16" i="55"/>
  <c r="BA92" i="55" s="1"/>
  <c r="F194" i="55" s="1"/>
  <c r="AZ16" i="55"/>
  <c r="AY16" i="55"/>
  <c r="AX16" i="55"/>
  <c r="AX92" i="55" s="1"/>
  <c r="F204" i="55" s="1"/>
  <c r="AW16" i="55"/>
  <c r="AW92" i="55" s="1"/>
  <c r="F199" i="55" s="1"/>
  <c r="AV16" i="55"/>
  <c r="AU16" i="55"/>
  <c r="AT16" i="55"/>
  <c r="AS16" i="55"/>
  <c r="AS92" i="55" s="1"/>
  <c r="AR16" i="55"/>
  <c r="AQ16" i="55"/>
  <c r="AP16" i="55"/>
  <c r="AO16" i="55"/>
  <c r="AN16" i="55"/>
  <c r="AM16" i="55"/>
  <c r="D277" i="54"/>
  <c r="D276" i="54"/>
  <c r="BD50" i="54" s="1"/>
  <c r="D275" i="54"/>
  <c r="BI34" i="54" s="1"/>
  <c r="B275" i="54"/>
  <c r="Q273" i="54"/>
  <c r="O273" i="54"/>
  <c r="M273" i="54"/>
  <c r="AZ272" i="54"/>
  <c r="AY272" i="54"/>
  <c r="AW272" i="54"/>
  <c r="AV272" i="54"/>
  <c r="AN272" i="54"/>
  <c r="Q272" i="54"/>
  <c r="O272" i="54"/>
  <c r="M272" i="54"/>
  <c r="AZ271" i="54"/>
  <c r="AY271" i="54"/>
  <c r="AW271" i="54"/>
  <c r="AV271" i="54"/>
  <c r="Q271" i="54"/>
  <c r="O271" i="54"/>
  <c r="M271" i="54"/>
  <c r="AZ270" i="54"/>
  <c r="AY270" i="54"/>
  <c r="AW270" i="54"/>
  <c r="AV270" i="54"/>
  <c r="AN270" i="54"/>
  <c r="Q270" i="54"/>
  <c r="O270" i="54"/>
  <c r="M270" i="54"/>
  <c r="AZ269" i="54"/>
  <c r="AY269" i="54"/>
  <c r="AW269" i="54"/>
  <c r="AV269" i="54"/>
  <c r="Q269" i="54"/>
  <c r="O269" i="54"/>
  <c r="M269" i="54"/>
  <c r="AZ268" i="54"/>
  <c r="AY268" i="54"/>
  <c r="AW268" i="54"/>
  <c r="AV268" i="54"/>
  <c r="AN268" i="54"/>
  <c r="Q268" i="54"/>
  <c r="O268" i="54"/>
  <c r="M268" i="54"/>
  <c r="AZ267" i="54"/>
  <c r="AY267" i="54"/>
  <c r="AW267" i="54"/>
  <c r="AV267" i="54"/>
  <c r="Q267" i="54"/>
  <c r="O267" i="54"/>
  <c r="M267" i="54"/>
  <c r="AZ266" i="54"/>
  <c r="AY266" i="54"/>
  <c r="AW266" i="54"/>
  <c r="AV266" i="54"/>
  <c r="AN266" i="54"/>
  <c r="Q266" i="54"/>
  <c r="O266" i="54"/>
  <c r="M266" i="54"/>
  <c r="AZ265" i="54"/>
  <c r="AY265" i="54"/>
  <c r="AW265" i="54"/>
  <c r="AV265" i="54"/>
  <c r="Q265" i="54"/>
  <c r="O265" i="54"/>
  <c r="M265" i="54"/>
  <c r="AZ264" i="54"/>
  <c r="AY264" i="54"/>
  <c r="AW264" i="54"/>
  <c r="AV264" i="54"/>
  <c r="AN264" i="54"/>
  <c r="Q264" i="54"/>
  <c r="O264" i="54"/>
  <c r="M264" i="54"/>
  <c r="AZ263" i="54"/>
  <c r="AY263" i="54"/>
  <c r="AW263" i="54"/>
  <c r="AV263" i="54"/>
  <c r="Q263" i="54"/>
  <c r="O263" i="54"/>
  <c r="M263" i="54"/>
  <c r="AZ262" i="54"/>
  <c r="AY262" i="54"/>
  <c r="AW262" i="54"/>
  <c r="AV262" i="54"/>
  <c r="AN262" i="54"/>
  <c r="Q262" i="54"/>
  <c r="O262" i="54"/>
  <c r="M262" i="54"/>
  <c r="AZ261" i="54"/>
  <c r="AY261" i="54"/>
  <c r="AW261" i="54"/>
  <c r="Q261" i="54"/>
  <c r="O261" i="54"/>
  <c r="M261" i="54"/>
  <c r="AZ260" i="54"/>
  <c r="AW260" i="54"/>
  <c r="AV260" i="54"/>
  <c r="AN260" i="54"/>
  <c r="Q260" i="54"/>
  <c r="O260" i="54"/>
  <c r="M260" i="54"/>
  <c r="AZ259" i="54"/>
  <c r="AY259" i="54"/>
  <c r="AW259" i="54"/>
  <c r="AV259" i="54"/>
  <c r="Q259" i="54"/>
  <c r="O259" i="54"/>
  <c r="M259" i="54"/>
  <c r="AZ258" i="54"/>
  <c r="AW258" i="54"/>
  <c r="AV258" i="54"/>
  <c r="AN258" i="54"/>
  <c r="Q258" i="54"/>
  <c r="O258" i="54"/>
  <c r="M258" i="54"/>
  <c r="AZ257" i="54"/>
  <c r="Q257" i="54"/>
  <c r="O257" i="54"/>
  <c r="M257" i="54"/>
  <c r="AZ256" i="54"/>
  <c r="AN256" i="54"/>
  <c r="Q256" i="54"/>
  <c r="O256" i="54"/>
  <c r="M256" i="54"/>
  <c r="AZ255" i="54"/>
  <c r="Q255" i="54"/>
  <c r="O255" i="54"/>
  <c r="M255" i="54"/>
  <c r="AZ254" i="54"/>
  <c r="AY254" i="54"/>
  <c r="AN254" i="54"/>
  <c r="Q254" i="54"/>
  <c r="O254" i="54"/>
  <c r="M254" i="54"/>
  <c r="AZ253" i="54"/>
  <c r="AY253" i="54"/>
  <c r="AW253" i="54"/>
  <c r="AV253" i="54"/>
  <c r="Q253" i="54"/>
  <c r="O253" i="54"/>
  <c r="M253" i="54"/>
  <c r="AZ252" i="54"/>
  <c r="AY252" i="54"/>
  <c r="AW252" i="54"/>
  <c r="AV252" i="54"/>
  <c r="AN252" i="54"/>
  <c r="Q252" i="54"/>
  <c r="O252" i="54"/>
  <c r="M252" i="54"/>
  <c r="AZ251" i="54"/>
  <c r="AY251" i="54"/>
  <c r="AW251" i="54"/>
  <c r="AV251" i="54"/>
  <c r="Q251" i="54"/>
  <c r="O251" i="54"/>
  <c r="M251" i="54"/>
  <c r="AZ250" i="54"/>
  <c r="AY250" i="54"/>
  <c r="AW250" i="54"/>
  <c r="AV250" i="54"/>
  <c r="AN250" i="54"/>
  <c r="Q250" i="54"/>
  <c r="O250" i="54"/>
  <c r="M250" i="54"/>
  <c r="AZ249" i="54"/>
  <c r="AY249" i="54"/>
  <c r="AW249" i="54"/>
  <c r="AV249" i="54"/>
  <c r="Q249" i="54"/>
  <c r="O249" i="54"/>
  <c r="M249" i="54"/>
  <c r="AZ248" i="54"/>
  <c r="AY248" i="54"/>
  <c r="AW248" i="54"/>
  <c r="AV248" i="54"/>
  <c r="AN248" i="54"/>
  <c r="Q248" i="54"/>
  <c r="O248" i="54"/>
  <c r="M248" i="54"/>
  <c r="AZ247" i="54"/>
  <c r="AY247" i="54"/>
  <c r="AW247" i="54"/>
  <c r="AV247" i="54"/>
  <c r="Q247" i="54"/>
  <c r="O247" i="54"/>
  <c r="M247" i="54"/>
  <c r="AZ246" i="54"/>
  <c r="AY246" i="54"/>
  <c r="AW246" i="54"/>
  <c r="AV246" i="54"/>
  <c r="AN246" i="54"/>
  <c r="Q246" i="54"/>
  <c r="O246" i="54"/>
  <c r="M246" i="54"/>
  <c r="AZ245" i="54"/>
  <c r="AY245" i="54"/>
  <c r="AW245" i="54"/>
  <c r="AV245" i="54"/>
  <c r="Q245" i="54"/>
  <c r="O245" i="54"/>
  <c r="M245" i="54"/>
  <c r="AZ244" i="54"/>
  <c r="AY244" i="54"/>
  <c r="AW244" i="54"/>
  <c r="AV244" i="54"/>
  <c r="AN244" i="54"/>
  <c r="Q244" i="54"/>
  <c r="O244" i="54"/>
  <c r="M244" i="54"/>
  <c r="AZ243" i="54"/>
  <c r="AY243" i="54"/>
  <c r="AW243" i="54"/>
  <c r="AV243" i="54"/>
  <c r="Q243" i="54"/>
  <c r="O243" i="54"/>
  <c r="M243" i="54"/>
  <c r="AZ242" i="54"/>
  <c r="AY242" i="54"/>
  <c r="AW242" i="54"/>
  <c r="AV242" i="54"/>
  <c r="AN242" i="54"/>
  <c r="Q242" i="54"/>
  <c r="O242" i="54"/>
  <c r="M242" i="54"/>
  <c r="AZ241" i="54"/>
  <c r="AY241" i="54"/>
  <c r="AW241" i="54"/>
  <c r="AV241" i="54"/>
  <c r="Q241" i="54"/>
  <c r="O241" i="54"/>
  <c r="M241" i="54"/>
  <c r="AZ240" i="54"/>
  <c r="AY240" i="54"/>
  <c r="AW240" i="54"/>
  <c r="AV240" i="54"/>
  <c r="AN240" i="54"/>
  <c r="Q240" i="54"/>
  <c r="O240" i="54"/>
  <c r="M240" i="54"/>
  <c r="AZ239" i="54"/>
  <c r="AY239" i="54"/>
  <c r="AW239" i="54"/>
  <c r="AV239" i="54"/>
  <c r="Q239" i="54"/>
  <c r="O239" i="54"/>
  <c r="M239" i="54"/>
  <c r="AZ238" i="54"/>
  <c r="AY238" i="54"/>
  <c r="AW238" i="54"/>
  <c r="AV238" i="54"/>
  <c r="AN238" i="54"/>
  <c r="Q238" i="54"/>
  <c r="Q275" i="54" s="1"/>
  <c r="O238" i="54"/>
  <c r="M238" i="54"/>
  <c r="AZ237" i="54"/>
  <c r="AY237" i="54"/>
  <c r="AW237" i="54"/>
  <c r="AV237" i="54"/>
  <c r="Q237" i="54"/>
  <c r="O237" i="54"/>
  <c r="M237" i="54"/>
  <c r="AZ236" i="54"/>
  <c r="AY236" i="54"/>
  <c r="AW236" i="54"/>
  <c r="AV236" i="54"/>
  <c r="AN236" i="54"/>
  <c r="Q236" i="54"/>
  <c r="O236" i="54"/>
  <c r="M236" i="54"/>
  <c r="AZ235" i="54"/>
  <c r="AY235" i="54"/>
  <c r="AW235" i="54"/>
  <c r="AV235" i="54"/>
  <c r="Q235" i="54"/>
  <c r="O235" i="54"/>
  <c r="M235" i="54"/>
  <c r="AZ234" i="54"/>
  <c r="AY234" i="54"/>
  <c r="AW234" i="54"/>
  <c r="AV234" i="54"/>
  <c r="AN234" i="54"/>
  <c r="Q234" i="54"/>
  <c r="O234" i="54"/>
  <c r="O275" i="54" s="1"/>
  <c r="M234" i="54"/>
  <c r="AT234" i="54" s="1"/>
  <c r="H181" i="54"/>
  <c r="AV261" i="54" s="1"/>
  <c r="H180" i="54"/>
  <c r="AY260" i="54" s="1"/>
  <c r="H179" i="54"/>
  <c r="H178" i="54"/>
  <c r="AY258" i="54" s="1"/>
  <c r="H177" i="54"/>
  <c r="H176" i="54"/>
  <c r="AW257" i="54" s="1"/>
  <c r="H175" i="54"/>
  <c r="AY256" i="54" s="1"/>
  <c r="H174" i="54"/>
  <c r="H173" i="54"/>
  <c r="H172" i="54"/>
  <c r="AY255" i="54" s="1"/>
  <c r="H171" i="54"/>
  <c r="H170" i="54"/>
  <c r="AW254" i="54" s="1"/>
  <c r="H169" i="54"/>
  <c r="H168" i="54"/>
  <c r="H167" i="54"/>
  <c r="H166" i="54"/>
  <c r="H165" i="54"/>
  <c r="H164" i="54"/>
  <c r="H163" i="54"/>
  <c r="H162" i="54"/>
  <c r="H161" i="54"/>
  <c r="H160" i="54"/>
  <c r="H159" i="54"/>
  <c r="H158" i="54"/>
  <c r="H157" i="54"/>
  <c r="H156" i="54"/>
  <c r="H155" i="54"/>
  <c r="H154" i="54"/>
  <c r="H153" i="54"/>
  <c r="H152" i="54"/>
  <c r="H151" i="54"/>
  <c r="H150" i="54"/>
  <c r="H149" i="54"/>
  <c r="H148" i="54"/>
  <c r="H147" i="54"/>
  <c r="H146" i="54"/>
  <c r="H145" i="54"/>
  <c r="H144" i="54"/>
  <c r="H143" i="54"/>
  <c r="H142" i="54"/>
  <c r="H141" i="54"/>
  <c r="H140" i="54"/>
  <c r="H139" i="54"/>
  <c r="H138" i="54"/>
  <c r="H137" i="54"/>
  <c r="H136" i="54"/>
  <c r="H135" i="54"/>
  <c r="H134" i="54"/>
  <c r="H133" i="54"/>
  <c r="H132" i="54"/>
  <c r="H131" i="54"/>
  <c r="H130" i="54"/>
  <c r="H129" i="54"/>
  <c r="H128" i="54"/>
  <c r="H127" i="54"/>
  <c r="H126" i="54"/>
  <c r="H125" i="54"/>
  <c r="H124" i="54"/>
  <c r="H123" i="54"/>
  <c r="H122" i="54"/>
  <c r="H121" i="54"/>
  <c r="H120" i="54"/>
  <c r="H119" i="54"/>
  <c r="H118" i="54"/>
  <c r="H117" i="54"/>
  <c r="H116" i="54"/>
  <c r="H115" i="54"/>
  <c r="H114" i="54"/>
  <c r="H113" i="54"/>
  <c r="H112" i="54"/>
  <c r="H111" i="54"/>
  <c r="H110" i="54"/>
  <c r="H109" i="54"/>
  <c r="H108" i="54"/>
  <c r="H107" i="54"/>
  <c r="H106" i="54"/>
  <c r="H105" i="54"/>
  <c r="H104" i="54"/>
  <c r="H103" i="54"/>
  <c r="B188" i="54" s="1" a="1"/>
  <c r="B188" i="54" s="1"/>
  <c r="BS92" i="54"/>
  <c r="BU90" i="54"/>
  <c r="BT90" i="54"/>
  <c r="BS90" i="54"/>
  <c r="BR90" i="54"/>
  <c r="BQ90" i="54"/>
  <c r="BP90" i="54"/>
  <c r="BO90" i="54"/>
  <c r="BN90" i="54"/>
  <c r="BM90" i="54"/>
  <c r="BL90" i="54"/>
  <c r="BK90" i="54"/>
  <c r="AU90" i="54"/>
  <c r="AR90" i="54"/>
  <c r="AQ90" i="54"/>
  <c r="AO90" i="54"/>
  <c r="AN90" i="54"/>
  <c r="AM90" i="54"/>
  <c r="BQ89" i="54"/>
  <c r="BP89" i="54"/>
  <c r="BO89" i="54"/>
  <c r="BN89" i="54"/>
  <c r="BM89" i="54"/>
  <c r="BL89" i="54"/>
  <c r="BK89" i="54"/>
  <c r="AU89" i="54"/>
  <c r="AR89" i="54"/>
  <c r="AQ89" i="54"/>
  <c r="AO89" i="54"/>
  <c r="AN89" i="54"/>
  <c r="AM89" i="54"/>
  <c r="BU88" i="54"/>
  <c r="BT88" i="54"/>
  <c r="BT92" i="54" s="1"/>
  <c r="BS88" i="54"/>
  <c r="BR88" i="54"/>
  <c r="BQ88" i="54"/>
  <c r="BP88" i="54"/>
  <c r="BO88" i="54"/>
  <c r="BN88" i="54"/>
  <c r="BM88" i="54"/>
  <c r="BL88" i="54"/>
  <c r="BK88" i="54"/>
  <c r="AU88" i="54"/>
  <c r="AR88" i="54"/>
  <c r="AQ88" i="54"/>
  <c r="AO88" i="54"/>
  <c r="AN88" i="54"/>
  <c r="AM88" i="54"/>
  <c r="BQ87" i="54"/>
  <c r="BQ92" i="54" s="1"/>
  <c r="BP87" i="54"/>
  <c r="BO87" i="54"/>
  <c r="BN87" i="54"/>
  <c r="BM87" i="54"/>
  <c r="BL87" i="54"/>
  <c r="BK87" i="54"/>
  <c r="AU87" i="54"/>
  <c r="AR87" i="54"/>
  <c r="AQ87" i="54"/>
  <c r="AO87" i="54"/>
  <c r="AN87" i="54"/>
  <c r="AM87" i="54"/>
  <c r="BU86" i="54"/>
  <c r="BU92" i="54" s="1"/>
  <c r="BT86" i="54"/>
  <c r="BS86" i="54"/>
  <c r="BR86" i="54"/>
  <c r="BR92" i="54" s="1"/>
  <c r="BQ86" i="54"/>
  <c r="BP86" i="54"/>
  <c r="BO86" i="54"/>
  <c r="BN86" i="54"/>
  <c r="BM86" i="54"/>
  <c r="BL86" i="54"/>
  <c r="BK86" i="54"/>
  <c r="AU86" i="54"/>
  <c r="AR86" i="54"/>
  <c r="AQ86" i="54"/>
  <c r="AO86" i="54"/>
  <c r="AN86" i="54"/>
  <c r="AM86" i="54"/>
  <c r="BP82" i="54"/>
  <c r="BO82" i="54"/>
  <c r="BN82" i="54"/>
  <c r="BM82" i="54"/>
  <c r="BL82" i="54"/>
  <c r="BK82" i="54"/>
  <c r="BJ82" i="54"/>
  <c r="BI82" i="54"/>
  <c r="BH82" i="54"/>
  <c r="BG82" i="54"/>
  <c r="BF82" i="54"/>
  <c r="BE82" i="54"/>
  <c r="BD82" i="54"/>
  <c r="BC82" i="54"/>
  <c r="BB82" i="54"/>
  <c r="BA82" i="54"/>
  <c r="AZ82" i="54"/>
  <c r="AY82" i="54"/>
  <c r="AX82" i="54"/>
  <c r="AW82" i="54"/>
  <c r="AV82" i="54"/>
  <c r="AU82" i="54"/>
  <c r="AT82" i="54"/>
  <c r="AS82" i="54"/>
  <c r="AR82" i="54"/>
  <c r="AQ82" i="54"/>
  <c r="AP82" i="54"/>
  <c r="AO82" i="54"/>
  <c r="AN82" i="54"/>
  <c r="AM82" i="54"/>
  <c r="BP80" i="54"/>
  <c r="BO80" i="54"/>
  <c r="BN80" i="54"/>
  <c r="BM80" i="54"/>
  <c r="BL80" i="54"/>
  <c r="BK80" i="54"/>
  <c r="BJ80" i="54"/>
  <c r="BI80" i="54"/>
  <c r="BH80" i="54"/>
  <c r="BG80" i="54"/>
  <c r="BF80" i="54"/>
  <c r="BE80" i="54"/>
  <c r="BD80" i="54"/>
  <c r="BC80" i="54"/>
  <c r="BB80" i="54"/>
  <c r="BA80" i="54"/>
  <c r="AZ80" i="54"/>
  <c r="AY80" i="54"/>
  <c r="AX80" i="54"/>
  <c r="AW80" i="54"/>
  <c r="AV80" i="54"/>
  <c r="AU80" i="54"/>
  <c r="AT80" i="54"/>
  <c r="AS80" i="54"/>
  <c r="AR80" i="54"/>
  <c r="AQ80" i="54"/>
  <c r="AP80" i="54"/>
  <c r="AO80" i="54"/>
  <c r="AN80" i="54"/>
  <c r="AM80" i="54"/>
  <c r="BP78" i="54"/>
  <c r="BO78" i="54"/>
  <c r="BN78" i="54"/>
  <c r="BM78" i="54"/>
  <c r="BL78" i="54"/>
  <c r="BK78" i="54"/>
  <c r="BJ78" i="54"/>
  <c r="BI78" i="54"/>
  <c r="BH78" i="54"/>
  <c r="BG78" i="54"/>
  <c r="BF78" i="54"/>
  <c r="BE78" i="54"/>
  <c r="BD78" i="54"/>
  <c r="BC78" i="54"/>
  <c r="BB78" i="54"/>
  <c r="BA78" i="54"/>
  <c r="AZ78" i="54"/>
  <c r="AY78" i="54"/>
  <c r="AX78" i="54"/>
  <c r="AW78" i="54"/>
  <c r="AV78" i="54"/>
  <c r="AU78" i="54"/>
  <c r="AT78" i="54"/>
  <c r="AS78" i="54"/>
  <c r="AR78" i="54"/>
  <c r="AQ78" i="54"/>
  <c r="AP78" i="54"/>
  <c r="AO78" i="54"/>
  <c r="AN78" i="54"/>
  <c r="AM78" i="54"/>
  <c r="BP74" i="54"/>
  <c r="BO74" i="54"/>
  <c r="BN74" i="54"/>
  <c r="BM74" i="54"/>
  <c r="BL74" i="54"/>
  <c r="BK74" i="54"/>
  <c r="BJ74" i="54"/>
  <c r="BI74" i="54"/>
  <c r="BH74" i="54"/>
  <c r="BG74" i="54"/>
  <c r="BF74" i="54"/>
  <c r="BE74" i="54"/>
  <c r="BD74" i="54"/>
  <c r="BC74" i="54"/>
  <c r="BB74" i="54"/>
  <c r="BA74" i="54"/>
  <c r="AZ74" i="54"/>
  <c r="AY74" i="54"/>
  <c r="AX74" i="54"/>
  <c r="AW74" i="54"/>
  <c r="AV74" i="54"/>
  <c r="AU74" i="54"/>
  <c r="AT74" i="54"/>
  <c r="AS74" i="54"/>
  <c r="AR74" i="54"/>
  <c r="AQ74" i="54"/>
  <c r="AP74" i="54"/>
  <c r="AO74" i="54"/>
  <c r="AN74" i="54"/>
  <c r="AM74" i="54"/>
  <c r="BP72" i="54"/>
  <c r="BO72" i="54"/>
  <c r="BN72" i="54"/>
  <c r="BM72" i="54"/>
  <c r="BL72" i="54"/>
  <c r="BK72" i="54"/>
  <c r="BJ72" i="54"/>
  <c r="BI72" i="54"/>
  <c r="BH72" i="54"/>
  <c r="BG72" i="54"/>
  <c r="BF72" i="54"/>
  <c r="BE72" i="54"/>
  <c r="BD72" i="54"/>
  <c r="BC72" i="54"/>
  <c r="BB72" i="54"/>
  <c r="BA72" i="54"/>
  <c r="AZ72" i="54"/>
  <c r="AY72" i="54"/>
  <c r="AX72" i="54"/>
  <c r="AW72" i="54"/>
  <c r="AV72" i="54"/>
  <c r="AU72" i="54"/>
  <c r="AT72" i="54"/>
  <c r="AS72" i="54"/>
  <c r="AR72" i="54"/>
  <c r="AQ72" i="54"/>
  <c r="AP72" i="54"/>
  <c r="AO72" i="54"/>
  <c r="AN72" i="54"/>
  <c r="AM72" i="54"/>
  <c r="BP70" i="54"/>
  <c r="BO70" i="54"/>
  <c r="BN70" i="54"/>
  <c r="BM70" i="54"/>
  <c r="BL70" i="54"/>
  <c r="BK70" i="54"/>
  <c r="BJ70" i="54"/>
  <c r="BI70" i="54"/>
  <c r="BH70" i="54"/>
  <c r="BG70" i="54"/>
  <c r="BF70" i="54"/>
  <c r="BE70" i="54"/>
  <c r="BD70" i="54"/>
  <c r="BC70" i="54"/>
  <c r="BB70" i="54"/>
  <c r="BA70" i="54"/>
  <c r="AZ70" i="54"/>
  <c r="AY70" i="54"/>
  <c r="AX70" i="54"/>
  <c r="AW70" i="54"/>
  <c r="AV70" i="54"/>
  <c r="AU70" i="54"/>
  <c r="AT70" i="54"/>
  <c r="AS70" i="54"/>
  <c r="AR70" i="54"/>
  <c r="AQ70" i="54"/>
  <c r="AP70" i="54"/>
  <c r="AO70" i="54"/>
  <c r="AN70" i="54"/>
  <c r="AM70" i="54"/>
  <c r="BP66" i="54"/>
  <c r="BO66" i="54"/>
  <c r="BN66" i="54"/>
  <c r="BM66" i="54"/>
  <c r="BL66" i="54"/>
  <c r="BK66" i="54"/>
  <c r="BJ66" i="54"/>
  <c r="BI66" i="54"/>
  <c r="BH66" i="54"/>
  <c r="BG66" i="54"/>
  <c r="BF66" i="54"/>
  <c r="BE66" i="54"/>
  <c r="BD66" i="54"/>
  <c r="BC66" i="54"/>
  <c r="BB66" i="54"/>
  <c r="BA66" i="54"/>
  <c r="AZ66" i="54"/>
  <c r="AY66" i="54"/>
  <c r="AX66" i="54"/>
  <c r="AW66" i="54"/>
  <c r="AV66" i="54"/>
  <c r="AU66" i="54"/>
  <c r="AT66" i="54"/>
  <c r="AS66" i="54"/>
  <c r="AR66" i="54"/>
  <c r="AQ66" i="54"/>
  <c r="AP66" i="54"/>
  <c r="AO66" i="54"/>
  <c r="AN66" i="54"/>
  <c r="AM66" i="54"/>
  <c r="BP64" i="54"/>
  <c r="BO64" i="54"/>
  <c r="BN64" i="54"/>
  <c r="BM64" i="54"/>
  <c r="BL64" i="54"/>
  <c r="BK64" i="54"/>
  <c r="BJ64" i="54"/>
  <c r="BI64" i="54"/>
  <c r="BH64" i="54"/>
  <c r="BG64" i="54"/>
  <c r="BF64" i="54"/>
  <c r="BE64" i="54"/>
  <c r="BD64" i="54"/>
  <c r="BC64" i="54"/>
  <c r="BB64" i="54"/>
  <c r="BA64" i="54"/>
  <c r="AZ64" i="54"/>
  <c r="AY64" i="54"/>
  <c r="AX64" i="54"/>
  <c r="AW64" i="54"/>
  <c r="AV64" i="54"/>
  <c r="AU64" i="54"/>
  <c r="AT64" i="54"/>
  <c r="AS64" i="54"/>
  <c r="AR64" i="54"/>
  <c r="AQ64" i="54"/>
  <c r="AP64" i="54"/>
  <c r="AO64" i="54"/>
  <c r="AN64" i="54"/>
  <c r="AM64" i="54"/>
  <c r="BP62" i="54"/>
  <c r="BO62" i="54"/>
  <c r="BN62" i="54"/>
  <c r="BM62" i="54"/>
  <c r="BL62" i="54"/>
  <c r="BK62" i="54"/>
  <c r="BJ62" i="54"/>
  <c r="BI62" i="54"/>
  <c r="BH62" i="54"/>
  <c r="BG62" i="54"/>
  <c r="BF62" i="54"/>
  <c r="BE62" i="54"/>
  <c r="BD62" i="54"/>
  <c r="BC62" i="54"/>
  <c r="BB62" i="54"/>
  <c r="BA62" i="54"/>
  <c r="AZ62" i="54"/>
  <c r="AY62" i="54"/>
  <c r="AX62" i="54"/>
  <c r="AW62" i="54"/>
  <c r="AV62" i="54"/>
  <c r="AU62" i="54"/>
  <c r="AT62" i="54"/>
  <c r="AS62" i="54"/>
  <c r="AR62" i="54"/>
  <c r="AQ62" i="54"/>
  <c r="AP62" i="54"/>
  <c r="AO62" i="54"/>
  <c r="AN62" i="54"/>
  <c r="AM62" i="54"/>
  <c r="BP60" i="54"/>
  <c r="BO60" i="54"/>
  <c r="BN60" i="54"/>
  <c r="BM60" i="54"/>
  <c r="BL60" i="54"/>
  <c r="BK60" i="54"/>
  <c r="BJ60" i="54"/>
  <c r="BI60" i="54"/>
  <c r="BH60" i="54"/>
  <c r="BG60" i="54"/>
  <c r="BF60" i="54"/>
  <c r="BE60" i="54"/>
  <c r="BD60" i="54"/>
  <c r="BC60" i="54"/>
  <c r="BB60" i="54"/>
  <c r="BA60" i="54"/>
  <c r="AZ60" i="54"/>
  <c r="AY60" i="54"/>
  <c r="AX60" i="54"/>
  <c r="AW60" i="54"/>
  <c r="AV60" i="54"/>
  <c r="AU60" i="54"/>
  <c r="AT60" i="54"/>
  <c r="AS60" i="54"/>
  <c r="AR60" i="54"/>
  <c r="AQ60" i="54"/>
  <c r="AP60" i="54"/>
  <c r="AO60" i="54"/>
  <c r="AN60" i="54"/>
  <c r="AM60" i="54"/>
  <c r="BP58" i="54"/>
  <c r="BO58" i="54"/>
  <c r="BN58" i="54"/>
  <c r="BM58" i="54"/>
  <c r="BL58" i="54"/>
  <c r="BK58" i="54"/>
  <c r="BJ58" i="54"/>
  <c r="BI58" i="54"/>
  <c r="BH58" i="54"/>
  <c r="BG58" i="54"/>
  <c r="BF58" i="54"/>
  <c r="BE58" i="54"/>
  <c r="BD58" i="54"/>
  <c r="BC58" i="54"/>
  <c r="BB58" i="54"/>
  <c r="BA58" i="54"/>
  <c r="AZ58" i="54"/>
  <c r="AY58" i="54"/>
  <c r="AX58" i="54"/>
  <c r="AW58" i="54"/>
  <c r="AV58" i="54"/>
  <c r="AU58" i="54"/>
  <c r="AT58" i="54"/>
  <c r="AS58" i="54"/>
  <c r="AR58" i="54"/>
  <c r="AQ58" i="54"/>
  <c r="AP58" i="54"/>
  <c r="AO58" i="54"/>
  <c r="AN58" i="54"/>
  <c r="AM58" i="54"/>
  <c r="BP56" i="54"/>
  <c r="BO56" i="54"/>
  <c r="BN56" i="54"/>
  <c r="BM56" i="54"/>
  <c r="BL56" i="54"/>
  <c r="BK56" i="54"/>
  <c r="BJ56" i="54"/>
  <c r="BI56" i="54"/>
  <c r="BH56" i="54"/>
  <c r="BG56" i="54"/>
  <c r="BF56" i="54"/>
  <c r="BE56" i="54"/>
  <c r="BD56" i="54"/>
  <c r="BC56" i="54"/>
  <c r="BB56" i="54"/>
  <c r="BA56" i="54"/>
  <c r="AZ56" i="54"/>
  <c r="AY56" i="54"/>
  <c r="AX56" i="54"/>
  <c r="AW56" i="54"/>
  <c r="AV56" i="54"/>
  <c r="AU56" i="54"/>
  <c r="AT56" i="54"/>
  <c r="AS56" i="54"/>
  <c r="AR56" i="54"/>
  <c r="AQ56" i="54"/>
  <c r="AP56" i="54"/>
  <c r="AO56" i="54"/>
  <c r="AN56" i="54"/>
  <c r="AM56" i="54"/>
  <c r="BP54" i="54"/>
  <c r="BO54" i="54"/>
  <c r="BN54" i="54"/>
  <c r="BM54" i="54"/>
  <c r="BL54" i="54"/>
  <c r="BK54" i="54"/>
  <c r="BJ54" i="54"/>
  <c r="BI54" i="54"/>
  <c r="BH54" i="54"/>
  <c r="BG54" i="54"/>
  <c r="BF54" i="54"/>
  <c r="BE54" i="54"/>
  <c r="BD54" i="54"/>
  <c r="BC54" i="54"/>
  <c r="BB54" i="54"/>
  <c r="BA54" i="54"/>
  <c r="AZ54" i="54"/>
  <c r="AY54" i="54"/>
  <c r="AX54" i="54"/>
  <c r="AW54" i="54"/>
  <c r="AV54" i="54"/>
  <c r="AU54" i="54"/>
  <c r="AT54" i="54"/>
  <c r="AS54" i="54"/>
  <c r="AR54" i="54"/>
  <c r="AQ54" i="54"/>
  <c r="AP54" i="54"/>
  <c r="AO54" i="54"/>
  <c r="AN54" i="54"/>
  <c r="AM54" i="54"/>
  <c r="BP52" i="54"/>
  <c r="BO52" i="54"/>
  <c r="BN52" i="54"/>
  <c r="BM52" i="54"/>
  <c r="BL52" i="54"/>
  <c r="BK52" i="54"/>
  <c r="BJ52" i="54"/>
  <c r="BI52" i="54"/>
  <c r="BH52" i="54"/>
  <c r="BG52" i="54"/>
  <c r="BF52" i="54"/>
  <c r="BE52" i="54"/>
  <c r="BD52" i="54"/>
  <c r="BC52" i="54"/>
  <c r="BB52" i="54"/>
  <c r="BA52" i="54"/>
  <c r="AZ52" i="54"/>
  <c r="AY52" i="54"/>
  <c r="AX52" i="54"/>
  <c r="AW52" i="54"/>
  <c r="AV52" i="54"/>
  <c r="AU52" i="54"/>
  <c r="AT52" i="54"/>
  <c r="AS52" i="54"/>
  <c r="AR52" i="54"/>
  <c r="AQ52" i="54"/>
  <c r="AP52" i="54"/>
  <c r="AO52" i="54"/>
  <c r="AN52" i="54"/>
  <c r="AM52" i="54"/>
  <c r="BP50" i="54"/>
  <c r="BO50" i="54"/>
  <c r="BN50" i="54"/>
  <c r="BM50" i="54"/>
  <c r="BL50" i="54"/>
  <c r="BK50" i="54"/>
  <c r="BJ50" i="54"/>
  <c r="BG50" i="54"/>
  <c r="BF50" i="54"/>
  <c r="BE50" i="54"/>
  <c r="BC50" i="54"/>
  <c r="BB50" i="54"/>
  <c r="AY50" i="54"/>
  <c r="AX50" i="54"/>
  <c r="AW50" i="54"/>
  <c r="AU50" i="54"/>
  <c r="AT50" i="54"/>
  <c r="AS50" i="54"/>
  <c r="AQ50" i="54"/>
  <c r="AP50" i="54"/>
  <c r="AO50" i="54"/>
  <c r="AN50" i="54"/>
  <c r="AM50" i="54"/>
  <c r="BP48" i="54"/>
  <c r="BO48" i="54"/>
  <c r="BN48" i="54"/>
  <c r="BM48" i="54"/>
  <c r="BL48" i="54"/>
  <c r="BK48" i="54"/>
  <c r="BJ48" i="54"/>
  <c r="BI48" i="54"/>
  <c r="BH48" i="54"/>
  <c r="BG48" i="54"/>
  <c r="BF48" i="54"/>
  <c r="BE48" i="54"/>
  <c r="BD48" i="54"/>
  <c r="BC48" i="54"/>
  <c r="BB48" i="54"/>
  <c r="BA48" i="54"/>
  <c r="AZ48" i="54"/>
  <c r="AY48" i="54"/>
  <c r="AX48" i="54"/>
  <c r="AW48" i="54"/>
  <c r="AV48" i="54"/>
  <c r="AU48" i="54"/>
  <c r="AT48" i="54"/>
  <c r="AS48" i="54"/>
  <c r="AR48" i="54"/>
  <c r="AQ48" i="54"/>
  <c r="AP48" i="54"/>
  <c r="AO48" i="54"/>
  <c r="AN48" i="54"/>
  <c r="AM48" i="54"/>
  <c r="BO46" i="54"/>
  <c r="BN46" i="54"/>
  <c r="BK46" i="54"/>
  <c r="BJ46" i="54"/>
  <c r="BI46" i="54"/>
  <c r="BG46" i="54"/>
  <c r="BF46" i="54"/>
  <c r="BC46" i="54"/>
  <c r="BB46" i="54"/>
  <c r="BA46" i="54"/>
  <c r="AY46" i="54"/>
  <c r="AX46" i="54"/>
  <c r="AU46" i="54"/>
  <c r="AT46" i="54"/>
  <c r="AS46" i="54"/>
  <c r="AQ46" i="54"/>
  <c r="AP46" i="54"/>
  <c r="AO46" i="54"/>
  <c r="AN46" i="54"/>
  <c r="AM46" i="54"/>
  <c r="BP44" i="54"/>
  <c r="BO44" i="54"/>
  <c r="BN44" i="54"/>
  <c r="BM44" i="54"/>
  <c r="BL44" i="54"/>
  <c r="BK44" i="54"/>
  <c r="BJ44" i="54"/>
  <c r="BI44" i="54"/>
  <c r="BH44" i="54"/>
  <c r="BG44" i="54"/>
  <c r="BF44" i="54"/>
  <c r="BE44" i="54"/>
  <c r="BD44" i="54"/>
  <c r="BC44" i="54"/>
  <c r="BB44" i="54"/>
  <c r="BA44" i="54"/>
  <c r="AZ44" i="54"/>
  <c r="AY44" i="54"/>
  <c r="AX44" i="54"/>
  <c r="AW44" i="54"/>
  <c r="AV44" i="54"/>
  <c r="AU44" i="54"/>
  <c r="AT44" i="54"/>
  <c r="AS44" i="54"/>
  <c r="AR44" i="54"/>
  <c r="AQ44" i="54"/>
  <c r="AP44" i="54"/>
  <c r="AO44" i="54"/>
  <c r="AN44" i="54"/>
  <c r="AM44" i="54"/>
  <c r="BP42" i="54"/>
  <c r="BO42" i="54"/>
  <c r="BN42" i="54"/>
  <c r="BM42" i="54"/>
  <c r="BL42" i="54"/>
  <c r="BK42" i="54"/>
  <c r="BJ42" i="54"/>
  <c r="BI42" i="54"/>
  <c r="BH42" i="54"/>
  <c r="BG42" i="54"/>
  <c r="BF42" i="54"/>
  <c r="BE42" i="54"/>
  <c r="BD42" i="54"/>
  <c r="BC42" i="54"/>
  <c r="BB42" i="54"/>
  <c r="BA42" i="54"/>
  <c r="AZ42" i="54"/>
  <c r="AY42" i="54"/>
  <c r="AX42" i="54"/>
  <c r="AW42" i="54"/>
  <c r="AV42" i="54"/>
  <c r="AU42" i="54"/>
  <c r="AT42" i="54"/>
  <c r="AS42" i="54"/>
  <c r="AR42" i="54"/>
  <c r="AQ42" i="54"/>
  <c r="AP42" i="54"/>
  <c r="AO42" i="54"/>
  <c r="AN42" i="54"/>
  <c r="AM42" i="54"/>
  <c r="BP40" i="54"/>
  <c r="BO40" i="54"/>
  <c r="BN40" i="54"/>
  <c r="BM40" i="54"/>
  <c r="BL40" i="54"/>
  <c r="BK40" i="54"/>
  <c r="BJ40" i="54"/>
  <c r="BI40" i="54"/>
  <c r="BH40" i="54"/>
  <c r="BG40" i="54"/>
  <c r="BF40" i="54"/>
  <c r="BE40" i="54"/>
  <c r="BD40" i="54"/>
  <c r="BC40" i="54"/>
  <c r="BB40" i="54"/>
  <c r="BA40" i="54"/>
  <c r="AZ40" i="54"/>
  <c r="AY40" i="54"/>
  <c r="AX40" i="54"/>
  <c r="AW40" i="54"/>
  <c r="AV40" i="54"/>
  <c r="AU40" i="54"/>
  <c r="AT40" i="54"/>
  <c r="AS40" i="54"/>
  <c r="AR40" i="54"/>
  <c r="AQ40" i="54"/>
  <c r="AP40" i="54"/>
  <c r="AO40" i="54"/>
  <c r="AN40" i="54"/>
  <c r="AM40" i="54"/>
  <c r="CH38" i="54"/>
  <c r="CG38" i="54"/>
  <c r="CF38" i="54"/>
  <c r="CE38" i="54"/>
  <c r="CD38" i="54"/>
  <c r="CC38" i="54"/>
  <c r="CB38" i="54"/>
  <c r="CA38" i="54"/>
  <c r="BZ38" i="54"/>
  <c r="BY38" i="54"/>
  <c r="BX38" i="54"/>
  <c r="BW38" i="54"/>
  <c r="BV38" i="54"/>
  <c r="BP38" i="54"/>
  <c r="BO38" i="54"/>
  <c r="BN38" i="54"/>
  <c r="BM38" i="54"/>
  <c r="BL38" i="54"/>
  <c r="BK38" i="54"/>
  <c r="BJ38" i="54"/>
  <c r="BI38" i="54"/>
  <c r="BH38" i="54"/>
  <c r="BG38" i="54"/>
  <c r="BF38" i="54"/>
  <c r="BE38" i="54"/>
  <c r="BD38" i="54"/>
  <c r="BC38" i="54"/>
  <c r="BB38" i="54"/>
  <c r="BA38" i="54"/>
  <c r="AZ38" i="54"/>
  <c r="AY38" i="54"/>
  <c r="AX38" i="54"/>
  <c r="AW38" i="54"/>
  <c r="AV38" i="54"/>
  <c r="AU38" i="54"/>
  <c r="AT38" i="54"/>
  <c r="AS38" i="54"/>
  <c r="AR38" i="54"/>
  <c r="AQ38" i="54"/>
  <c r="AP38" i="54"/>
  <c r="AO38" i="54"/>
  <c r="AN38" i="54"/>
  <c r="AM38" i="54"/>
  <c r="BP36" i="54"/>
  <c r="BO36" i="54"/>
  <c r="BN36" i="54"/>
  <c r="BM36" i="54"/>
  <c r="BL36" i="54"/>
  <c r="BK36" i="54"/>
  <c r="BJ36" i="54"/>
  <c r="BI36" i="54"/>
  <c r="BH36" i="54"/>
  <c r="BG36" i="54"/>
  <c r="BF36" i="54"/>
  <c r="BE36" i="54"/>
  <c r="BD36" i="54"/>
  <c r="BC36" i="54"/>
  <c r="BB36" i="54"/>
  <c r="BA36" i="54"/>
  <c r="AZ36" i="54"/>
  <c r="AY36" i="54"/>
  <c r="AX36" i="54"/>
  <c r="AW36" i="54"/>
  <c r="AV36" i="54"/>
  <c r="AU36" i="54"/>
  <c r="AT36" i="54"/>
  <c r="AS36" i="54"/>
  <c r="AR36" i="54"/>
  <c r="AQ36" i="54"/>
  <c r="AP36" i="54"/>
  <c r="AO36" i="54"/>
  <c r="AN36" i="54"/>
  <c r="AM36" i="54"/>
  <c r="BP34" i="54"/>
  <c r="BO34" i="54"/>
  <c r="BL34" i="54"/>
  <c r="BK34" i="54"/>
  <c r="BJ34" i="54"/>
  <c r="BH34" i="54"/>
  <c r="BG34" i="54"/>
  <c r="BD34" i="54"/>
  <c r="BC34" i="54"/>
  <c r="BB34" i="54"/>
  <c r="AZ34" i="54"/>
  <c r="AY34" i="54"/>
  <c r="AV34" i="54"/>
  <c r="AU34" i="54"/>
  <c r="AT34" i="54"/>
  <c r="AR34" i="54"/>
  <c r="AQ34" i="54"/>
  <c r="AP34" i="54"/>
  <c r="AO34" i="54"/>
  <c r="AN34" i="54"/>
  <c r="AM34" i="54"/>
  <c r="BP32" i="54"/>
  <c r="BO32" i="54"/>
  <c r="BN32" i="54"/>
  <c r="BM32" i="54"/>
  <c r="BL32" i="54"/>
  <c r="BK32" i="54"/>
  <c r="BJ32" i="54"/>
  <c r="BI32" i="54"/>
  <c r="BH32" i="54"/>
  <c r="BG32" i="54"/>
  <c r="BF32" i="54"/>
  <c r="BE32" i="54"/>
  <c r="BD32" i="54"/>
  <c r="BC32" i="54"/>
  <c r="BB32" i="54"/>
  <c r="BA32" i="54"/>
  <c r="AZ32" i="54"/>
  <c r="AY32" i="54"/>
  <c r="AX32" i="54"/>
  <c r="AW32" i="54"/>
  <c r="AV32" i="54"/>
  <c r="AU32" i="54"/>
  <c r="AT32" i="54"/>
  <c r="AS32" i="54"/>
  <c r="AR32" i="54"/>
  <c r="AQ32" i="54"/>
  <c r="AP32" i="54"/>
  <c r="AO32" i="54"/>
  <c r="AN32" i="54"/>
  <c r="AM32" i="54"/>
  <c r="BY30" i="54"/>
  <c r="BX30" i="54"/>
  <c r="BW30" i="54"/>
  <c r="BV30" i="54"/>
  <c r="BP30" i="54"/>
  <c r="BO30" i="54"/>
  <c r="BN30" i="54"/>
  <c r="BM30" i="54"/>
  <c r="BL30" i="54"/>
  <c r="BK30" i="54"/>
  <c r="BJ30" i="54"/>
  <c r="BI30" i="54"/>
  <c r="BH30" i="54"/>
  <c r="BG30" i="54"/>
  <c r="BF30" i="54"/>
  <c r="BE30" i="54"/>
  <c r="BD30" i="54"/>
  <c r="BC30" i="54"/>
  <c r="BB30" i="54"/>
  <c r="BA30" i="54"/>
  <c r="AZ30" i="54"/>
  <c r="AY30" i="54"/>
  <c r="AX30" i="54"/>
  <c r="AW30" i="54"/>
  <c r="AV30" i="54"/>
  <c r="AU30" i="54"/>
  <c r="AT30" i="54"/>
  <c r="AS30" i="54"/>
  <c r="AR30" i="54"/>
  <c r="AQ30" i="54"/>
  <c r="AP30" i="54"/>
  <c r="AO30" i="54"/>
  <c r="AN30" i="54"/>
  <c r="AM30" i="54"/>
  <c r="BV29" i="54"/>
  <c r="BY28" i="54"/>
  <c r="BX28" i="54"/>
  <c r="BW28" i="54"/>
  <c r="BV28" i="54"/>
  <c r="BP28" i="54"/>
  <c r="BO28" i="54"/>
  <c r="BN28" i="54"/>
  <c r="BM28" i="54"/>
  <c r="BL28" i="54"/>
  <c r="BK28" i="54"/>
  <c r="BJ28" i="54"/>
  <c r="BI28" i="54"/>
  <c r="BH28" i="54"/>
  <c r="BG28" i="54"/>
  <c r="BF28" i="54"/>
  <c r="BE28" i="54"/>
  <c r="BD28" i="54"/>
  <c r="BC28" i="54"/>
  <c r="BB28" i="54"/>
  <c r="BA28" i="54"/>
  <c r="AZ28" i="54"/>
  <c r="AY28" i="54"/>
  <c r="AX28" i="54"/>
  <c r="AW28" i="54"/>
  <c r="AV28" i="54"/>
  <c r="AU28" i="54"/>
  <c r="AT28" i="54"/>
  <c r="AS28" i="54"/>
  <c r="AR28" i="54"/>
  <c r="AQ28" i="54"/>
  <c r="AP28" i="54"/>
  <c r="AO28" i="54"/>
  <c r="AN28" i="54"/>
  <c r="AM28" i="54"/>
  <c r="BV27" i="54"/>
  <c r="BY26" i="54"/>
  <c r="BY32" i="54" s="1"/>
  <c r="AP92" i="54" s="1"/>
  <c r="U6" i="54" s="1"/>
  <c r="BX26" i="54"/>
  <c r="BX32" i="54" s="1"/>
  <c r="BW26" i="54"/>
  <c r="BW32" i="54" s="1"/>
  <c r="BV26" i="54"/>
  <c r="BV32" i="54" s="1"/>
  <c r="BP26" i="54"/>
  <c r="BO26" i="54"/>
  <c r="BN26" i="54"/>
  <c r="BM26" i="54"/>
  <c r="BL26" i="54"/>
  <c r="BK26" i="54"/>
  <c r="BJ26" i="54"/>
  <c r="BI26" i="54"/>
  <c r="BH26" i="54"/>
  <c r="BG26" i="54"/>
  <c r="BF26" i="54"/>
  <c r="BE26" i="54"/>
  <c r="BD26" i="54"/>
  <c r="BC26" i="54"/>
  <c r="BB26" i="54"/>
  <c r="BA26" i="54"/>
  <c r="AZ26" i="54"/>
  <c r="AY26" i="54"/>
  <c r="AX26" i="54"/>
  <c r="AW26" i="54"/>
  <c r="AV26" i="54"/>
  <c r="AU26" i="54"/>
  <c r="AT26" i="54"/>
  <c r="AS26" i="54"/>
  <c r="AR26" i="54"/>
  <c r="AQ26" i="54"/>
  <c r="AP26" i="54"/>
  <c r="AO26" i="54"/>
  <c r="AN26" i="54"/>
  <c r="AM26" i="54"/>
  <c r="BP24" i="54"/>
  <c r="BO24" i="54"/>
  <c r="BN24" i="54"/>
  <c r="BM24" i="54"/>
  <c r="BL24" i="54"/>
  <c r="BK24" i="54"/>
  <c r="BK92" i="54" s="1"/>
  <c r="BJ24" i="54"/>
  <c r="BI24" i="54"/>
  <c r="BH24" i="54"/>
  <c r="BG24" i="54"/>
  <c r="BF24" i="54"/>
  <c r="BE24" i="54"/>
  <c r="BD24" i="54"/>
  <c r="BC24" i="54"/>
  <c r="BC92" i="54" s="1"/>
  <c r="F202" i="54" s="1"/>
  <c r="BB24" i="54"/>
  <c r="BA24" i="54"/>
  <c r="AZ24" i="54"/>
  <c r="AY24" i="54"/>
  <c r="AX24" i="54"/>
  <c r="AW24" i="54"/>
  <c r="AV24" i="54"/>
  <c r="AU24" i="54"/>
  <c r="AU92" i="54" s="1"/>
  <c r="AT24" i="54"/>
  <c r="AS24" i="54"/>
  <c r="AR24" i="54"/>
  <c r="AQ24" i="54"/>
  <c r="AP24" i="54"/>
  <c r="AO24" i="54"/>
  <c r="AN24" i="54"/>
  <c r="AM24" i="54"/>
  <c r="BP22" i="54"/>
  <c r="BO22" i="54"/>
  <c r="BN22" i="54"/>
  <c r="BM22" i="54"/>
  <c r="BL22" i="54"/>
  <c r="BK22" i="54"/>
  <c r="BJ22" i="54"/>
  <c r="BI22" i="54"/>
  <c r="BH22" i="54"/>
  <c r="BG22" i="54"/>
  <c r="BF22" i="54"/>
  <c r="BE22" i="54"/>
  <c r="BD22" i="54"/>
  <c r="BC22" i="54"/>
  <c r="BB22" i="54"/>
  <c r="BA22" i="54"/>
  <c r="AZ22" i="54"/>
  <c r="AY22" i="54"/>
  <c r="AX22" i="54"/>
  <c r="AW22" i="54"/>
  <c r="AV22" i="54"/>
  <c r="AU22" i="54"/>
  <c r="AT22" i="54"/>
  <c r="AS22" i="54"/>
  <c r="AR22" i="54"/>
  <c r="AQ22" i="54"/>
  <c r="AP22" i="54"/>
  <c r="AO22" i="54"/>
  <c r="AN22" i="54"/>
  <c r="AM22" i="54"/>
  <c r="BV20" i="54"/>
  <c r="BP20" i="54"/>
  <c r="BO20" i="54"/>
  <c r="BN20" i="54"/>
  <c r="BM20" i="54"/>
  <c r="BL20" i="54"/>
  <c r="BK20" i="54"/>
  <c r="BJ20" i="54"/>
  <c r="BI20" i="54"/>
  <c r="BH20" i="54"/>
  <c r="BG20" i="54"/>
  <c r="BF20" i="54"/>
  <c r="BE20" i="54"/>
  <c r="BD20" i="54"/>
  <c r="BC20" i="54"/>
  <c r="BB20" i="54"/>
  <c r="BA20" i="54"/>
  <c r="AZ20" i="54"/>
  <c r="AY20" i="54"/>
  <c r="AX20" i="54"/>
  <c r="AW20" i="54"/>
  <c r="AV20" i="54"/>
  <c r="AU20" i="54"/>
  <c r="AT20" i="54"/>
  <c r="AS20" i="54"/>
  <c r="AR20" i="54"/>
  <c r="AQ20" i="54"/>
  <c r="AP20" i="54"/>
  <c r="AO20" i="54"/>
  <c r="AN20" i="54"/>
  <c r="AM20" i="54"/>
  <c r="BP18" i="54"/>
  <c r="BO18" i="54"/>
  <c r="BO92" i="54" s="1"/>
  <c r="BN18" i="54"/>
  <c r="BM18" i="54"/>
  <c r="BL18" i="54"/>
  <c r="BK18" i="54"/>
  <c r="BJ18" i="54"/>
  <c r="BI18" i="54"/>
  <c r="BH18" i="54"/>
  <c r="BG18" i="54"/>
  <c r="BG92" i="54" s="1"/>
  <c r="F205" i="54" s="1"/>
  <c r="BF18" i="54"/>
  <c r="BE18" i="54"/>
  <c r="BD18" i="54"/>
  <c r="BC18" i="54"/>
  <c r="BB18" i="54"/>
  <c r="BA18" i="54"/>
  <c r="AZ18" i="54"/>
  <c r="AY18" i="54"/>
  <c r="AY92" i="54" s="1"/>
  <c r="F198" i="54" s="1"/>
  <c r="AX18" i="54"/>
  <c r="AW18" i="54"/>
  <c r="AV18" i="54"/>
  <c r="AU18" i="54"/>
  <c r="AT18" i="54"/>
  <c r="AS18" i="54"/>
  <c r="AR18" i="54"/>
  <c r="AQ18" i="54"/>
  <c r="AQ92" i="54" s="1"/>
  <c r="AA2" i="54" s="1"/>
  <c r="AP18" i="54"/>
  <c r="AO18" i="54"/>
  <c r="AN18" i="54"/>
  <c r="AM18" i="54"/>
  <c r="BP16" i="54"/>
  <c r="BO16" i="54"/>
  <c r="BN16" i="54"/>
  <c r="BM16" i="54"/>
  <c r="BL16" i="54"/>
  <c r="BK16" i="54"/>
  <c r="BJ16" i="54"/>
  <c r="BJ92" i="54" s="1"/>
  <c r="F195" i="54" s="1"/>
  <c r="BI16" i="54"/>
  <c r="BH16" i="54"/>
  <c r="BG16" i="54"/>
  <c r="BF16" i="54"/>
  <c r="BE16" i="54"/>
  <c r="BD16" i="54"/>
  <c r="BC16" i="54"/>
  <c r="BB16" i="54"/>
  <c r="BB92" i="54" s="1"/>
  <c r="F192" i="54" s="1"/>
  <c r="BA16" i="54"/>
  <c r="AZ16" i="54"/>
  <c r="AY16" i="54"/>
  <c r="AX16" i="54"/>
  <c r="AW16" i="54"/>
  <c r="AV16" i="54"/>
  <c r="AU16" i="54"/>
  <c r="AT16" i="54"/>
  <c r="AT92" i="54" s="1"/>
  <c r="U8" i="54" s="1"/>
  <c r="AP8" i="54" s="1"/>
  <c r="AS16" i="54"/>
  <c r="AR16" i="54"/>
  <c r="AQ16" i="54"/>
  <c r="AP16" i="54"/>
  <c r="AO16" i="54"/>
  <c r="AN16" i="54"/>
  <c r="AM16" i="54"/>
  <c r="D277" i="53"/>
  <c r="D276" i="53"/>
  <c r="D275" i="53"/>
  <c r="BI34" i="53" s="1"/>
  <c r="B275" i="53"/>
  <c r="Q273" i="53"/>
  <c r="O273" i="53"/>
  <c r="M273" i="53"/>
  <c r="AZ272" i="53"/>
  <c r="AY272" i="53"/>
  <c r="AW272" i="53"/>
  <c r="AV272" i="53"/>
  <c r="AN272" i="53"/>
  <c r="Q272" i="53"/>
  <c r="O272" i="53"/>
  <c r="M272" i="53"/>
  <c r="AZ271" i="53"/>
  <c r="AY271" i="53"/>
  <c r="AW271" i="53"/>
  <c r="AV271" i="53"/>
  <c r="Q271" i="53"/>
  <c r="O271" i="53"/>
  <c r="M271" i="53"/>
  <c r="AZ270" i="53"/>
  <c r="AY270" i="53"/>
  <c r="AW270" i="53"/>
  <c r="AV270" i="53"/>
  <c r="AN270" i="53"/>
  <c r="Q270" i="53"/>
  <c r="O270" i="53"/>
  <c r="M270" i="53"/>
  <c r="AZ269" i="53"/>
  <c r="AY269" i="53"/>
  <c r="AW269" i="53"/>
  <c r="AV269" i="53"/>
  <c r="Q269" i="53"/>
  <c r="O269" i="53"/>
  <c r="M269" i="53"/>
  <c r="AZ268" i="53"/>
  <c r="AY268" i="53"/>
  <c r="AW268" i="53"/>
  <c r="AV268" i="53"/>
  <c r="AN268" i="53"/>
  <c r="Q268" i="53"/>
  <c r="O268" i="53"/>
  <c r="M268" i="53"/>
  <c r="AZ267" i="53"/>
  <c r="AY267" i="53"/>
  <c r="AW267" i="53"/>
  <c r="AV267" i="53"/>
  <c r="Q267" i="53"/>
  <c r="O267" i="53"/>
  <c r="M267" i="53"/>
  <c r="AZ266" i="53"/>
  <c r="AY266" i="53"/>
  <c r="AW266" i="53"/>
  <c r="AV266" i="53"/>
  <c r="AN266" i="53"/>
  <c r="Q266" i="53"/>
  <c r="O266" i="53"/>
  <c r="M266" i="53"/>
  <c r="AZ265" i="53"/>
  <c r="AY265" i="53"/>
  <c r="AW265" i="53"/>
  <c r="AV265" i="53"/>
  <c r="Q265" i="53"/>
  <c r="O265" i="53"/>
  <c r="M265" i="53"/>
  <c r="AZ264" i="53"/>
  <c r="AY264" i="53"/>
  <c r="AW264" i="53"/>
  <c r="AV264" i="53"/>
  <c r="AN264" i="53"/>
  <c r="Q264" i="53"/>
  <c r="O264" i="53"/>
  <c r="M264" i="53"/>
  <c r="AZ263" i="53"/>
  <c r="AY263" i="53"/>
  <c r="AW263" i="53"/>
  <c r="AV263" i="53"/>
  <c r="Q263" i="53"/>
  <c r="O263" i="53"/>
  <c r="M263" i="53"/>
  <c r="AZ262" i="53"/>
  <c r="AY262" i="53"/>
  <c r="AW262" i="53"/>
  <c r="AV262" i="53"/>
  <c r="AN262" i="53"/>
  <c r="Q262" i="53"/>
  <c r="O262" i="53"/>
  <c r="M262" i="53"/>
  <c r="AZ261" i="53"/>
  <c r="AY261" i="53"/>
  <c r="AW261" i="53"/>
  <c r="Q261" i="53"/>
  <c r="O261" i="53"/>
  <c r="M261" i="53"/>
  <c r="AZ260" i="53"/>
  <c r="AY260" i="53"/>
  <c r="AW260" i="53"/>
  <c r="AV260" i="53"/>
  <c r="AN260" i="53"/>
  <c r="Q260" i="53"/>
  <c r="O260" i="53"/>
  <c r="M260" i="53"/>
  <c r="AZ259" i="53"/>
  <c r="AY259" i="53"/>
  <c r="AW259" i="53"/>
  <c r="AV259" i="53"/>
  <c r="Q259" i="53"/>
  <c r="O259" i="53"/>
  <c r="M259" i="53"/>
  <c r="AZ258" i="53"/>
  <c r="AW258" i="53"/>
  <c r="AV258" i="53"/>
  <c r="AN258" i="53"/>
  <c r="Q258" i="53"/>
  <c r="O258" i="53"/>
  <c r="M258" i="53"/>
  <c r="AZ257" i="53"/>
  <c r="Q257" i="53"/>
  <c r="O257" i="53"/>
  <c r="M257" i="53"/>
  <c r="AZ256" i="53"/>
  <c r="AN256" i="53"/>
  <c r="Q256" i="53"/>
  <c r="O256" i="53"/>
  <c r="M256" i="53"/>
  <c r="AZ255" i="53"/>
  <c r="AV255" i="53"/>
  <c r="Q255" i="53"/>
  <c r="O255" i="53"/>
  <c r="M255" i="53"/>
  <c r="AZ254" i="53"/>
  <c r="AY254" i="53"/>
  <c r="AN254" i="53"/>
  <c r="Q254" i="53"/>
  <c r="O254" i="53"/>
  <c r="M254" i="53"/>
  <c r="AZ253" i="53"/>
  <c r="AY253" i="53"/>
  <c r="AW253" i="53"/>
  <c r="AV253" i="53"/>
  <c r="Q253" i="53"/>
  <c r="O253" i="53"/>
  <c r="M253" i="53"/>
  <c r="AZ252" i="53"/>
  <c r="AY252" i="53"/>
  <c r="AW252" i="53"/>
  <c r="AV252" i="53"/>
  <c r="AN252" i="53"/>
  <c r="Q252" i="53"/>
  <c r="O252" i="53"/>
  <c r="M252" i="53"/>
  <c r="AZ251" i="53"/>
  <c r="AY251" i="53"/>
  <c r="AW251" i="53"/>
  <c r="AV251" i="53"/>
  <c r="Q251" i="53"/>
  <c r="O251" i="53"/>
  <c r="M251" i="53"/>
  <c r="AZ250" i="53"/>
  <c r="AY250" i="53"/>
  <c r="AW250" i="53"/>
  <c r="AV250" i="53"/>
  <c r="AN250" i="53"/>
  <c r="Q250" i="53"/>
  <c r="O250" i="53"/>
  <c r="M250" i="53"/>
  <c r="AZ249" i="53"/>
  <c r="AY249" i="53"/>
  <c r="AW249" i="53"/>
  <c r="AV249" i="53"/>
  <c r="Q249" i="53"/>
  <c r="O249" i="53"/>
  <c r="M249" i="53"/>
  <c r="AZ248" i="53"/>
  <c r="AY248" i="53"/>
  <c r="AW248" i="53"/>
  <c r="AV248" i="53"/>
  <c r="AN248" i="53"/>
  <c r="Q248" i="53"/>
  <c r="O248" i="53"/>
  <c r="M248" i="53"/>
  <c r="AZ247" i="53"/>
  <c r="AY247" i="53"/>
  <c r="AW247" i="53"/>
  <c r="AV247" i="53"/>
  <c r="Q247" i="53"/>
  <c r="O247" i="53"/>
  <c r="M247" i="53"/>
  <c r="AZ246" i="53"/>
  <c r="AY246" i="53"/>
  <c r="AW246" i="53"/>
  <c r="AV246" i="53"/>
  <c r="AN246" i="53"/>
  <c r="Q246" i="53"/>
  <c r="O246" i="53"/>
  <c r="M246" i="53"/>
  <c r="AZ245" i="53"/>
  <c r="AY245" i="53"/>
  <c r="AW245" i="53"/>
  <c r="AV245" i="53"/>
  <c r="Q245" i="53"/>
  <c r="O245" i="53"/>
  <c r="M245" i="53"/>
  <c r="AZ244" i="53"/>
  <c r="AY244" i="53"/>
  <c r="AW244" i="53"/>
  <c r="AV244" i="53"/>
  <c r="AN244" i="53"/>
  <c r="Q244" i="53"/>
  <c r="O244" i="53"/>
  <c r="M244" i="53"/>
  <c r="AZ243" i="53"/>
  <c r="AY243" i="53"/>
  <c r="AW243" i="53"/>
  <c r="AV243" i="53"/>
  <c r="Q243" i="53"/>
  <c r="O243" i="53"/>
  <c r="M243" i="53"/>
  <c r="AZ242" i="53"/>
  <c r="AY242" i="53"/>
  <c r="AW242" i="53"/>
  <c r="AV242" i="53"/>
  <c r="AN242" i="53"/>
  <c r="Q242" i="53"/>
  <c r="O242" i="53"/>
  <c r="M242" i="53"/>
  <c r="AZ241" i="53"/>
  <c r="AY241" i="53"/>
  <c r="AW241" i="53"/>
  <c r="AV241" i="53"/>
  <c r="Q241" i="53"/>
  <c r="O241" i="53"/>
  <c r="M241" i="53"/>
  <c r="AZ240" i="53"/>
  <c r="AY240" i="53"/>
  <c r="AW240" i="53"/>
  <c r="AV240" i="53"/>
  <c r="AN240" i="53"/>
  <c r="Q240" i="53"/>
  <c r="O240" i="53"/>
  <c r="M240" i="53"/>
  <c r="AZ239" i="53"/>
  <c r="AY239" i="53"/>
  <c r="AW239" i="53"/>
  <c r="AV239" i="53"/>
  <c r="Q239" i="53"/>
  <c r="O239" i="53"/>
  <c r="M239" i="53"/>
  <c r="AZ238" i="53"/>
  <c r="AY238" i="53"/>
  <c r="AW238" i="53"/>
  <c r="AV238" i="53"/>
  <c r="AN238" i="53"/>
  <c r="Q238" i="53"/>
  <c r="O238" i="53"/>
  <c r="M238" i="53"/>
  <c r="AZ237" i="53"/>
  <c r="AY237" i="53"/>
  <c r="AW237" i="53"/>
  <c r="AV237" i="53"/>
  <c r="Q237" i="53"/>
  <c r="O237" i="53"/>
  <c r="M237" i="53"/>
  <c r="AZ236" i="53"/>
  <c r="AY236" i="53"/>
  <c r="AW236" i="53"/>
  <c r="AV236" i="53"/>
  <c r="AN236" i="53"/>
  <c r="Q236" i="53"/>
  <c r="O236" i="53"/>
  <c r="M236" i="53"/>
  <c r="AZ235" i="53"/>
  <c r="AY235" i="53"/>
  <c r="AW235" i="53"/>
  <c r="AV235" i="53"/>
  <c r="Q235" i="53"/>
  <c r="O235" i="53"/>
  <c r="M235" i="53"/>
  <c r="AZ234" i="53"/>
  <c r="AY234" i="53"/>
  <c r="AW234" i="53"/>
  <c r="AV234" i="53"/>
  <c r="AN234" i="53"/>
  <c r="Q234" i="53"/>
  <c r="Q275" i="53" s="1"/>
  <c r="O234" i="53"/>
  <c r="O275" i="53" s="1"/>
  <c r="AN92" i="53" s="1"/>
  <c r="D8" i="53" s="1"/>
  <c r="M234" i="53"/>
  <c r="AT234" i="53" s="1"/>
  <c r="H181" i="53"/>
  <c r="AV261" i="53" s="1"/>
  <c r="H180" i="53"/>
  <c r="H179" i="53"/>
  <c r="H178" i="53"/>
  <c r="AY258" i="53" s="1"/>
  <c r="H177" i="53"/>
  <c r="H176" i="53"/>
  <c r="AY257" i="53" s="1"/>
  <c r="H175" i="53"/>
  <c r="AY256" i="53" s="1"/>
  <c r="H174" i="53"/>
  <c r="H173" i="53"/>
  <c r="H172" i="53"/>
  <c r="AY255" i="53" s="1"/>
  <c r="H171" i="53"/>
  <c r="H170" i="53"/>
  <c r="AW254" i="53" s="1"/>
  <c r="H169" i="53"/>
  <c r="H168" i="53"/>
  <c r="H167" i="53"/>
  <c r="H166" i="53"/>
  <c r="H165" i="53"/>
  <c r="H164" i="53"/>
  <c r="H163" i="53"/>
  <c r="H162" i="53"/>
  <c r="H161" i="53"/>
  <c r="H160" i="53"/>
  <c r="H159" i="53"/>
  <c r="H158" i="53"/>
  <c r="H157" i="53"/>
  <c r="H156" i="53"/>
  <c r="H155" i="53"/>
  <c r="H154" i="53"/>
  <c r="H153" i="53"/>
  <c r="H152" i="53"/>
  <c r="H151" i="53"/>
  <c r="H150" i="53"/>
  <c r="H149" i="53"/>
  <c r="H148" i="53"/>
  <c r="H147" i="53"/>
  <c r="H146" i="53"/>
  <c r="H145" i="53"/>
  <c r="H144" i="53"/>
  <c r="H143" i="53"/>
  <c r="H142" i="53"/>
  <c r="H141" i="53"/>
  <c r="H140" i="53"/>
  <c r="H139" i="53"/>
  <c r="H138" i="53"/>
  <c r="H137" i="53"/>
  <c r="H136" i="53"/>
  <c r="H135" i="53"/>
  <c r="H134" i="53"/>
  <c r="H133" i="53"/>
  <c r="H132" i="53"/>
  <c r="H131" i="53"/>
  <c r="H130" i="53"/>
  <c r="H129" i="53"/>
  <c r="H128" i="53"/>
  <c r="H127" i="53"/>
  <c r="H126" i="53"/>
  <c r="H125" i="53"/>
  <c r="H124" i="53"/>
  <c r="H123" i="53"/>
  <c r="H122" i="53"/>
  <c r="H121" i="53"/>
  <c r="H120" i="53"/>
  <c r="H119" i="53"/>
  <c r="H118" i="53"/>
  <c r="H117" i="53"/>
  <c r="H116" i="53"/>
  <c r="H115" i="53"/>
  <c r="H114" i="53"/>
  <c r="H113" i="53"/>
  <c r="H112" i="53"/>
  <c r="H111" i="53"/>
  <c r="H110" i="53"/>
  <c r="H109" i="53"/>
  <c r="H108" i="53"/>
  <c r="H107" i="53"/>
  <c r="H106" i="53"/>
  <c r="H105" i="53"/>
  <c r="H104" i="53"/>
  <c r="H103" i="53"/>
  <c r="B188" i="53" s="1" a="1"/>
  <c r="B188" i="53" s="1"/>
  <c r="BU90" i="53"/>
  <c r="BT90" i="53"/>
  <c r="BS90" i="53"/>
  <c r="BS92" i="53" s="1"/>
  <c r="BR90" i="53"/>
  <c r="BQ90" i="53"/>
  <c r="BP90" i="53"/>
  <c r="BO90" i="53"/>
  <c r="BN90" i="53"/>
  <c r="BM90" i="53"/>
  <c r="BL90" i="53"/>
  <c r="BK90" i="53"/>
  <c r="AU90" i="53"/>
  <c r="AR90" i="53"/>
  <c r="AQ90" i="53"/>
  <c r="AO90" i="53"/>
  <c r="AN90" i="53"/>
  <c r="AM90" i="53"/>
  <c r="BQ89" i="53"/>
  <c r="BP89" i="53"/>
  <c r="BO89" i="53"/>
  <c r="BN89" i="53"/>
  <c r="BM89" i="53"/>
  <c r="BL89" i="53"/>
  <c r="BK89" i="53"/>
  <c r="AU89" i="53"/>
  <c r="AR89" i="53"/>
  <c r="AQ89" i="53"/>
  <c r="AO89" i="53"/>
  <c r="AN89" i="53"/>
  <c r="AM89" i="53"/>
  <c r="BU88" i="53"/>
  <c r="BT88" i="53"/>
  <c r="BS88" i="53"/>
  <c r="BR88" i="53"/>
  <c r="BQ88" i="53"/>
  <c r="BP88" i="53"/>
  <c r="BO88" i="53"/>
  <c r="BN88" i="53"/>
  <c r="BM88" i="53"/>
  <c r="BL88" i="53"/>
  <c r="BK88" i="53"/>
  <c r="AU88" i="53"/>
  <c r="AR88" i="53"/>
  <c r="AQ88" i="53"/>
  <c r="AO88" i="53"/>
  <c r="AN88" i="53"/>
  <c r="AM88" i="53"/>
  <c r="BQ87" i="53"/>
  <c r="BQ92" i="53" s="1"/>
  <c r="BP87" i="53"/>
  <c r="BO87" i="53"/>
  <c r="BN87" i="53"/>
  <c r="BM87" i="53"/>
  <c r="BL87" i="53"/>
  <c r="BK87" i="53"/>
  <c r="AU87" i="53"/>
  <c r="AR87" i="53"/>
  <c r="AQ87" i="53"/>
  <c r="AO87" i="53"/>
  <c r="AN87" i="53"/>
  <c r="AM87" i="53"/>
  <c r="BU86" i="53"/>
  <c r="BU92" i="53" s="1"/>
  <c r="BT86" i="53"/>
  <c r="BT92" i="53" s="1"/>
  <c r="BS86" i="53"/>
  <c r="BR86" i="53"/>
  <c r="BR92" i="53" s="1"/>
  <c r="BQ86" i="53"/>
  <c r="BP86" i="53"/>
  <c r="BO86" i="53"/>
  <c r="BN86" i="53"/>
  <c r="BM86" i="53"/>
  <c r="BL86" i="53"/>
  <c r="BK86" i="53"/>
  <c r="AU86" i="53"/>
  <c r="AR86" i="53"/>
  <c r="AQ86" i="53"/>
  <c r="AO86" i="53"/>
  <c r="AN86" i="53"/>
  <c r="AM86" i="53"/>
  <c r="BP82" i="53"/>
  <c r="BO82" i="53"/>
  <c r="BN82" i="53"/>
  <c r="BM82" i="53"/>
  <c r="BL82" i="53"/>
  <c r="BK82" i="53"/>
  <c r="BJ82" i="53"/>
  <c r="BI82" i="53"/>
  <c r="BH82" i="53"/>
  <c r="BG82" i="53"/>
  <c r="BF82" i="53"/>
  <c r="BE82" i="53"/>
  <c r="BD82" i="53"/>
  <c r="BC82" i="53"/>
  <c r="BB82" i="53"/>
  <c r="BA82" i="53"/>
  <c r="AZ82" i="53"/>
  <c r="AY82" i="53"/>
  <c r="AX82" i="53"/>
  <c r="AW82" i="53"/>
  <c r="AV82" i="53"/>
  <c r="AU82" i="53"/>
  <c r="AT82" i="53"/>
  <c r="AS82" i="53"/>
  <c r="AR82" i="53"/>
  <c r="AQ82" i="53"/>
  <c r="AP82" i="53"/>
  <c r="AO82" i="53"/>
  <c r="AN82" i="53"/>
  <c r="AM82" i="53"/>
  <c r="BP80" i="53"/>
  <c r="BO80" i="53"/>
  <c r="BN80" i="53"/>
  <c r="BM80" i="53"/>
  <c r="BL80" i="53"/>
  <c r="BK80" i="53"/>
  <c r="BJ80" i="53"/>
  <c r="BI80" i="53"/>
  <c r="BH80" i="53"/>
  <c r="BG80" i="53"/>
  <c r="BF80" i="53"/>
  <c r="BE80" i="53"/>
  <c r="BD80" i="53"/>
  <c r="BC80" i="53"/>
  <c r="BB80" i="53"/>
  <c r="BA80" i="53"/>
  <c r="AZ80" i="53"/>
  <c r="AY80" i="53"/>
  <c r="AX80" i="53"/>
  <c r="AW80" i="53"/>
  <c r="AV80" i="53"/>
  <c r="AU80" i="53"/>
  <c r="AT80" i="53"/>
  <c r="AS80" i="53"/>
  <c r="AR80" i="53"/>
  <c r="AQ80" i="53"/>
  <c r="AP80" i="53"/>
  <c r="AO80" i="53"/>
  <c r="AN80" i="53"/>
  <c r="AM80" i="53"/>
  <c r="BP78" i="53"/>
  <c r="BO78" i="53"/>
  <c r="BN78" i="53"/>
  <c r="BM78" i="53"/>
  <c r="BL78" i="53"/>
  <c r="BK78" i="53"/>
  <c r="BJ78" i="53"/>
  <c r="BI78" i="53"/>
  <c r="BH78" i="53"/>
  <c r="BG78" i="53"/>
  <c r="BF78" i="53"/>
  <c r="BE78" i="53"/>
  <c r="BD78" i="53"/>
  <c r="BC78" i="53"/>
  <c r="BB78" i="53"/>
  <c r="BA78" i="53"/>
  <c r="AZ78" i="53"/>
  <c r="AY78" i="53"/>
  <c r="AX78" i="53"/>
  <c r="AW78" i="53"/>
  <c r="AV78" i="53"/>
  <c r="AU78" i="53"/>
  <c r="AT78" i="53"/>
  <c r="AS78" i="53"/>
  <c r="AR78" i="53"/>
  <c r="AQ78" i="53"/>
  <c r="AP78" i="53"/>
  <c r="AO78" i="53"/>
  <c r="AN78" i="53"/>
  <c r="AM78" i="53"/>
  <c r="BP74" i="53"/>
  <c r="BO74" i="53"/>
  <c r="BN74" i="53"/>
  <c r="BM74" i="53"/>
  <c r="BL74" i="53"/>
  <c r="BK74" i="53"/>
  <c r="BJ74" i="53"/>
  <c r="BI74" i="53"/>
  <c r="BH74" i="53"/>
  <c r="BG74" i="53"/>
  <c r="BF74" i="53"/>
  <c r="BE74" i="53"/>
  <c r="BD74" i="53"/>
  <c r="BC74" i="53"/>
  <c r="BB74" i="53"/>
  <c r="BA74" i="53"/>
  <c r="AZ74" i="53"/>
  <c r="AY74" i="53"/>
  <c r="AX74" i="53"/>
  <c r="AW74" i="53"/>
  <c r="AV74" i="53"/>
  <c r="AU74" i="53"/>
  <c r="AT74" i="53"/>
  <c r="AS74" i="53"/>
  <c r="AR74" i="53"/>
  <c r="AQ74" i="53"/>
  <c r="AP74" i="53"/>
  <c r="AO74" i="53"/>
  <c r="AN74" i="53"/>
  <c r="AM74" i="53"/>
  <c r="BP72" i="53"/>
  <c r="BO72" i="53"/>
  <c r="BN72" i="53"/>
  <c r="BM72" i="53"/>
  <c r="BL72" i="53"/>
  <c r="BK72" i="53"/>
  <c r="BJ72" i="53"/>
  <c r="BI72" i="53"/>
  <c r="BH72" i="53"/>
  <c r="BG72" i="53"/>
  <c r="BF72" i="53"/>
  <c r="BE72" i="53"/>
  <c r="BD72" i="53"/>
  <c r="BC72" i="53"/>
  <c r="BB72" i="53"/>
  <c r="BA72" i="53"/>
  <c r="AZ72" i="53"/>
  <c r="AY72" i="53"/>
  <c r="AX72" i="53"/>
  <c r="AW72" i="53"/>
  <c r="AV72" i="53"/>
  <c r="AU72" i="53"/>
  <c r="AT72" i="53"/>
  <c r="AS72" i="53"/>
  <c r="AR72" i="53"/>
  <c r="AQ72" i="53"/>
  <c r="AP72" i="53"/>
  <c r="AO72" i="53"/>
  <c r="AN72" i="53"/>
  <c r="AM72" i="53"/>
  <c r="BP70" i="53"/>
  <c r="BO70" i="53"/>
  <c r="BN70" i="53"/>
  <c r="BM70" i="53"/>
  <c r="BL70" i="53"/>
  <c r="BK70" i="53"/>
  <c r="BJ70" i="53"/>
  <c r="BI70" i="53"/>
  <c r="BH70" i="53"/>
  <c r="BG70" i="53"/>
  <c r="BF70" i="53"/>
  <c r="BE70" i="53"/>
  <c r="BD70" i="53"/>
  <c r="BC70" i="53"/>
  <c r="BB70" i="53"/>
  <c r="BA70" i="53"/>
  <c r="AZ70" i="53"/>
  <c r="AY70" i="53"/>
  <c r="AX70" i="53"/>
  <c r="AW70" i="53"/>
  <c r="AV70" i="53"/>
  <c r="AU70" i="53"/>
  <c r="AT70" i="53"/>
  <c r="AS70" i="53"/>
  <c r="AR70" i="53"/>
  <c r="AQ70" i="53"/>
  <c r="AP70" i="53"/>
  <c r="AO70" i="53"/>
  <c r="AN70" i="53"/>
  <c r="AM70" i="53"/>
  <c r="BP66" i="53"/>
  <c r="BO66" i="53"/>
  <c r="BN66" i="53"/>
  <c r="BM66" i="53"/>
  <c r="BL66" i="53"/>
  <c r="BK66" i="53"/>
  <c r="BJ66" i="53"/>
  <c r="BI66" i="53"/>
  <c r="BH66" i="53"/>
  <c r="BG66" i="53"/>
  <c r="BF66" i="53"/>
  <c r="BE66" i="53"/>
  <c r="BD66" i="53"/>
  <c r="BC66" i="53"/>
  <c r="BB66" i="53"/>
  <c r="BA66" i="53"/>
  <c r="AZ66" i="53"/>
  <c r="AY66" i="53"/>
  <c r="AX66" i="53"/>
  <c r="AW66" i="53"/>
  <c r="AV66" i="53"/>
  <c r="AU66" i="53"/>
  <c r="AT66" i="53"/>
  <c r="AS66" i="53"/>
  <c r="AR66" i="53"/>
  <c r="AQ66" i="53"/>
  <c r="AP66" i="53"/>
  <c r="AO66" i="53"/>
  <c r="AN66" i="53"/>
  <c r="AM66" i="53"/>
  <c r="BP64" i="53"/>
  <c r="BO64" i="53"/>
  <c r="BN64" i="53"/>
  <c r="BM64" i="53"/>
  <c r="BL64" i="53"/>
  <c r="BK64" i="53"/>
  <c r="BJ64" i="53"/>
  <c r="BI64" i="53"/>
  <c r="BH64" i="53"/>
  <c r="BG64" i="53"/>
  <c r="BF64" i="53"/>
  <c r="BE64" i="53"/>
  <c r="BD64" i="53"/>
  <c r="BC64" i="53"/>
  <c r="BB64" i="53"/>
  <c r="BA64" i="53"/>
  <c r="AZ64" i="53"/>
  <c r="AY64" i="53"/>
  <c r="AX64" i="53"/>
  <c r="AW64" i="53"/>
  <c r="AV64" i="53"/>
  <c r="AU64" i="53"/>
  <c r="AT64" i="53"/>
  <c r="AS64" i="53"/>
  <c r="AR64" i="53"/>
  <c r="AQ64" i="53"/>
  <c r="AP64" i="53"/>
  <c r="AO64" i="53"/>
  <c r="AN64" i="53"/>
  <c r="AM64" i="53"/>
  <c r="BP62" i="53"/>
  <c r="BO62" i="53"/>
  <c r="BN62" i="53"/>
  <c r="BM62" i="53"/>
  <c r="BL62" i="53"/>
  <c r="BK62" i="53"/>
  <c r="BJ62" i="53"/>
  <c r="BI62" i="53"/>
  <c r="BH62" i="53"/>
  <c r="BG62" i="53"/>
  <c r="BF62" i="53"/>
  <c r="BE62" i="53"/>
  <c r="BD62" i="53"/>
  <c r="BC62" i="53"/>
  <c r="BB62" i="53"/>
  <c r="BA62" i="53"/>
  <c r="AZ62" i="53"/>
  <c r="AY62" i="53"/>
  <c r="AX62" i="53"/>
  <c r="AW62" i="53"/>
  <c r="AV62" i="53"/>
  <c r="AU62" i="53"/>
  <c r="AT62" i="53"/>
  <c r="AS62" i="53"/>
  <c r="AR62" i="53"/>
  <c r="AQ62" i="53"/>
  <c r="AP62" i="53"/>
  <c r="AO62" i="53"/>
  <c r="AN62" i="53"/>
  <c r="AM62" i="53"/>
  <c r="BP60" i="53"/>
  <c r="BO60" i="53"/>
  <c r="BN60" i="53"/>
  <c r="BM60" i="53"/>
  <c r="BL60" i="53"/>
  <c r="BK60" i="53"/>
  <c r="BJ60" i="53"/>
  <c r="BI60" i="53"/>
  <c r="BH60" i="53"/>
  <c r="BG60" i="53"/>
  <c r="BF60" i="53"/>
  <c r="BE60" i="53"/>
  <c r="BD60" i="53"/>
  <c r="BC60" i="53"/>
  <c r="BB60" i="53"/>
  <c r="BA60" i="53"/>
  <c r="AZ60" i="53"/>
  <c r="AY60" i="53"/>
  <c r="AX60" i="53"/>
  <c r="AW60" i="53"/>
  <c r="AV60" i="53"/>
  <c r="AU60" i="53"/>
  <c r="AT60" i="53"/>
  <c r="AS60" i="53"/>
  <c r="AR60" i="53"/>
  <c r="AQ60" i="53"/>
  <c r="AP60" i="53"/>
  <c r="AO60" i="53"/>
  <c r="AN60" i="53"/>
  <c r="AM60" i="53"/>
  <c r="BP58" i="53"/>
  <c r="BO58" i="53"/>
  <c r="BN58" i="53"/>
  <c r="BM58" i="53"/>
  <c r="BL58" i="53"/>
  <c r="BK58" i="53"/>
  <c r="BJ58" i="53"/>
  <c r="BI58" i="53"/>
  <c r="BH58" i="53"/>
  <c r="BG58" i="53"/>
  <c r="BF58" i="53"/>
  <c r="BE58" i="53"/>
  <c r="BD58" i="53"/>
  <c r="BC58" i="53"/>
  <c r="BB58" i="53"/>
  <c r="BA58" i="53"/>
  <c r="AZ58" i="53"/>
  <c r="AY58" i="53"/>
  <c r="AX58" i="53"/>
  <c r="AW58" i="53"/>
  <c r="AV58" i="53"/>
  <c r="AU58" i="53"/>
  <c r="AT58" i="53"/>
  <c r="AS58" i="53"/>
  <c r="AR58" i="53"/>
  <c r="AQ58" i="53"/>
  <c r="AP58" i="53"/>
  <c r="AO58" i="53"/>
  <c r="AN58" i="53"/>
  <c r="AM58" i="53"/>
  <c r="BP56" i="53"/>
  <c r="BO56" i="53"/>
  <c r="BN56" i="53"/>
  <c r="BM56" i="53"/>
  <c r="BL56" i="53"/>
  <c r="BK56" i="53"/>
  <c r="BJ56" i="53"/>
  <c r="BI56" i="53"/>
  <c r="BH56" i="53"/>
  <c r="BG56" i="53"/>
  <c r="BF56" i="53"/>
  <c r="BE56" i="53"/>
  <c r="BD56" i="53"/>
  <c r="BC56" i="53"/>
  <c r="BB56" i="53"/>
  <c r="BA56" i="53"/>
  <c r="AZ56" i="53"/>
  <c r="AY56" i="53"/>
  <c r="AX56" i="53"/>
  <c r="AW56" i="53"/>
  <c r="AV56" i="53"/>
  <c r="AU56" i="53"/>
  <c r="AT56" i="53"/>
  <c r="AS56" i="53"/>
  <c r="AR56" i="53"/>
  <c r="AQ56" i="53"/>
  <c r="AP56" i="53"/>
  <c r="AO56" i="53"/>
  <c r="AN56" i="53"/>
  <c r="AM56" i="53"/>
  <c r="BP54" i="53"/>
  <c r="BO54" i="53"/>
  <c r="BN54" i="53"/>
  <c r="BM54" i="53"/>
  <c r="BL54" i="53"/>
  <c r="BK54" i="53"/>
  <c r="BJ54" i="53"/>
  <c r="BI54" i="53"/>
  <c r="BH54" i="53"/>
  <c r="BG54" i="53"/>
  <c r="BF54" i="53"/>
  <c r="BE54" i="53"/>
  <c r="BD54" i="53"/>
  <c r="BC54" i="53"/>
  <c r="BB54" i="53"/>
  <c r="BA54" i="53"/>
  <c r="AZ54" i="53"/>
  <c r="AY54" i="53"/>
  <c r="AX54" i="53"/>
  <c r="AW54" i="53"/>
  <c r="AV54" i="53"/>
  <c r="AU54" i="53"/>
  <c r="AT54" i="53"/>
  <c r="AS54" i="53"/>
  <c r="AR54" i="53"/>
  <c r="AQ54" i="53"/>
  <c r="AP54" i="53"/>
  <c r="AO54" i="53"/>
  <c r="AN54" i="53"/>
  <c r="AM54" i="53"/>
  <c r="BP52" i="53"/>
  <c r="BO52" i="53"/>
  <c r="BN52" i="53"/>
  <c r="BM52" i="53"/>
  <c r="BL52" i="53"/>
  <c r="BK52" i="53"/>
  <c r="BJ52" i="53"/>
  <c r="BI52" i="53"/>
  <c r="BH52" i="53"/>
  <c r="BG52" i="53"/>
  <c r="BF52" i="53"/>
  <c r="BE52" i="53"/>
  <c r="BD52" i="53"/>
  <c r="BC52" i="53"/>
  <c r="BB52" i="53"/>
  <c r="BA52" i="53"/>
  <c r="AZ52" i="53"/>
  <c r="AY52" i="53"/>
  <c r="AX52" i="53"/>
  <c r="AW52" i="53"/>
  <c r="AV52" i="53"/>
  <c r="AU52" i="53"/>
  <c r="AT52" i="53"/>
  <c r="AS52" i="53"/>
  <c r="AR52" i="53"/>
  <c r="AQ52" i="53"/>
  <c r="AP52" i="53"/>
  <c r="AO52" i="53"/>
  <c r="AN52" i="53"/>
  <c r="AM52" i="53"/>
  <c r="BP50" i="53"/>
  <c r="BO50" i="53"/>
  <c r="BN50" i="53"/>
  <c r="BM50" i="53"/>
  <c r="BL50" i="53"/>
  <c r="BK50" i="53"/>
  <c r="BJ50" i="53"/>
  <c r="BI50" i="53"/>
  <c r="BH50" i="53"/>
  <c r="BG50" i="53"/>
  <c r="BF50" i="53"/>
  <c r="BE50" i="53"/>
  <c r="BD50" i="53"/>
  <c r="BC50" i="53"/>
  <c r="BB50" i="53"/>
  <c r="BA50" i="53"/>
  <c r="AZ50" i="53"/>
  <c r="AY50" i="53"/>
  <c r="AX50" i="53"/>
  <c r="AW50" i="53"/>
  <c r="AV50" i="53"/>
  <c r="AU50" i="53"/>
  <c r="AT50" i="53"/>
  <c r="AS50" i="53"/>
  <c r="AR50" i="53"/>
  <c r="AQ50" i="53"/>
  <c r="AP50" i="53"/>
  <c r="AO50" i="53"/>
  <c r="AN50" i="53"/>
  <c r="AM50" i="53"/>
  <c r="BP48" i="53"/>
  <c r="BO48" i="53"/>
  <c r="BN48" i="53"/>
  <c r="BM48" i="53"/>
  <c r="BL48" i="53"/>
  <c r="BK48" i="53"/>
  <c r="BJ48" i="53"/>
  <c r="BI48" i="53"/>
  <c r="BH48" i="53"/>
  <c r="BG48" i="53"/>
  <c r="BF48" i="53"/>
  <c r="BE48" i="53"/>
  <c r="BD48" i="53"/>
  <c r="BC48" i="53"/>
  <c r="BB48" i="53"/>
  <c r="BA48" i="53"/>
  <c r="AZ48" i="53"/>
  <c r="AY48" i="53"/>
  <c r="AX48" i="53"/>
  <c r="AW48" i="53"/>
  <c r="AV48" i="53"/>
  <c r="AU48" i="53"/>
  <c r="AT48" i="53"/>
  <c r="AS48" i="53"/>
  <c r="AR48" i="53"/>
  <c r="AQ48" i="53"/>
  <c r="AP48" i="53"/>
  <c r="AO48" i="53"/>
  <c r="AN48" i="53"/>
  <c r="AM48" i="53"/>
  <c r="BP46" i="53"/>
  <c r="BO46" i="53"/>
  <c r="BN46" i="53"/>
  <c r="BM46" i="53"/>
  <c r="BL46" i="53"/>
  <c r="BK46" i="53"/>
  <c r="BJ46" i="53"/>
  <c r="BI46" i="53"/>
  <c r="BH46" i="53"/>
  <c r="BG46" i="53"/>
  <c r="BF46" i="53"/>
  <c r="BE46" i="53"/>
  <c r="BD46" i="53"/>
  <c r="BC46" i="53"/>
  <c r="BB46" i="53"/>
  <c r="BA46" i="53"/>
  <c r="AZ46" i="53"/>
  <c r="AY46" i="53"/>
  <c r="AX46" i="53"/>
  <c r="AW46" i="53"/>
  <c r="AV46" i="53"/>
  <c r="AU46" i="53"/>
  <c r="AT46" i="53"/>
  <c r="AS46" i="53"/>
  <c r="AR46" i="53"/>
  <c r="AQ46" i="53"/>
  <c r="AP46" i="53"/>
  <c r="AO46" i="53"/>
  <c r="AN46" i="53"/>
  <c r="AM46" i="53"/>
  <c r="BP44" i="53"/>
  <c r="BO44" i="53"/>
  <c r="BN44" i="53"/>
  <c r="BM44" i="53"/>
  <c r="BL44" i="53"/>
  <c r="BK44" i="53"/>
  <c r="BJ44" i="53"/>
  <c r="BI44" i="53"/>
  <c r="BH44" i="53"/>
  <c r="BG44" i="53"/>
  <c r="BF44" i="53"/>
  <c r="BE44" i="53"/>
  <c r="BD44" i="53"/>
  <c r="BC44" i="53"/>
  <c r="BB44" i="53"/>
  <c r="BA44" i="53"/>
  <c r="AZ44" i="53"/>
  <c r="AY44" i="53"/>
  <c r="AX44" i="53"/>
  <c r="AW44" i="53"/>
  <c r="AV44" i="53"/>
  <c r="AU44" i="53"/>
  <c r="AT44" i="53"/>
  <c r="AS44" i="53"/>
  <c r="AR44" i="53"/>
  <c r="AQ44" i="53"/>
  <c r="AP44" i="53"/>
  <c r="AO44" i="53"/>
  <c r="AN44" i="53"/>
  <c r="AM44" i="53"/>
  <c r="BP42" i="53"/>
  <c r="BO42" i="53"/>
  <c r="BN42" i="53"/>
  <c r="BM42" i="53"/>
  <c r="BL42" i="53"/>
  <c r="BK42" i="53"/>
  <c r="BJ42" i="53"/>
  <c r="BI42" i="53"/>
  <c r="BH42" i="53"/>
  <c r="BG42" i="53"/>
  <c r="BF42" i="53"/>
  <c r="BE42" i="53"/>
  <c r="BD42" i="53"/>
  <c r="BC42" i="53"/>
  <c r="BB42" i="53"/>
  <c r="BA42" i="53"/>
  <c r="AZ42" i="53"/>
  <c r="AY42" i="53"/>
  <c r="AX42" i="53"/>
  <c r="AW42" i="53"/>
  <c r="AV42" i="53"/>
  <c r="AU42" i="53"/>
  <c r="AT42" i="53"/>
  <c r="AS42" i="53"/>
  <c r="AR42" i="53"/>
  <c r="AQ42" i="53"/>
  <c r="AP42" i="53"/>
  <c r="AO42" i="53"/>
  <c r="AN42" i="53"/>
  <c r="AM42" i="53"/>
  <c r="BP40" i="53"/>
  <c r="BO40" i="53"/>
  <c r="BN40" i="53"/>
  <c r="BM40" i="53"/>
  <c r="BL40" i="53"/>
  <c r="BK40" i="53"/>
  <c r="BJ40" i="53"/>
  <c r="BI40" i="53"/>
  <c r="BH40" i="53"/>
  <c r="BG40" i="53"/>
  <c r="BF40" i="53"/>
  <c r="BE40" i="53"/>
  <c r="BD40" i="53"/>
  <c r="BC40" i="53"/>
  <c r="BB40" i="53"/>
  <c r="BA40" i="53"/>
  <c r="AZ40" i="53"/>
  <c r="AY40" i="53"/>
  <c r="AX40" i="53"/>
  <c r="AW40" i="53"/>
  <c r="AV40" i="53"/>
  <c r="AU40" i="53"/>
  <c r="AT40" i="53"/>
  <c r="AS40" i="53"/>
  <c r="AR40" i="53"/>
  <c r="AQ40" i="53"/>
  <c r="AP40" i="53"/>
  <c r="AO40" i="53"/>
  <c r="AN40" i="53"/>
  <c r="AM40" i="53"/>
  <c r="CH38" i="53"/>
  <c r="CG38" i="53"/>
  <c r="CF38" i="53"/>
  <c r="CE38" i="53"/>
  <c r="CD38" i="53"/>
  <c r="CC38" i="53"/>
  <c r="CB38" i="53"/>
  <c r="CA38" i="53"/>
  <c r="BL92" i="53" s="1"/>
  <c r="BZ38" i="53"/>
  <c r="BY38" i="53"/>
  <c r="BX38" i="53"/>
  <c r="BW38" i="53"/>
  <c r="BV38" i="53"/>
  <c r="BP38" i="53"/>
  <c r="BO38" i="53"/>
  <c r="BN38" i="53"/>
  <c r="BM38" i="53"/>
  <c r="BL38" i="53"/>
  <c r="BK38" i="53"/>
  <c r="BJ38" i="53"/>
  <c r="BI38" i="53"/>
  <c r="BH38" i="53"/>
  <c r="BG38" i="53"/>
  <c r="BF38" i="53"/>
  <c r="BE38" i="53"/>
  <c r="BD38" i="53"/>
  <c r="BC38" i="53"/>
  <c r="BB38" i="53"/>
  <c r="BA38" i="53"/>
  <c r="AZ38" i="53"/>
  <c r="AY38" i="53"/>
  <c r="AX38" i="53"/>
  <c r="AW38" i="53"/>
  <c r="AV38" i="53"/>
  <c r="AU38" i="53"/>
  <c r="AT38" i="53"/>
  <c r="AS38" i="53"/>
  <c r="AR38" i="53"/>
  <c r="AQ38" i="53"/>
  <c r="AP38" i="53"/>
  <c r="AO38" i="53"/>
  <c r="AN38" i="53"/>
  <c r="AM38" i="53"/>
  <c r="BP36" i="53"/>
  <c r="BO36" i="53"/>
  <c r="BN36" i="53"/>
  <c r="BM36" i="53"/>
  <c r="BL36" i="53"/>
  <c r="BK36" i="53"/>
  <c r="BJ36" i="53"/>
  <c r="BI36" i="53"/>
  <c r="BH36" i="53"/>
  <c r="BG36" i="53"/>
  <c r="BF36" i="53"/>
  <c r="BE36" i="53"/>
  <c r="BD36" i="53"/>
  <c r="BC36" i="53"/>
  <c r="BB36" i="53"/>
  <c r="BA36" i="53"/>
  <c r="AZ36" i="53"/>
  <c r="AY36" i="53"/>
  <c r="AX36" i="53"/>
  <c r="AW36" i="53"/>
  <c r="AV36" i="53"/>
  <c r="AU36" i="53"/>
  <c r="AT36" i="53"/>
  <c r="AS36" i="53"/>
  <c r="AR36" i="53"/>
  <c r="AQ36" i="53"/>
  <c r="AP36" i="53"/>
  <c r="AO36" i="53"/>
  <c r="AN36" i="53"/>
  <c r="AM36" i="53"/>
  <c r="BL34" i="53"/>
  <c r="BK34" i="53"/>
  <c r="BJ34" i="53"/>
  <c r="BD34" i="53"/>
  <c r="BC34" i="53"/>
  <c r="BB34" i="53"/>
  <c r="AV34" i="53"/>
  <c r="AU34" i="53"/>
  <c r="AT34" i="53"/>
  <c r="AP34" i="53"/>
  <c r="AO34" i="53"/>
  <c r="AN34" i="53"/>
  <c r="AM34" i="53"/>
  <c r="BP32" i="53"/>
  <c r="BO32" i="53"/>
  <c r="BN32" i="53"/>
  <c r="BM32" i="53"/>
  <c r="BL32" i="53"/>
  <c r="BK32" i="53"/>
  <c r="BJ32" i="53"/>
  <c r="BI32" i="53"/>
  <c r="BH32" i="53"/>
  <c r="BG32" i="53"/>
  <c r="BF32" i="53"/>
  <c r="BE32" i="53"/>
  <c r="BD32" i="53"/>
  <c r="BC32" i="53"/>
  <c r="BB32" i="53"/>
  <c r="BA32" i="53"/>
  <c r="AZ32" i="53"/>
  <c r="AY32" i="53"/>
  <c r="AX32" i="53"/>
  <c r="AW32" i="53"/>
  <c r="AV32" i="53"/>
  <c r="AU32" i="53"/>
  <c r="AT32" i="53"/>
  <c r="AS32" i="53"/>
  <c r="AR32" i="53"/>
  <c r="AQ32" i="53"/>
  <c r="AP32" i="53"/>
  <c r="AO32" i="53"/>
  <c r="AN32" i="53"/>
  <c r="AM32" i="53"/>
  <c r="BY30" i="53"/>
  <c r="BX30" i="53"/>
  <c r="BW30" i="53"/>
  <c r="BV30" i="53"/>
  <c r="BP30" i="53"/>
  <c r="BO30" i="53"/>
  <c r="BN30" i="53"/>
  <c r="BM30" i="53"/>
  <c r="BL30" i="53"/>
  <c r="BK30" i="53"/>
  <c r="BJ30" i="53"/>
  <c r="BI30" i="53"/>
  <c r="BH30" i="53"/>
  <c r="BG30" i="53"/>
  <c r="BF30" i="53"/>
  <c r="BE30" i="53"/>
  <c r="BD30" i="53"/>
  <c r="BC30" i="53"/>
  <c r="BB30" i="53"/>
  <c r="BA30" i="53"/>
  <c r="AZ30" i="53"/>
  <c r="AY30" i="53"/>
  <c r="AX30" i="53"/>
  <c r="AW30" i="53"/>
  <c r="AV30" i="53"/>
  <c r="AU30" i="53"/>
  <c r="AT30" i="53"/>
  <c r="AS30" i="53"/>
  <c r="AR30" i="53"/>
  <c r="AQ30" i="53"/>
  <c r="AP30" i="53"/>
  <c r="AO30" i="53"/>
  <c r="AN30" i="53"/>
  <c r="AM30" i="53"/>
  <c r="BV29" i="53"/>
  <c r="BY28" i="53"/>
  <c r="BX28" i="53"/>
  <c r="BW28" i="53"/>
  <c r="BV28" i="53"/>
  <c r="BP28" i="53"/>
  <c r="BO28" i="53"/>
  <c r="BN28" i="53"/>
  <c r="BM28" i="53"/>
  <c r="BL28" i="53"/>
  <c r="BK28" i="53"/>
  <c r="BJ28" i="53"/>
  <c r="BI28" i="53"/>
  <c r="BH28" i="53"/>
  <c r="BG28" i="53"/>
  <c r="BF28" i="53"/>
  <c r="BE28" i="53"/>
  <c r="BD28" i="53"/>
  <c r="BC28" i="53"/>
  <c r="BB28" i="53"/>
  <c r="BA28" i="53"/>
  <c r="AZ28" i="53"/>
  <c r="AY28" i="53"/>
  <c r="AX28" i="53"/>
  <c r="AW28" i="53"/>
  <c r="AV28" i="53"/>
  <c r="AU28" i="53"/>
  <c r="AT28" i="53"/>
  <c r="AS28" i="53"/>
  <c r="AR28" i="53"/>
  <c r="AQ28" i="53"/>
  <c r="AP28" i="53"/>
  <c r="AO28" i="53"/>
  <c r="AN28" i="53"/>
  <c r="AM28" i="53"/>
  <c r="BV27" i="53"/>
  <c r="BY26" i="53"/>
  <c r="BY32" i="53" s="1"/>
  <c r="AP92" i="53" s="1"/>
  <c r="U6" i="53" s="1"/>
  <c r="BX26" i="53"/>
  <c r="BX32" i="53" s="1"/>
  <c r="BW26" i="53"/>
  <c r="BW32" i="53" s="1"/>
  <c r="BV26" i="53"/>
  <c r="BV32" i="53" s="1"/>
  <c r="BP26" i="53"/>
  <c r="BO26" i="53"/>
  <c r="BN26" i="53"/>
  <c r="BM26" i="53"/>
  <c r="BL26" i="53"/>
  <c r="BK26" i="53"/>
  <c r="BJ26" i="53"/>
  <c r="BI26" i="53"/>
  <c r="BH26" i="53"/>
  <c r="BG26" i="53"/>
  <c r="BF26" i="53"/>
  <c r="BE26" i="53"/>
  <c r="BD26" i="53"/>
  <c r="BC26" i="53"/>
  <c r="BB26" i="53"/>
  <c r="BA26" i="53"/>
  <c r="AZ26" i="53"/>
  <c r="AY26" i="53"/>
  <c r="AX26" i="53"/>
  <c r="AW26" i="53"/>
  <c r="AV26" i="53"/>
  <c r="AU26" i="53"/>
  <c r="AT26" i="53"/>
  <c r="AS26" i="53"/>
  <c r="AR26" i="53"/>
  <c r="AQ26" i="53"/>
  <c r="AP26" i="53"/>
  <c r="AO26" i="53"/>
  <c r="AN26" i="53"/>
  <c r="AM26" i="53"/>
  <c r="BP24" i="53"/>
  <c r="BO24" i="53"/>
  <c r="BN24" i="53"/>
  <c r="BM24" i="53"/>
  <c r="BL24" i="53"/>
  <c r="BK24" i="53"/>
  <c r="BJ24" i="53"/>
  <c r="BI24" i="53"/>
  <c r="BH24" i="53"/>
  <c r="BG24" i="53"/>
  <c r="BF24" i="53"/>
  <c r="BE24" i="53"/>
  <c r="BD24" i="53"/>
  <c r="BC24" i="53"/>
  <c r="BB24" i="53"/>
  <c r="BA24" i="53"/>
  <c r="AZ24" i="53"/>
  <c r="AY24" i="53"/>
  <c r="AX24" i="53"/>
  <c r="AW24" i="53"/>
  <c r="AV24" i="53"/>
  <c r="AU24" i="53"/>
  <c r="AT24" i="53"/>
  <c r="AS24" i="53"/>
  <c r="AR24" i="53"/>
  <c r="AQ24" i="53"/>
  <c r="AP24" i="53"/>
  <c r="AO24" i="53"/>
  <c r="AN24" i="53"/>
  <c r="AM24" i="53"/>
  <c r="BP22" i="53"/>
  <c r="BO22" i="53"/>
  <c r="BN22" i="53"/>
  <c r="BM22" i="53"/>
  <c r="BL22" i="53"/>
  <c r="BK22" i="53"/>
  <c r="BJ22" i="53"/>
  <c r="BI22" i="53"/>
  <c r="BH22" i="53"/>
  <c r="BG22" i="53"/>
  <c r="BF22" i="53"/>
  <c r="BE22" i="53"/>
  <c r="BD22" i="53"/>
  <c r="BC22" i="53"/>
  <c r="BB22" i="53"/>
  <c r="BA22" i="53"/>
  <c r="AZ22" i="53"/>
  <c r="AY22" i="53"/>
  <c r="AX22" i="53"/>
  <c r="AW22" i="53"/>
  <c r="AV22" i="53"/>
  <c r="AU22" i="53"/>
  <c r="AT22" i="53"/>
  <c r="AS22" i="53"/>
  <c r="AR22" i="53"/>
  <c r="AQ22" i="53"/>
  <c r="AP22" i="53"/>
  <c r="AO22" i="53"/>
  <c r="AN22" i="53"/>
  <c r="AM22" i="53"/>
  <c r="BV20" i="53"/>
  <c r="BP20" i="53"/>
  <c r="BO20" i="53"/>
  <c r="BN20" i="53"/>
  <c r="BM20" i="53"/>
  <c r="BL20" i="53"/>
  <c r="BK20" i="53"/>
  <c r="BJ20" i="53"/>
  <c r="BI20" i="53"/>
  <c r="BH20" i="53"/>
  <c r="BG20" i="53"/>
  <c r="BF20" i="53"/>
  <c r="BE20" i="53"/>
  <c r="BD20" i="53"/>
  <c r="BC20" i="53"/>
  <c r="BB20" i="53"/>
  <c r="BA20" i="53"/>
  <c r="AZ20" i="53"/>
  <c r="AY20" i="53"/>
  <c r="AX20" i="53"/>
  <c r="AW20" i="53"/>
  <c r="AV20" i="53"/>
  <c r="AU20" i="53"/>
  <c r="AT20" i="53"/>
  <c r="AS20" i="53"/>
  <c r="AR20" i="53"/>
  <c r="AQ20" i="53"/>
  <c r="AP20" i="53"/>
  <c r="AO20" i="53"/>
  <c r="AN20" i="53"/>
  <c r="AM20" i="53"/>
  <c r="BP18" i="53"/>
  <c r="BO18" i="53"/>
  <c r="BN18" i="53"/>
  <c r="BM18" i="53"/>
  <c r="BL18" i="53"/>
  <c r="BK18" i="53"/>
  <c r="BJ18" i="53"/>
  <c r="BI18" i="53"/>
  <c r="BH18" i="53"/>
  <c r="BG18" i="53"/>
  <c r="BF18" i="53"/>
  <c r="BE18" i="53"/>
  <c r="BD18" i="53"/>
  <c r="BC18" i="53"/>
  <c r="BB18" i="53"/>
  <c r="BA18" i="53"/>
  <c r="AZ18" i="53"/>
  <c r="AY18" i="53"/>
  <c r="AX18" i="53"/>
  <c r="AW18" i="53"/>
  <c r="AV18" i="53"/>
  <c r="AU18" i="53"/>
  <c r="AT18" i="53"/>
  <c r="AS18" i="53"/>
  <c r="AR18" i="53"/>
  <c r="AQ18" i="53"/>
  <c r="AP18" i="53"/>
  <c r="AO18" i="53"/>
  <c r="AN18" i="53"/>
  <c r="AM18" i="53"/>
  <c r="BP16" i="53"/>
  <c r="BO16" i="53"/>
  <c r="BN16" i="53"/>
  <c r="BM16" i="53"/>
  <c r="BL16" i="53"/>
  <c r="BK16" i="53"/>
  <c r="BK92" i="53" s="1"/>
  <c r="BJ16" i="53"/>
  <c r="BJ92" i="53" s="1"/>
  <c r="F195" i="53" s="1"/>
  <c r="BI16" i="53"/>
  <c r="BH16" i="53"/>
  <c r="BG16" i="53"/>
  <c r="BF16" i="53"/>
  <c r="BE16" i="53"/>
  <c r="BD16" i="53"/>
  <c r="BD92" i="53" s="1"/>
  <c r="F203" i="53" s="1"/>
  <c r="BC16" i="53"/>
  <c r="BC92" i="53" s="1"/>
  <c r="F202" i="53" s="1"/>
  <c r="BB16" i="53"/>
  <c r="BB92" i="53" s="1"/>
  <c r="F192" i="53" s="1"/>
  <c r="BA16" i="53"/>
  <c r="AZ16" i="53"/>
  <c r="AY16" i="53"/>
  <c r="AX16" i="53"/>
  <c r="AW16" i="53"/>
  <c r="AV16" i="53"/>
  <c r="AV92" i="53" s="1"/>
  <c r="F206" i="53" s="1"/>
  <c r="AU16" i="53"/>
  <c r="AU92" i="53" s="1"/>
  <c r="AT16" i="53"/>
  <c r="AT92" i="53" s="1"/>
  <c r="U8" i="53" s="1"/>
  <c r="AP8" i="53" s="1"/>
  <c r="AS16" i="53"/>
  <c r="AR16" i="53"/>
  <c r="AQ16" i="53"/>
  <c r="AP16" i="53"/>
  <c r="AO16" i="53"/>
  <c r="AN16" i="53"/>
  <c r="AM16" i="53"/>
  <c r="D277" i="52"/>
  <c r="D276" i="52"/>
  <c r="BD50" i="52" s="1"/>
  <c r="D275" i="52"/>
  <c r="B275" i="52"/>
  <c r="Q273" i="52"/>
  <c r="O273" i="52"/>
  <c r="M273" i="52"/>
  <c r="AZ272" i="52"/>
  <c r="AY272" i="52"/>
  <c r="AW272" i="52"/>
  <c r="AV272" i="52"/>
  <c r="AN272" i="52"/>
  <c r="Q272" i="52"/>
  <c r="O272" i="52"/>
  <c r="M272" i="52"/>
  <c r="AZ271" i="52"/>
  <c r="AY271" i="52"/>
  <c r="AW271" i="52"/>
  <c r="AV271" i="52"/>
  <c r="Q271" i="52"/>
  <c r="O271" i="52"/>
  <c r="M271" i="52"/>
  <c r="AZ270" i="52"/>
  <c r="AY270" i="52"/>
  <c r="AW270" i="52"/>
  <c r="AV270" i="52"/>
  <c r="AN270" i="52"/>
  <c r="Q270" i="52"/>
  <c r="O270" i="52"/>
  <c r="M270" i="52"/>
  <c r="AZ269" i="52"/>
  <c r="AY269" i="52"/>
  <c r="AW269" i="52"/>
  <c r="AV269" i="52"/>
  <c r="Q269" i="52"/>
  <c r="O269" i="52"/>
  <c r="M269" i="52"/>
  <c r="AZ268" i="52"/>
  <c r="AY268" i="52"/>
  <c r="AW268" i="52"/>
  <c r="AV268" i="52"/>
  <c r="AN268" i="52"/>
  <c r="Q268" i="52"/>
  <c r="O268" i="52"/>
  <c r="M268" i="52"/>
  <c r="AZ267" i="52"/>
  <c r="AY267" i="52"/>
  <c r="AW267" i="52"/>
  <c r="AV267" i="52"/>
  <c r="Q267" i="52"/>
  <c r="O267" i="52"/>
  <c r="M267" i="52"/>
  <c r="AZ266" i="52"/>
  <c r="AY266" i="52"/>
  <c r="AW266" i="52"/>
  <c r="AV266" i="52"/>
  <c r="AN266" i="52"/>
  <c r="Q266" i="52"/>
  <c r="O266" i="52"/>
  <c r="M266" i="52"/>
  <c r="AZ265" i="52"/>
  <c r="AY265" i="52"/>
  <c r="AW265" i="52"/>
  <c r="AV265" i="52"/>
  <c r="Q265" i="52"/>
  <c r="O265" i="52"/>
  <c r="M265" i="52"/>
  <c r="AZ264" i="52"/>
  <c r="AY264" i="52"/>
  <c r="AW264" i="52"/>
  <c r="AV264" i="52"/>
  <c r="AN264" i="52"/>
  <c r="Q264" i="52"/>
  <c r="O264" i="52"/>
  <c r="M264" i="52"/>
  <c r="AZ263" i="52"/>
  <c r="AY263" i="52"/>
  <c r="AW263" i="52"/>
  <c r="AV263" i="52"/>
  <c r="Q263" i="52"/>
  <c r="O263" i="52"/>
  <c r="M263" i="52"/>
  <c r="AZ262" i="52"/>
  <c r="AY262" i="52"/>
  <c r="AW262" i="52"/>
  <c r="AV262" i="52"/>
  <c r="AN262" i="52"/>
  <c r="Q262" i="52"/>
  <c r="O262" i="52"/>
  <c r="M262" i="52"/>
  <c r="AZ261" i="52"/>
  <c r="AY261" i="52"/>
  <c r="AW261" i="52"/>
  <c r="Q261" i="52"/>
  <c r="O261" i="52"/>
  <c r="M261" i="52"/>
  <c r="AZ260" i="52"/>
  <c r="AV260" i="52"/>
  <c r="AN260" i="52"/>
  <c r="Q260" i="52"/>
  <c r="O260" i="52"/>
  <c r="M260" i="52"/>
  <c r="AZ259" i="52"/>
  <c r="AW259" i="52"/>
  <c r="AV259" i="52"/>
  <c r="Q259" i="52"/>
  <c r="O259" i="52"/>
  <c r="M259" i="52"/>
  <c r="AZ258" i="52"/>
  <c r="AN258" i="52"/>
  <c r="Q258" i="52"/>
  <c r="O258" i="52"/>
  <c r="M258" i="52"/>
  <c r="AZ257" i="52"/>
  <c r="Q257" i="52"/>
  <c r="O257" i="52"/>
  <c r="M257" i="52"/>
  <c r="AZ256" i="52"/>
  <c r="AN256" i="52"/>
  <c r="Q256" i="52"/>
  <c r="O256" i="52"/>
  <c r="M256" i="52"/>
  <c r="AZ255" i="52"/>
  <c r="Q255" i="52"/>
  <c r="O255" i="52"/>
  <c r="M255" i="52"/>
  <c r="AZ254" i="52"/>
  <c r="AY254" i="52"/>
  <c r="AN254" i="52"/>
  <c r="Q254" i="52"/>
  <c r="O254" i="52"/>
  <c r="M254" i="52"/>
  <c r="AZ253" i="52"/>
  <c r="AY253" i="52"/>
  <c r="AW253" i="52"/>
  <c r="AV253" i="52"/>
  <c r="Q253" i="52"/>
  <c r="O253" i="52"/>
  <c r="M253" i="52"/>
  <c r="AZ252" i="52"/>
  <c r="AY252" i="52"/>
  <c r="AW252" i="52"/>
  <c r="AV252" i="52"/>
  <c r="AN252" i="52"/>
  <c r="Q252" i="52"/>
  <c r="O252" i="52"/>
  <c r="M252" i="52"/>
  <c r="AZ251" i="52"/>
  <c r="AY251" i="52"/>
  <c r="AW251" i="52"/>
  <c r="AV251" i="52"/>
  <c r="Q251" i="52"/>
  <c r="O251" i="52"/>
  <c r="M251" i="52"/>
  <c r="AZ250" i="52"/>
  <c r="AY250" i="52"/>
  <c r="AW250" i="52"/>
  <c r="AV250" i="52"/>
  <c r="AN250" i="52"/>
  <c r="Q250" i="52"/>
  <c r="O250" i="52"/>
  <c r="M250" i="52"/>
  <c r="AZ249" i="52"/>
  <c r="AY249" i="52"/>
  <c r="AW249" i="52"/>
  <c r="AV249" i="52"/>
  <c r="Q249" i="52"/>
  <c r="O249" i="52"/>
  <c r="M249" i="52"/>
  <c r="AZ248" i="52"/>
  <c r="AY248" i="52"/>
  <c r="AW248" i="52"/>
  <c r="AV248" i="52"/>
  <c r="AN248" i="52"/>
  <c r="Q248" i="52"/>
  <c r="O248" i="52"/>
  <c r="M248" i="52"/>
  <c r="AZ247" i="52"/>
  <c r="AY247" i="52"/>
  <c r="AW247" i="52"/>
  <c r="AV247" i="52"/>
  <c r="Q247" i="52"/>
  <c r="O247" i="52"/>
  <c r="M247" i="52"/>
  <c r="AZ246" i="52"/>
  <c r="AY246" i="52"/>
  <c r="AW246" i="52"/>
  <c r="AV246" i="52"/>
  <c r="AN246" i="52"/>
  <c r="Q246" i="52"/>
  <c r="O246" i="52"/>
  <c r="M246" i="52"/>
  <c r="AZ245" i="52"/>
  <c r="AY245" i="52"/>
  <c r="AW245" i="52"/>
  <c r="AV245" i="52"/>
  <c r="Q245" i="52"/>
  <c r="O245" i="52"/>
  <c r="M245" i="52"/>
  <c r="AZ244" i="52"/>
  <c r="AY244" i="52"/>
  <c r="AW244" i="52"/>
  <c r="AV244" i="52"/>
  <c r="AN244" i="52"/>
  <c r="Q244" i="52"/>
  <c r="O244" i="52"/>
  <c r="M244" i="52"/>
  <c r="AZ243" i="52"/>
  <c r="AY243" i="52"/>
  <c r="AW243" i="52"/>
  <c r="AV243" i="52"/>
  <c r="Q243" i="52"/>
  <c r="O243" i="52"/>
  <c r="M243" i="52"/>
  <c r="AZ242" i="52"/>
  <c r="AY242" i="52"/>
  <c r="AW242" i="52"/>
  <c r="AV242" i="52"/>
  <c r="AN242" i="52"/>
  <c r="Q242" i="52"/>
  <c r="O242" i="52"/>
  <c r="M242" i="52"/>
  <c r="AZ241" i="52"/>
  <c r="AY241" i="52"/>
  <c r="AW241" i="52"/>
  <c r="AV241" i="52"/>
  <c r="Q241" i="52"/>
  <c r="O241" i="52"/>
  <c r="M241" i="52"/>
  <c r="AZ240" i="52"/>
  <c r="AY240" i="52"/>
  <c r="AW240" i="52"/>
  <c r="AV240" i="52"/>
  <c r="AN240" i="52"/>
  <c r="Q240" i="52"/>
  <c r="Q275" i="52" s="1"/>
  <c r="O240" i="52"/>
  <c r="M240" i="52"/>
  <c r="AZ239" i="52"/>
  <c r="AY239" i="52"/>
  <c r="AW239" i="52"/>
  <c r="AV239" i="52"/>
  <c r="Q239" i="52"/>
  <c r="O239" i="52"/>
  <c r="M239" i="52"/>
  <c r="AZ238" i="52"/>
  <c r="AY238" i="52"/>
  <c r="AW238" i="52"/>
  <c r="AV238" i="52"/>
  <c r="AN238" i="52"/>
  <c r="Q238" i="52"/>
  <c r="O238" i="52"/>
  <c r="M238" i="52"/>
  <c r="AZ237" i="52"/>
  <c r="AY237" i="52"/>
  <c r="AW237" i="52"/>
  <c r="AV237" i="52"/>
  <c r="Q237" i="52"/>
  <c r="O237" i="52"/>
  <c r="M237" i="52"/>
  <c r="AZ236" i="52"/>
  <c r="AY236" i="52"/>
  <c r="AW236" i="52"/>
  <c r="AV236" i="52"/>
  <c r="AN236" i="52"/>
  <c r="Q236" i="52"/>
  <c r="O236" i="52"/>
  <c r="M236" i="52"/>
  <c r="AZ235" i="52"/>
  <c r="AY235" i="52"/>
  <c r="AW235" i="52"/>
  <c r="AV235" i="52"/>
  <c r="Q235" i="52"/>
  <c r="O235" i="52"/>
  <c r="M235" i="52"/>
  <c r="AZ234" i="52"/>
  <c r="AY234" i="52"/>
  <c r="AW234" i="52"/>
  <c r="AV234" i="52"/>
  <c r="AN234" i="52"/>
  <c r="Q234" i="52"/>
  <c r="O234" i="52"/>
  <c r="O275" i="52" s="1"/>
  <c r="M234" i="52"/>
  <c r="AT234" i="52" s="1"/>
  <c r="H181" i="52"/>
  <c r="AV261" i="52" s="1"/>
  <c r="H180" i="52"/>
  <c r="AY260" i="52" s="1"/>
  <c r="H179" i="52"/>
  <c r="AY259" i="52" s="1"/>
  <c r="H178" i="52"/>
  <c r="AY258" i="52" s="1"/>
  <c r="H177" i="52"/>
  <c r="H176" i="52"/>
  <c r="AY257" i="52" s="1"/>
  <c r="H175" i="52"/>
  <c r="AY256" i="52" s="1"/>
  <c r="H174" i="52"/>
  <c r="H173" i="52"/>
  <c r="H172" i="52"/>
  <c r="AY255" i="52" s="1"/>
  <c r="H171" i="52"/>
  <c r="H170" i="52"/>
  <c r="AW254" i="52" s="1"/>
  <c r="H169" i="52"/>
  <c r="H168" i="52"/>
  <c r="H167" i="52"/>
  <c r="H166" i="52"/>
  <c r="H165" i="52"/>
  <c r="H164" i="52"/>
  <c r="H163" i="52"/>
  <c r="H162" i="52"/>
  <c r="H161" i="52"/>
  <c r="H160" i="52"/>
  <c r="H159" i="52"/>
  <c r="H158" i="52"/>
  <c r="H157" i="52"/>
  <c r="H156" i="52"/>
  <c r="H155" i="52"/>
  <c r="H154" i="52"/>
  <c r="H153" i="52"/>
  <c r="H152" i="52"/>
  <c r="H151" i="52"/>
  <c r="H150" i="52"/>
  <c r="H149" i="52"/>
  <c r="H148" i="52"/>
  <c r="H147" i="52"/>
  <c r="H146" i="52"/>
  <c r="H145" i="52"/>
  <c r="H144" i="52"/>
  <c r="H143" i="52"/>
  <c r="H142" i="52"/>
  <c r="H141" i="52"/>
  <c r="H140" i="52"/>
  <c r="H139" i="52"/>
  <c r="H138" i="52"/>
  <c r="H137" i="52"/>
  <c r="H136" i="52"/>
  <c r="H135" i="52"/>
  <c r="H134" i="52"/>
  <c r="H133" i="52"/>
  <c r="H132" i="52"/>
  <c r="H131" i="52"/>
  <c r="H130" i="52"/>
  <c r="H129" i="52"/>
  <c r="H128" i="52"/>
  <c r="H127" i="52"/>
  <c r="H126" i="52"/>
  <c r="H125" i="52"/>
  <c r="H124" i="52"/>
  <c r="H123" i="52"/>
  <c r="H122" i="52"/>
  <c r="H121" i="52"/>
  <c r="H120" i="52"/>
  <c r="H119" i="52"/>
  <c r="H118" i="52"/>
  <c r="H117" i="52"/>
  <c r="H116" i="52"/>
  <c r="H115" i="52"/>
  <c r="H114" i="52"/>
  <c r="H113" i="52"/>
  <c r="H112" i="52"/>
  <c r="H111" i="52"/>
  <c r="H110" i="52"/>
  <c r="H109" i="52"/>
  <c r="H108" i="52"/>
  <c r="H107" i="52"/>
  <c r="H106" i="52"/>
  <c r="H105" i="52"/>
  <c r="H104" i="52"/>
  <c r="H103" i="52"/>
  <c r="B188" i="52" s="1" a="1"/>
  <c r="B188" i="52" s="1"/>
  <c r="BS92" i="52"/>
  <c r="BU90" i="52"/>
  <c r="BT90" i="52"/>
  <c r="BS90" i="52"/>
  <c r="BR90" i="52"/>
  <c r="BQ90" i="52"/>
  <c r="BP90" i="52"/>
  <c r="BO90" i="52"/>
  <c r="BN90" i="52"/>
  <c r="BM90" i="52"/>
  <c r="BL90" i="52"/>
  <c r="BK90" i="52"/>
  <c r="AU90" i="52"/>
  <c r="AR90" i="52"/>
  <c r="AQ90" i="52"/>
  <c r="AO90" i="52"/>
  <c r="AN90" i="52"/>
  <c r="AM90" i="52"/>
  <c r="BQ89" i="52"/>
  <c r="BP89" i="52"/>
  <c r="BO89" i="52"/>
  <c r="BN89" i="52"/>
  <c r="BM89" i="52"/>
  <c r="BL89" i="52"/>
  <c r="BK89" i="52"/>
  <c r="AU89" i="52"/>
  <c r="AR89" i="52"/>
  <c r="AQ89" i="52"/>
  <c r="AO89" i="52"/>
  <c r="AN89" i="52"/>
  <c r="AM89" i="52"/>
  <c r="BU88" i="52"/>
  <c r="BT88" i="52"/>
  <c r="BT92" i="52" s="1"/>
  <c r="BS88" i="52"/>
  <c r="BR88" i="52"/>
  <c r="BQ88" i="52"/>
  <c r="BP88" i="52"/>
  <c r="BO88" i="52"/>
  <c r="BN88" i="52"/>
  <c r="BM88" i="52"/>
  <c r="BL88" i="52"/>
  <c r="BK88" i="52"/>
  <c r="AU88" i="52"/>
  <c r="AR88" i="52"/>
  <c r="AQ88" i="52"/>
  <c r="AO88" i="52"/>
  <c r="AN88" i="52"/>
  <c r="AM88" i="52"/>
  <c r="BQ87" i="52"/>
  <c r="BQ92" i="52" s="1"/>
  <c r="BP87" i="52"/>
  <c r="BO87" i="52"/>
  <c r="BN87" i="52"/>
  <c r="BM87" i="52"/>
  <c r="BL87" i="52"/>
  <c r="BK87" i="52"/>
  <c r="AU87" i="52"/>
  <c r="AR87" i="52"/>
  <c r="AQ87" i="52"/>
  <c r="AO87" i="52"/>
  <c r="AN87" i="52"/>
  <c r="AM87" i="52"/>
  <c r="BU86" i="52"/>
  <c r="BU92" i="52" s="1"/>
  <c r="BT86" i="52"/>
  <c r="BS86" i="52"/>
  <c r="BR86" i="52"/>
  <c r="BR92" i="52" s="1"/>
  <c r="BQ86" i="52"/>
  <c r="BP86" i="52"/>
  <c r="BO86" i="52"/>
  <c r="BN86" i="52"/>
  <c r="BM86" i="52"/>
  <c r="BL86" i="52"/>
  <c r="BK86" i="52"/>
  <c r="AU86" i="52"/>
  <c r="AR86" i="52"/>
  <c r="AQ86" i="52"/>
  <c r="AO86" i="52"/>
  <c r="AN86" i="52"/>
  <c r="AM86" i="52"/>
  <c r="BP82" i="52"/>
  <c r="BO82" i="52"/>
  <c r="BN82" i="52"/>
  <c r="BM82" i="52"/>
  <c r="BL82" i="52"/>
  <c r="BK82" i="52"/>
  <c r="BJ82" i="52"/>
  <c r="BI82" i="52"/>
  <c r="BH82" i="52"/>
  <c r="BG82" i="52"/>
  <c r="BF82" i="52"/>
  <c r="BE82" i="52"/>
  <c r="BD82" i="52"/>
  <c r="BC82" i="52"/>
  <c r="BB82" i="52"/>
  <c r="BA82" i="52"/>
  <c r="AZ82" i="52"/>
  <c r="AY82" i="52"/>
  <c r="AX82" i="52"/>
  <c r="AW82" i="52"/>
  <c r="AV82" i="52"/>
  <c r="AU82" i="52"/>
  <c r="AT82" i="52"/>
  <c r="AS82" i="52"/>
  <c r="AR82" i="52"/>
  <c r="AQ82" i="52"/>
  <c r="AP82" i="52"/>
  <c r="AO82" i="52"/>
  <c r="AN82" i="52"/>
  <c r="AM82" i="52"/>
  <c r="BP80" i="52"/>
  <c r="BO80" i="52"/>
  <c r="BN80" i="52"/>
  <c r="BM80" i="52"/>
  <c r="BL80" i="52"/>
  <c r="BK80" i="52"/>
  <c r="BJ80" i="52"/>
  <c r="BI80" i="52"/>
  <c r="BH80" i="52"/>
  <c r="BG80" i="52"/>
  <c r="BF80" i="52"/>
  <c r="BE80" i="52"/>
  <c r="BD80" i="52"/>
  <c r="BC80" i="52"/>
  <c r="BB80" i="52"/>
  <c r="BA80" i="52"/>
  <c r="AZ80" i="52"/>
  <c r="AY80" i="52"/>
  <c r="AX80" i="52"/>
  <c r="AW80" i="52"/>
  <c r="AV80" i="52"/>
  <c r="AU80" i="52"/>
  <c r="AT80" i="52"/>
  <c r="AS80" i="52"/>
  <c r="AR80" i="52"/>
  <c r="AQ80" i="52"/>
  <c r="AP80" i="52"/>
  <c r="AO80" i="52"/>
  <c r="AN80" i="52"/>
  <c r="AM80" i="52"/>
  <c r="BP78" i="52"/>
  <c r="BO78" i="52"/>
  <c r="BN78" i="52"/>
  <c r="BM78" i="52"/>
  <c r="BL78" i="52"/>
  <c r="BK78" i="52"/>
  <c r="BJ78" i="52"/>
  <c r="BI78" i="52"/>
  <c r="BH78" i="52"/>
  <c r="BG78" i="52"/>
  <c r="BF78" i="52"/>
  <c r="BE78" i="52"/>
  <c r="BD78" i="52"/>
  <c r="BC78" i="52"/>
  <c r="BB78" i="52"/>
  <c r="BA78" i="52"/>
  <c r="AZ78" i="52"/>
  <c r="AY78" i="52"/>
  <c r="AX78" i="52"/>
  <c r="AW78" i="52"/>
  <c r="AV78" i="52"/>
  <c r="AU78" i="52"/>
  <c r="AT78" i="52"/>
  <c r="AS78" i="52"/>
  <c r="AR78" i="52"/>
  <c r="AQ78" i="52"/>
  <c r="AP78" i="52"/>
  <c r="AO78" i="52"/>
  <c r="AN78" i="52"/>
  <c r="AM78" i="52"/>
  <c r="BP74" i="52"/>
  <c r="BO74" i="52"/>
  <c r="BN74" i="52"/>
  <c r="BM74" i="52"/>
  <c r="BL74" i="52"/>
  <c r="BK74" i="52"/>
  <c r="BJ74" i="52"/>
  <c r="BI74" i="52"/>
  <c r="BH74" i="52"/>
  <c r="BG74" i="52"/>
  <c r="BF74" i="52"/>
  <c r="BE74" i="52"/>
  <c r="BD74" i="52"/>
  <c r="BC74" i="52"/>
  <c r="BB74" i="52"/>
  <c r="BA74" i="52"/>
  <c r="AZ74" i="52"/>
  <c r="AY74" i="52"/>
  <c r="AX74" i="52"/>
  <c r="AW74" i="52"/>
  <c r="AV74" i="52"/>
  <c r="AU74" i="52"/>
  <c r="AT74" i="52"/>
  <c r="AS74" i="52"/>
  <c r="AR74" i="52"/>
  <c r="AQ74" i="52"/>
  <c r="AP74" i="52"/>
  <c r="AO74" i="52"/>
  <c r="AN74" i="52"/>
  <c r="AM74" i="52"/>
  <c r="BP72" i="52"/>
  <c r="BO72" i="52"/>
  <c r="BN72" i="52"/>
  <c r="BM72" i="52"/>
  <c r="BL72" i="52"/>
  <c r="BK72" i="52"/>
  <c r="BJ72" i="52"/>
  <c r="BI72" i="52"/>
  <c r="BH72" i="52"/>
  <c r="BG72" i="52"/>
  <c r="BF72" i="52"/>
  <c r="BE72" i="52"/>
  <c r="BD72" i="52"/>
  <c r="BC72" i="52"/>
  <c r="BB72" i="52"/>
  <c r="BA72" i="52"/>
  <c r="AZ72" i="52"/>
  <c r="AY72" i="52"/>
  <c r="AX72" i="52"/>
  <c r="AW72" i="52"/>
  <c r="AV72" i="52"/>
  <c r="AU72" i="52"/>
  <c r="AT72" i="52"/>
  <c r="AS72" i="52"/>
  <c r="AR72" i="52"/>
  <c r="AQ72" i="52"/>
  <c r="AP72" i="52"/>
  <c r="AO72" i="52"/>
  <c r="AN72" i="52"/>
  <c r="AM72" i="52"/>
  <c r="BP70" i="52"/>
  <c r="BO70" i="52"/>
  <c r="BN70" i="52"/>
  <c r="BM70" i="52"/>
  <c r="BL70" i="52"/>
  <c r="BK70" i="52"/>
  <c r="BJ70" i="52"/>
  <c r="BI70" i="52"/>
  <c r="BH70" i="52"/>
  <c r="BG70" i="52"/>
  <c r="BF70" i="52"/>
  <c r="BE70" i="52"/>
  <c r="BD70" i="52"/>
  <c r="BC70" i="52"/>
  <c r="BB70" i="52"/>
  <c r="BA70" i="52"/>
  <c r="AZ70" i="52"/>
  <c r="AY70" i="52"/>
  <c r="AX70" i="52"/>
  <c r="AW70" i="52"/>
  <c r="AV70" i="52"/>
  <c r="AU70" i="52"/>
  <c r="AT70" i="52"/>
  <c r="AS70" i="52"/>
  <c r="AR70" i="52"/>
  <c r="AQ70" i="52"/>
  <c r="AP70" i="52"/>
  <c r="AO70" i="52"/>
  <c r="AN70" i="52"/>
  <c r="AM70" i="52"/>
  <c r="BP66" i="52"/>
  <c r="BO66" i="52"/>
  <c r="BN66" i="52"/>
  <c r="BM66" i="52"/>
  <c r="BL66" i="52"/>
  <c r="BK66" i="52"/>
  <c r="BJ66" i="52"/>
  <c r="BI66" i="52"/>
  <c r="BH66" i="52"/>
  <c r="BG66" i="52"/>
  <c r="BF66" i="52"/>
  <c r="BE66" i="52"/>
  <c r="BD66" i="52"/>
  <c r="BC66" i="52"/>
  <c r="BB66" i="52"/>
  <c r="BA66" i="52"/>
  <c r="AZ66" i="52"/>
  <c r="AY66" i="52"/>
  <c r="AX66" i="52"/>
  <c r="AW66" i="52"/>
  <c r="AV66" i="52"/>
  <c r="AU66" i="52"/>
  <c r="AT66" i="52"/>
  <c r="AS66" i="52"/>
  <c r="AR66" i="52"/>
  <c r="AQ66" i="52"/>
  <c r="AP66" i="52"/>
  <c r="AO66" i="52"/>
  <c r="AN66" i="52"/>
  <c r="AM66" i="52"/>
  <c r="BP64" i="52"/>
  <c r="BO64" i="52"/>
  <c r="BN64" i="52"/>
  <c r="BM64" i="52"/>
  <c r="BL64" i="52"/>
  <c r="BK64" i="52"/>
  <c r="BJ64" i="52"/>
  <c r="BI64" i="52"/>
  <c r="BH64" i="52"/>
  <c r="BG64" i="52"/>
  <c r="BF64" i="52"/>
  <c r="BE64" i="52"/>
  <c r="BD64" i="52"/>
  <c r="BC64" i="52"/>
  <c r="BB64" i="52"/>
  <c r="BA64" i="52"/>
  <c r="AZ64" i="52"/>
  <c r="AY64" i="52"/>
  <c r="AX64" i="52"/>
  <c r="AW64" i="52"/>
  <c r="AV64" i="52"/>
  <c r="AU64" i="52"/>
  <c r="AT64" i="52"/>
  <c r="AS64" i="52"/>
  <c r="AR64" i="52"/>
  <c r="AQ64" i="52"/>
  <c r="AP64" i="52"/>
  <c r="AO64" i="52"/>
  <c r="AN64" i="52"/>
  <c r="AM64" i="52"/>
  <c r="BP62" i="52"/>
  <c r="BO62" i="52"/>
  <c r="BN62" i="52"/>
  <c r="BM62" i="52"/>
  <c r="BL62" i="52"/>
  <c r="BK62" i="52"/>
  <c r="BJ62" i="52"/>
  <c r="BI62" i="52"/>
  <c r="BH62" i="52"/>
  <c r="BG62" i="52"/>
  <c r="BF62" i="52"/>
  <c r="BE62" i="52"/>
  <c r="BD62" i="52"/>
  <c r="BC62" i="52"/>
  <c r="BB62" i="52"/>
  <c r="BA62" i="52"/>
  <c r="AZ62" i="52"/>
  <c r="AY62" i="52"/>
  <c r="AX62" i="52"/>
  <c r="AW62" i="52"/>
  <c r="AV62" i="52"/>
  <c r="AU62" i="52"/>
  <c r="AT62" i="52"/>
  <c r="AS62" i="52"/>
  <c r="AR62" i="52"/>
  <c r="AQ62" i="52"/>
  <c r="AP62" i="52"/>
  <c r="AO62" i="52"/>
  <c r="AN62" i="52"/>
  <c r="AM62" i="52"/>
  <c r="BP60" i="52"/>
  <c r="BO60" i="52"/>
  <c r="BN60" i="52"/>
  <c r="BM60" i="52"/>
  <c r="BL60" i="52"/>
  <c r="BK60" i="52"/>
  <c r="BJ60" i="52"/>
  <c r="BI60" i="52"/>
  <c r="BH60" i="52"/>
  <c r="BG60" i="52"/>
  <c r="BF60" i="52"/>
  <c r="BE60" i="52"/>
  <c r="BD60" i="52"/>
  <c r="BC60" i="52"/>
  <c r="BB60" i="52"/>
  <c r="BA60" i="52"/>
  <c r="AZ60" i="52"/>
  <c r="AY60" i="52"/>
  <c r="AX60" i="52"/>
  <c r="AW60" i="52"/>
  <c r="AV60" i="52"/>
  <c r="AU60" i="52"/>
  <c r="AT60" i="52"/>
  <c r="AS60" i="52"/>
  <c r="AR60" i="52"/>
  <c r="AQ60" i="52"/>
  <c r="AP60" i="52"/>
  <c r="AO60" i="52"/>
  <c r="AN60" i="52"/>
  <c r="AM60" i="52"/>
  <c r="BP58" i="52"/>
  <c r="BO58" i="52"/>
  <c r="BN58" i="52"/>
  <c r="BM58" i="52"/>
  <c r="BL58" i="52"/>
  <c r="BK58" i="52"/>
  <c r="BJ58" i="52"/>
  <c r="BI58" i="52"/>
  <c r="BH58" i="52"/>
  <c r="BG58" i="52"/>
  <c r="BF58" i="52"/>
  <c r="BE58" i="52"/>
  <c r="BD58" i="52"/>
  <c r="BC58" i="52"/>
  <c r="BB58" i="52"/>
  <c r="BA58" i="52"/>
  <c r="AZ58" i="52"/>
  <c r="AY58" i="52"/>
  <c r="AX58" i="52"/>
  <c r="AW58" i="52"/>
  <c r="AV58" i="52"/>
  <c r="AU58" i="52"/>
  <c r="AT58" i="52"/>
  <c r="AS58" i="52"/>
  <c r="AR58" i="52"/>
  <c r="AQ58" i="52"/>
  <c r="AP58" i="52"/>
  <c r="AO58" i="52"/>
  <c r="AN58" i="52"/>
  <c r="AM58" i="52"/>
  <c r="BP56" i="52"/>
  <c r="BO56" i="52"/>
  <c r="BN56" i="52"/>
  <c r="BM56" i="52"/>
  <c r="BL56" i="52"/>
  <c r="BK56" i="52"/>
  <c r="BJ56" i="52"/>
  <c r="BI56" i="52"/>
  <c r="BH56" i="52"/>
  <c r="BG56" i="52"/>
  <c r="BF56" i="52"/>
  <c r="BE56" i="52"/>
  <c r="BD56" i="52"/>
  <c r="BC56" i="52"/>
  <c r="BB56" i="52"/>
  <c r="BA56" i="52"/>
  <c r="AZ56" i="52"/>
  <c r="AY56" i="52"/>
  <c r="AX56" i="52"/>
  <c r="AW56" i="52"/>
  <c r="AV56" i="52"/>
  <c r="AU56" i="52"/>
  <c r="AT56" i="52"/>
  <c r="AS56" i="52"/>
  <c r="AR56" i="52"/>
  <c r="AQ56" i="52"/>
  <c r="AP56" i="52"/>
  <c r="AO56" i="52"/>
  <c r="AN56" i="52"/>
  <c r="AM56" i="52"/>
  <c r="BP54" i="52"/>
  <c r="BO54" i="52"/>
  <c r="BN54" i="52"/>
  <c r="BM54" i="52"/>
  <c r="BL54" i="52"/>
  <c r="BK54" i="52"/>
  <c r="BJ54" i="52"/>
  <c r="BI54" i="52"/>
  <c r="BH54" i="52"/>
  <c r="BG54" i="52"/>
  <c r="BF54" i="52"/>
  <c r="BE54" i="52"/>
  <c r="BD54" i="52"/>
  <c r="BC54" i="52"/>
  <c r="BB54" i="52"/>
  <c r="BA54" i="52"/>
  <c r="AZ54" i="52"/>
  <c r="AY54" i="52"/>
  <c r="AX54" i="52"/>
  <c r="AW54" i="52"/>
  <c r="AV54" i="52"/>
  <c r="AU54" i="52"/>
  <c r="AT54" i="52"/>
  <c r="AS54" i="52"/>
  <c r="AR54" i="52"/>
  <c r="AQ54" i="52"/>
  <c r="AP54" i="52"/>
  <c r="AO54" i="52"/>
  <c r="AN54" i="52"/>
  <c r="AM54" i="52"/>
  <c r="BP52" i="52"/>
  <c r="BO52" i="52"/>
  <c r="BN52" i="52"/>
  <c r="BM52" i="52"/>
  <c r="BL52" i="52"/>
  <c r="BK52" i="52"/>
  <c r="BJ52" i="52"/>
  <c r="BI52" i="52"/>
  <c r="BH52" i="52"/>
  <c r="BG52" i="52"/>
  <c r="BF52" i="52"/>
  <c r="BE52" i="52"/>
  <c r="BD52" i="52"/>
  <c r="BC52" i="52"/>
  <c r="BB52" i="52"/>
  <c r="BA52" i="52"/>
  <c r="AZ52" i="52"/>
  <c r="AY52" i="52"/>
  <c r="AX52" i="52"/>
  <c r="AW52" i="52"/>
  <c r="AV52" i="52"/>
  <c r="AU52" i="52"/>
  <c r="AT52" i="52"/>
  <c r="AS52" i="52"/>
  <c r="AR52" i="52"/>
  <c r="AQ52" i="52"/>
  <c r="AP52" i="52"/>
  <c r="AO52" i="52"/>
  <c r="AN52" i="52"/>
  <c r="AM52" i="52"/>
  <c r="BP50" i="52"/>
  <c r="BO50" i="52"/>
  <c r="BN50" i="52"/>
  <c r="BM50" i="52"/>
  <c r="BL50" i="52"/>
  <c r="BK50" i="52"/>
  <c r="BJ50" i="52"/>
  <c r="BH50" i="52"/>
  <c r="BF50" i="52"/>
  <c r="BE50" i="52"/>
  <c r="BC50" i="52"/>
  <c r="BB50" i="52"/>
  <c r="AZ50" i="52"/>
  <c r="AX50" i="52"/>
  <c r="AW50" i="52"/>
  <c r="AU50" i="52"/>
  <c r="AT50" i="52"/>
  <c r="AS50" i="52"/>
  <c r="AR50" i="52"/>
  <c r="AP50" i="52"/>
  <c r="AO50" i="52"/>
  <c r="AN50" i="52"/>
  <c r="AM50" i="52"/>
  <c r="BP48" i="52"/>
  <c r="BO48" i="52"/>
  <c r="BN48" i="52"/>
  <c r="BM48" i="52"/>
  <c r="BL48" i="52"/>
  <c r="BK48" i="52"/>
  <c r="BJ48" i="52"/>
  <c r="BI48" i="52"/>
  <c r="BH48" i="52"/>
  <c r="BG48" i="52"/>
  <c r="BF48" i="52"/>
  <c r="BE48" i="52"/>
  <c r="BD48" i="52"/>
  <c r="BC48" i="52"/>
  <c r="BB48" i="52"/>
  <c r="BA48" i="52"/>
  <c r="AZ48" i="52"/>
  <c r="AY48" i="52"/>
  <c r="AX48" i="52"/>
  <c r="AW48" i="52"/>
  <c r="AV48" i="52"/>
  <c r="AU48" i="52"/>
  <c r="AT48" i="52"/>
  <c r="AS48" i="52"/>
  <c r="AR48" i="52"/>
  <c r="AQ48" i="52"/>
  <c r="AP48" i="52"/>
  <c r="AO48" i="52"/>
  <c r="AN48" i="52"/>
  <c r="AM48" i="52"/>
  <c r="BO46" i="52"/>
  <c r="BN46" i="52"/>
  <c r="BL46" i="52"/>
  <c r="BJ46" i="52"/>
  <c r="BI46" i="52"/>
  <c r="BG46" i="52"/>
  <c r="BF46" i="52"/>
  <c r="BD46" i="52"/>
  <c r="BB46" i="52"/>
  <c r="BA46" i="52"/>
  <c r="AY46" i="52"/>
  <c r="AX46" i="52"/>
  <c r="AV46" i="52"/>
  <c r="AT46" i="52"/>
  <c r="AS46" i="52"/>
  <c r="AQ46" i="52"/>
  <c r="AP46" i="52"/>
  <c r="AO46" i="52"/>
  <c r="AN46" i="52"/>
  <c r="AM46" i="52"/>
  <c r="BP44" i="52"/>
  <c r="BO44" i="52"/>
  <c r="BN44" i="52"/>
  <c r="BM44" i="52"/>
  <c r="BL44" i="52"/>
  <c r="BK44" i="52"/>
  <c r="BJ44" i="52"/>
  <c r="BI44" i="52"/>
  <c r="BH44" i="52"/>
  <c r="BG44" i="52"/>
  <c r="BF44" i="52"/>
  <c r="BE44" i="52"/>
  <c r="BD44" i="52"/>
  <c r="BC44" i="52"/>
  <c r="BB44" i="52"/>
  <c r="BA44" i="52"/>
  <c r="AZ44" i="52"/>
  <c r="AY44" i="52"/>
  <c r="AX44" i="52"/>
  <c r="AW44" i="52"/>
  <c r="AV44" i="52"/>
  <c r="AU44" i="52"/>
  <c r="AT44" i="52"/>
  <c r="AS44" i="52"/>
  <c r="AR44" i="52"/>
  <c r="AQ44" i="52"/>
  <c r="AP44" i="52"/>
  <c r="AO44" i="52"/>
  <c r="AN44" i="52"/>
  <c r="AM44" i="52"/>
  <c r="BP42" i="52"/>
  <c r="BO42" i="52"/>
  <c r="BN42" i="52"/>
  <c r="BM42" i="52"/>
  <c r="BL42" i="52"/>
  <c r="BK42" i="52"/>
  <c r="BJ42" i="52"/>
  <c r="BI42" i="52"/>
  <c r="BH42" i="52"/>
  <c r="BG42" i="52"/>
  <c r="BF42" i="52"/>
  <c r="BE42" i="52"/>
  <c r="BD42" i="52"/>
  <c r="BC42" i="52"/>
  <c r="BB42" i="52"/>
  <c r="BA42" i="52"/>
  <c r="AZ42" i="52"/>
  <c r="AY42" i="52"/>
  <c r="AX42" i="52"/>
  <c r="AW42" i="52"/>
  <c r="AV42" i="52"/>
  <c r="AU42" i="52"/>
  <c r="AT42" i="52"/>
  <c r="AS42" i="52"/>
  <c r="AR42" i="52"/>
  <c r="AQ42" i="52"/>
  <c r="AP42" i="52"/>
  <c r="AO42" i="52"/>
  <c r="AN42" i="52"/>
  <c r="AM42" i="52"/>
  <c r="BP40" i="52"/>
  <c r="BO40" i="52"/>
  <c r="BN40" i="52"/>
  <c r="BM40" i="52"/>
  <c r="BL40" i="52"/>
  <c r="BK40" i="52"/>
  <c r="BJ40" i="52"/>
  <c r="BI40" i="52"/>
  <c r="BH40" i="52"/>
  <c r="BG40" i="52"/>
  <c r="BF40" i="52"/>
  <c r="BE40" i="52"/>
  <c r="BD40" i="52"/>
  <c r="BC40" i="52"/>
  <c r="BB40" i="52"/>
  <c r="BA40" i="52"/>
  <c r="AZ40" i="52"/>
  <c r="AY40" i="52"/>
  <c r="AX40" i="52"/>
  <c r="AW40" i="52"/>
  <c r="AV40" i="52"/>
  <c r="AU40" i="52"/>
  <c r="AT40" i="52"/>
  <c r="AS40" i="52"/>
  <c r="AR40" i="52"/>
  <c r="AQ40" i="52"/>
  <c r="AP40" i="52"/>
  <c r="AO40" i="52"/>
  <c r="AN40" i="52"/>
  <c r="AM40" i="52"/>
  <c r="CH38" i="52"/>
  <c r="CG38" i="52"/>
  <c r="CF38" i="52"/>
  <c r="CE38" i="52"/>
  <c r="CD38" i="52"/>
  <c r="CC38" i="52"/>
  <c r="CB38" i="52"/>
  <c r="CA38" i="52"/>
  <c r="BL92" i="52" s="1"/>
  <c r="BZ38" i="52"/>
  <c r="BY38" i="52"/>
  <c r="BX38" i="52"/>
  <c r="BW38" i="52"/>
  <c r="BV38" i="52"/>
  <c r="BP38" i="52"/>
  <c r="BO38" i="52"/>
  <c r="BN38" i="52"/>
  <c r="BM38" i="52"/>
  <c r="BL38" i="52"/>
  <c r="BK38" i="52"/>
  <c r="BJ38" i="52"/>
  <c r="BI38" i="52"/>
  <c r="BH38" i="52"/>
  <c r="BG38" i="52"/>
  <c r="BF38" i="52"/>
  <c r="BE38" i="52"/>
  <c r="BD38" i="52"/>
  <c r="BC38" i="52"/>
  <c r="BB38" i="52"/>
  <c r="BA38" i="52"/>
  <c r="AZ38" i="52"/>
  <c r="AY38" i="52"/>
  <c r="AX38" i="52"/>
  <c r="AW38" i="52"/>
  <c r="AV38" i="52"/>
  <c r="AU38" i="52"/>
  <c r="AT38" i="52"/>
  <c r="AS38" i="52"/>
  <c r="AR38" i="52"/>
  <c r="AQ38" i="52"/>
  <c r="AP38" i="52"/>
  <c r="AO38" i="52"/>
  <c r="AN38" i="52"/>
  <c r="AM38" i="52"/>
  <c r="BP36" i="52"/>
  <c r="BO36" i="52"/>
  <c r="BN36" i="52"/>
  <c r="BM36" i="52"/>
  <c r="BL36" i="52"/>
  <c r="BK36" i="52"/>
  <c r="BJ36" i="52"/>
  <c r="BI36" i="52"/>
  <c r="BH36" i="52"/>
  <c r="BG36" i="52"/>
  <c r="BF36" i="52"/>
  <c r="BE36" i="52"/>
  <c r="BD36" i="52"/>
  <c r="BC36" i="52"/>
  <c r="BB36" i="52"/>
  <c r="BA36" i="52"/>
  <c r="AZ36" i="52"/>
  <c r="AY36" i="52"/>
  <c r="AX36" i="52"/>
  <c r="AW36" i="52"/>
  <c r="AV36" i="52"/>
  <c r="AU36" i="52"/>
  <c r="AT36" i="52"/>
  <c r="AS36" i="52"/>
  <c r="AR36" i="52"/>
  <c r="AQ36" i="52"/>
  <c r="AP36" i="52"/>
  <c r="AO36" i="52"/>
  <c r="AN36" i="52"/>
  <c r="AM36" i="52"/>
  <c r="BP34" i="52"/>
  <c r="BO34" i="52"/>
  <c r="BN34" i="52"/>
  <c r="BM34" i="52"/>
  <c r="BL34" i="52"/>
  <c r="BK34" i="52"/>
  <c r="BJ34" i="52"/>
  <c r="BI34" i="52"/>
  <c r="BH34" i="52"/>
  <c r="BG34" i="52"/>
  <c r="BF34" i="52"/>
  <c r="BE34" i="52"/>
  <c r="BD34" i="52"/>
  <c r="BC34" i="52"/>
  <c r="BB34" i="52"/>
  <c r="BA34" i="52"/>
  <c r="AZ34" i="52"/>
  <c r="AY34" i="52"/>
  <c r="AX34" i="52"/>
  <c r="AW34" i="52"/>
  <c r="AV34" i="52"/>
  <c r="AU34" i="52"/>
  <c r="AT34" i="52"/>
  <c r="AS34" i="52"/>
  <c r="AR34" i="52"/>
  <c r="AQ34" i="52"/>
  <c r="AP34" i="52"/>
  <c r="AO34" i="52"/>
  <c r="AN34" i="52"/>
  <c r="AM34" i="52"/>
  <c r="BP32" i="52"/>
  <c r="BO32" i="52"/>
  <c r="BN32" i="52"/>
  <c r="BM32" i="52"/>
  <c r="BL32" i="52"/>
  <c r="BK32" i="52"/>
  <c r="BJ32" i="52"/>
  <c r="BI32" i="52"/>
  <c r="BH32" i="52"/>
  <c r="BG32" i="52"/>
  <c r="BF32" i="52"/>
  <c r="BE32" i="52"/>
  <c r="BD32" i="52"/>
  <c r="BC32" i="52"/>
  <c r="BB32" i="52"/>
  <c r="BA32" i="52"/>
  <c r="AZ32" i="52"/>
  <c r="AY32" i="52"/>
  <c r="AX32" i="52"/>
  <c r="AW32" i="52"/>
  <c r="AV32" i="52"/>
  <c r="AU32" i="52"/>
  <c r="AT32" i="52"/>
  <c r="AS32" i="52"/>
  <c r="AR32" i="52"/>
  <c r="AQ32" i="52"/>
  <c r="AP32" i="52"/>
  <c r="AO32" i="52"/>
  <c r="AN32" i="52"/>
  <c r="AM32" i="52"/>
  <c r="BY30" i="52"/>
  <c r="BX30" i="52"/>
  <c r="BW30" i="52"/>
  <c r="BV30" i="52"/>
  <c r="BP30" i="52"/>
  <c r="BO30" i="52"/>
  <c r="BN30" i="52"/>
  <c r="BN92" i="52" s="1"/>
  <c r="BM30" i="52"/>
  <c r="BL30" i="52"/>
  <c r="BK30" i="52"/>
  <c r="BJ30" i="52"/>
  <c r="BI30" i="52"/>
  <c r="BH30" i="52"/>
  <c r="BG30" i="52"/>
  <c r="BF30" i="52"/>
  <c r="BF92" i="52" s="1"/>
  <c r="F193" i="52" s="1"/>
  <c r="BE30" i="52"/>
  <c r="BD30" i="52"/>
  <c r="BC30" i="52"/>
  <c r="BB30" i="52"/>
  <c r="BA30" i="52"/>
  <c r="AZ30" i="52"/>
  <c r="AY30" i="52"/>
  <c r="AX30" i="52"/>
  <c r="AX92" i="52" s="1"/>
  <c r="F204" i="52" s="1"/>
  <c r="AW30" i="52"/>
  <c r="AV30" i="52"/>
  <c r="AU30" i="52"/>
  <c r="AT30" i="52"/>
  <c r="AS30" i="52"/>
  <c r="AR30" i="52"/>
  <c r="AQ30" i="52"/>
  <c r="AP30" i="52"/>
  <c r="AO30" i="52"/>
  <c r="AN30" i="52"/>
  <c r="AM30" i="52"/>
  <c r="BV29" i="52"/>
  <c r="BY28" i="52"/>
  <c r="BX28" i="52"/>
  <c r="BW28" i="52"/>
  <c r="BV28" i="52"/>
  <c r="BP28" i="52"/>
  <c r="BO28" i="52"/>
  <c r="BN28" i="52"/>
  <c r="BM28" i="52"/>
  <c r="BL28" i="52"/>
  <c r="BK28" i="52"/>
  <c r="BJ28" i="52"/>
  <c r="BI28" i="52"/>
  <c r="BH28" i="52"/>
  <c r="BG28" i="52"/>
  <c r="BF28" i="52"/>
  <c r="BE28" i="52"/>
  <c r="BD28" i="52"/>
  <c r="BC28" i="52"/>
  <c r="BB28" i="52"/>
  <c r="BA28" i="52"/>
  <c r="AZ28" i="52"/>
  <c r="AY28" i="52"/>
  <c r="AX28" i="52"/>
  <c r="AW28" i="52"/>
  <c r="AV28" i="52"/>
  <c r="AU28" i="52"/>
  <c r="AT28" i="52"/>
  <c r="AS28" i="52"/>
  <c r="AR28" i="52"/>
  <c r="AQ28" i="52"/>
  <c r="AP28" i="52"/>
  <c r="AO28" i="52"/>
  <c r="AN28" i="52"/>
  <c r="AM28" i="52"/>
  <c r="BV27" i="52"/>
  <c r="BY26" i="52"/>
  <c r="BY32" i="52" s="1"/>
  <c r="AP92" i="52" s="1"/>
  <c r="U6" i="52" s="1"/>
  <c r="BX26" i="52"/>
  <c r="BX32" i="52" s="1"/>
  <c r="BW26" i="52"/>
  <c r="BW32" i="52" s="1"/>
  <c r="BV26" i="52"/>
  <c r="BV32" i="52" s="1"/>
  <c r="BP26" i="52"/>
  <c r="BO26" i="52"/>
  <c r="BN26" i="52"/>
  <c r="BM26" i="52"/>
  <c r="BL26" i="52"/>
  <c r="BK26" i="52"/>
  <c r="BJ26" i="52"/>
  <c r="BI26" i="52"/>
  <c r="BH26" i="52"/>
  <c r="BG26" i="52"/>
  <c r="BF26" i="52"/>
  <c r="BE26" i="52"/>
  <c r="BD26" i="52"/>
  <c r="BC26" i="52"/>
  <c r="BB26" i="52"/>
  <c r="BA26" i="52"/>
  <c r="AZ26" i="52"/>
  <c r="AY26" i="52"/>
  <c r="AX26" i="52"/>
  <c r="AW26" i="52"/>
  <c r="AV26" i="52"/>
  <c r="AU26" i="52"/>
  <c r="AT26" i="52"/>
  <c r="AS26" i="52"/>
  <c r="AR26" i="52"/>
  <c r="AQ26" i="52"/>
  <c r="AP26" i="52"/>
  <c r="AO26" i="52"/>
  <c r="AN26" i="52"/>
  <c r="AM26" i="52"/>
  <c r="BP24" i="52"/>
  <c r="BO24" i="52"/>
  <c r="BN24" i="52"/>
  <c r="BM24" i="52"/>
  <c r="BL24" i="52"/>
  <c r="BK24" i="52"/>
  <c r="BJ24" i="52"/>
  <c r="BI24" i="52"/>
  <c r="BH24" i="52"/>
  <c r="BG24" i="52"/>
  <c r="BF24" i="52"/>
  <c r="BE24" i="52"/>
  <c r="BD24" i="52"/>
  <c r="BC24" i="52"/>
  <c r="BB24" i="52"/>
  <c r="BA24" i="52"/>
  <c r="AZ24" i="52"/>
  <c r="AY24" i="52"/>
  <c r="AX24" i="52"/>
  <c r="AW24" i="52"/>
  <c r="AV24" i="52"/>
  <c r="AU24" i="52"/>
  <c r="AT24" i="52"/>
  <c r="AS24" i="52"/>
  <c r="AR24" i="52"/>
  <c r="AQ24" i="52"/>
  <c r="AP24" i="52"/>
  <c r="AO24" i="52"/>
  <c r="AN24" i="52"/>
  <c r="AM24" i="52"/>
  <c r="BP22" i="52"/>
  <c r="BO22" i="52"/>
  <c r="BN22" i="52"/>
  <c r="BM22" i="52"/>
  <c r="BL22" i="52"/>
  <c r="BK22" i="52"/>
  <c r="BJ22" i="52"/>
  <c r="BI22" i="52"/>
  <c r="BH22" i="52"/>
  <c r="BG22" i="52"/>
  <c r="BF22" i="52"/>
  <c r="BE22" i="52"/>
  <c r="BD22" i="52"/>
  <c r="BC22" i="52"/>
  <c r="BB22" i="52"/>
  <c r="BA22" i="52"/>
  <c r="AZ22" i="52"/>
  <c r="AY22" i="52"/>
  <c r="AX22" i="52"/>
  <c r="AW22" i="52"/>
  <c r="AV22" i="52"/>
  <c r="AU22" i="52"/>
  <c r="AT22" i="52"/>
  <c r="AS22" i="52"/>
  <c r="AR22" i="52"/>
  <c r="AQ22" i="52"/>
  <c r="AP22" i="52"/>
  <c r="AO22" i="52"/>
  <c r="AN22" i="52"/>
  <c r="AM22" i="52"/>
  <c r="BV20" i="52"/>
  <c r="BP20" i="52"/>
  <c r="BO20" i="52"/>
  <c r="BN20" i="52"/>
  <c r="BM20" i="52"/>
  <c r="BL20" i="52"/>
  <c r="BK20" i="52"/>
  <c r="BJ20" i="52"/>
  <c r="BI20" i="52"/>
  <c r="BH20" i="52"/>
  <c r="BG20" i="52"/>
  <c r="BF20" i="52"/>
  <c r="BE20" i="52"/>
  <c r="BD20" i="52"/>
  <c r="BC20" i="52"/>
  <c r="BB20" i="52"/>
  <c r="BA20" i="52"/>
  <c r="AZ20" i="52"/>
  <c r="AY20" i="52"/>
  <c r="AX20" i="52"/>
  <c r="AW20" i="52"/>
  <c r="AV20" i="52"/>
  <c r="AU20" i="52"/>
  <c r="AT20" i="52"/>
  <c r="AS20" i="52"/>
  <c r="AR20" i="52"/>
  <c r="AQ20" i="52"/>
  <c r="AP20" i="52"/>
  <c r="AO20" i="52"/>
  <c r="AN20" i="52"/>
  <c r="AM20" i="52"/>
  <c r="BP18" i="52"/>
  <c r="BO18" i="52"/>
  <c r="BN18" i="52"/>
  <c r="BM18" i="52"/>
  <c r="BL18" i="52"/>
  <c r="BK18" i="52"/>
  <c r="BJ18" i="52"/>
  <c r="BI18" i="52"/>
  <c r="BH18" i="52"/>
  <c r="BG18" i="52"/>
  <c r="BF18" i="52"/>
  <c r="BE18" i="52"/>
  <c r="BD18" i="52"/>
  <c r="BC18" i="52"/>
  <c r="BB18" i="52"/>
  <c r="BA18" i="52"/>
  <c r="AZ18" i="52"/>
  <c r="AY18" i="52"/>
  <c r="AX18" i="52"/>
  <c r="AW18" i="52"/>
  <c r="AV18" i="52"/>
  <c r="AU18" i="52"/>
  <c r="AT18" i="52"/>
  <c r="AS18" i="52"/>
  <c r="AR18" i="52"/>
  <c r="AQ18" i="52"/>
  <c r="AP18" i="52"/>
  <c r="AO18" i="52"/>
  <c r="AN18" i="52"/>
  <c r="AM18" i="52"/>
  <c r="BP16" i="52"/>
  <c r="BO16" i="52"/>
  <c r="BO92" i="52" s="1"/>
  <c r="BN16" i="52"/>
  <c r="BM16" i="52"/>
  <c r="BL16" i="52"/>
  <c r="BK16" i="52"/>
  <c r="BJ16" i="52"/>
  <c r="BJ92" i="52" s="1"/>
  <c r="F195" i="52" s="1"/>
  <c r="BI16" i="52"/>
  <c r="BH16" i="52"/>
  <c r="BG16" i="52"/>
  <c r="BF16" i="52"/>
  <c r="BE16" i="52"/>
  <c r="BD16" i="52"/>
  <c r="BD92" i="52" s="1"/>
  <c r="F203" i="52" s="1"/>
  <c r="BC16" i="52"/>
  <c r="BB16" i="52"/>
  <c r="BB92" i="52" s="1"/>
  <c r="F192" i="52" s="1"/>
  <c r="BA16" i="52"/>
  <c r="AZ16" i="52"/>
  <c r="AY16" i="52"/>
  <c r="AX16" i="52"/>
  <c r="AW16" i="52"/>
  <c r="AV16" i="52"/>
  <c r="AU16" i="52"/>
  <c r="AT16" i="52"/>
  <c r="AT92" i="52" s="1"/>
  <c r="U8" i="52" s="1"/>
  <c r="AP8" i="52" s="1"/>
  <c r="AS16" i="52"/>
  <c r="AS92" i="52" s="1"/>
  <c r="AR16" i="52"/>
  <c r="AQ16" i="52"/>
  <c r="AP16" i="52"/>
  <c r="AO16" i="52"/>
  <c r="AN16" i="52"/>
  <c r="AM16" i="52"/>
  <c r="D277" i="51"/>
  <c r="D276" i="51"/>
  <c r="D275" i="51"/>
  <c r="B275" i="51"/>
  <c r="Q273" i="51"/>
  <c r="O273" i="51"/>
  <c r="M273" i="51"/>
  <c r="AZ272" i="51"/>
  <c r="AY272" i="51"/>
  <c r="AW272" i="51"/>
  <c r="AV272" i="51"/>
  <c r="AN272" i="51"/>
  <c r="Q272" i="51"/>
  <c r="O272" i="51"/>
  <c r="M272" i="51"/>
  <c r="AZ271" i="51"/>
  <c r="AY271" i="51"/>
  <c r="AW271" i="51"/>
  <c r="AV271" i="51"/>
  <c r="Q271" i="51"/>
  <c r="O271" i="51"/>
  <c r="M271" i="51"/>
  <c r="AZ270" i="51"/>
  <c r="AY270" i="51"/>
  <c r="AW270" i="51"/>
  <c r="AV270" i="51"/>
  <c r="AN270" i="51"/>
  <c r="Q270" i="51"/>
  <c r="O270" i="51"/>
  <c r="M270" i="51"/>
  <c r="AZ269" i="51"/>
  <c r="AY269" i="51"/>
  <c r="AW269" i="51"/>
  <c r="AV269" i="51"/>
  <c r="Q269" i="51"/>
  <c r="O269" i="51"/>
  <c r="M269" i="51"/>
  <c r="AZ268" i="51"/>
  <c r="AY268" i="51"/>
  <c r="AW268" i="51"/>
  <c r="AV268" i="51"/>
  <c r="AN268" i="51"/>
  <c r="Q268" i="51"/>
  <c r="O268" i="51"/>
  <c r="M268" i="51"/>
  <c r="AZ267" i="51"/>
  <c r="AY267" i="51"/>
  <c r="AW267" i="51"/>
  <c r="AV267" i="51"/>
  <c r="Q267" i="51"/>
  <c r="O267" i="51"/>
  <c r="M267" i="51"/>
  <c r="AZ266" i="51"/>
  <c r="AY266" i="51"/>
  <c r="AW266" i="51"/>
  <c r="AV266" i="51"/>
  <c r="AN266" i="51"/>
  <c r="Q266" i="51"/>
  <c r="O266" i="51"/>
  <c r="M266" i="51"/>
  <c r="AZ265" i="51"/>
  <c r="AY265" i="51"/>
  <c r="AW265" i="51"/>
  <c r="AV265" i="51"/>
  <c r="Q265" i="51"/>
  <c r="O265" i="51"/>
  <c r="M265" i="51"/>
  <c r="AZ264" i="51"/>
  <c r="AY264" i="51"/>
  <c r="AW264" i="51"/>
  <c r="AV264" i="51"/>
  <c r="AN264" i="51"/>
  <c r="Q264" i="51"/>
  <c r="O264" i="51"/>
  <c r="M264" i="51"/>
  <c r="AZ263" i="51"/>
  <c r="AY263" i="51"/>
  <c r="AW263" i="51"/>
  <c r="AV263" i="51"/>
  <c r="Q263" i="51"/>
  <c r="O263" i="51"/>
  <c r="M263" i="51"/>
  <c r="AZ262" i="51"/>
  <c r="AY262" i="51"/>
  <c r="AW262" i="51"/>
  <c r="AV262" i="51"/>
  <c r="AN262" i="51"/>
  <c r="Q262" i="51"/>
  <c r="O262" i="51"/>
  <c r="M262" i="51"/>
  <c r="AZ261" i="51"/>
  <c r="AY261" i="51"/>
  <c r="AW261" i="51"/>
  <c r="Q261" i="51"/>
  <c r="O261" i="51"/>
  <c r="M261" i="51"/>
  <c r="AZ260" i="51"/>
  <c r="AV260" i="51"/>
  <c r="AN260" i="51"/>
  <c r="Q260" i="51"/>
  <c r="O260" i="51"/>
  <c r="M260" i="51"/>
  <c r="AZ259" i="51"/>
  <c r="AW259" i="51"/>
  <c r="AV259" i="51"/>
  <c r="Q259" i="51"/>
  <c r="O259" i="51"/>
  <c r="M259" i="51"/>
  <c r="AZ258" i="51"/>
  <c r="AN258" i="51"/>
  <c r="Q258" i="51"/>
  <c r="O258" i="51"/>
  <c r="M258" i="51"/>
  <c r="AZ257" i="51"/>
  <c r="AY257" i="51"/>
  <c r="Q257" i="51"/>
  <c r="O257" i="51"/>
  <c r="M257" i="51"/>
  <c r="AZ256" i="51"/>
  <c r="AN256" i="51"/>
  <c r="Q256" i="51"/>
  <c r="O256" i="51"/>
  <c r="M256" i="51"/>
  <c r="AZ255" i="51"/>
  <c r="AW255" i="51"/>
  <c r="Q255" i="51"/>
  <c r="O255" i="51"/>
  <c r="M255" i="51"/>
  <c r="AZ254" i="51"/>
  <c r="AN254" i="51"/>
  <c r="Q254" i="51"/>
  <c r="O254" i="51"/>
  <c r="M254" i="51"/>
  <c r="AZ253" i="51"/>
  <c r="AY253" i="51"/>
  <c r="AW253" i="51"/>
  <c r="AV253" i="51"/>
  <c r="Q253" i="51"/>
  <c r="O253" i="51"/>
  <c r="M253" i="51"/>
  <c r="AZ252" i="51"/>
  <c r="AY252" i="51"/>
  <c r="AW252" i="51"/>
  <c r="AV252" i="51"/>
  <c r="AN252" i="51"/>
  <c r="Q252" i="51"/>
  <c r="O252" i="51"/>
  <c r="M252" i="51"/>
  <c r="AZ251" i="51"/>
  <c r="AY251" i="51"/>
  <c r="AW251" i="51"/>
  <c r="AV251" i="51"/>
  <c r="Q251" i="51"/>
  <c r="O251" i="51"/>
  <c r="M251" i="51"/>
  <c r="AZ250" i="51"/>
  <c r="AY250" i="51"/>
  <c r="AW250" i="51"/>
  <c r="AV250" i="51"/>
  <c r="AN250" i="51"/>
  <c r="Q250" i="51"/>
  <c r="O250" i="51"/>
  <c r="M250" i="51"/>
  <c r="AZ249" i="51"/>
  <c r="AY249" i="51"/>
  <c r="AW249" i="51"/>
  <c r="AV249" i="51"/>
  <c r="Q249" i="51"/>
  <c r="O249" i="51"/>
  <c r="M249" i="51"/>
  <c r="AZ248" i="51"/>
  <c r="AY248" i="51"/>
  <c r="AW248" i="51"/>
  <c r="AV248" i="51"/>
  <c r="AN248" i="51"/>
  <c r="Q248" i="51"/>
  <c r="O248" i="51"/>
  <c r="M248" i="51"/>
  <c r="AZ247" i="51"/>
  <c r="AY247" i="51"/>
  <c r="AW247" i="51"/>
  <c r="AV247" i="51"/>
  <c r="Q247" i="51"/>
  <c r="O247" i="51"/>
  <c r="M247" i="51"/>
  <c r="AZ246" i="51"/>
  <c r="AY246" i="51"/>
  <c r="AW246" i="51"/>
  <c r="AV246" i="51"/>
  <c r="AN246" i="51"/>
  <c r="Q246" i="51"/>
  <c r="O246" i="51"/>
  <c r="M246" i="51"/>
  <c r="AZ245" i="51"/>
  <c r="AY245" i="51"/>
  <c r="AW245" i="51"/>
  <c r="AV245" i="51"/>
  <c r="Q245" i="51"/>
  <c r="O245" i="51"/>
  <c r="M245" i="51"/>
  <c r="AZ244" i="51"/>
  <c r="AY244" i="51"/>
  <c r="AW244" i="51"/>
  <c r="AV244" i="51"/>
  <c r="AN244" i="51"/>
  <c r="Q244" i="51"/>
  <c r="O244" i="51"/>
  <c r="M244" i="51"/>
  <c r="AZ243" i="51"/>
  <c r="AY243" i="51"/>
  <c r="AW243" i="51"/>
  <c r="AV243" i="51"/>
  <c r="Q243" i="51"/>
  <c r="O243" i="51"/>
  <c r="M243" i="51"/>
  <c r="AZ242" i="51"/>
  <c r="AY242" i="51"/>
  <c r="AW242" i="51"/>
  <c r="AV242" i="51"/>
  <c r="AN242" i="51"/>
  <c r="Q242" i="51"/>
  <c r="O242" i="51"/>
  <c r="M242" i="51"/>
  <c r="AZ241" i="51"/>
  <c r="AY241" i="51"/>
  <c r="AW241" i="51"/>
  <c r="AV241" i="51"/>
  <c r="Q241" i="51"/>
  <c r="O241" i="51"/>
  <c r="M241" i="51"/>
  <c r="AZ240" i="51"/>
  <c r="AY240" i="51"/>
  <c r="AW240" i="51"/>
  <c r="AV240" i="51"/>
  <c r="AN240" i="51"/>
  <c r="Q240" i="51"/>
  <c r="O240" i="51"/>
  <c r="M240" i="51"/>
  <c r="AZ239" i="51"/>
  <c r="AY239" i="51"/>
  <c r="AW239" i="51"/>
  <c r="AV239" i="51"/>
  <c r="Q239" i="51"/>
  <c r="O239" i="51"/>
  <c r="M239" i="51"/>
  <c r="AZ238" i="51"/>
  <c r="AY238" i="51"/>
  <c r="AW238" i="51"/>
  <c r="AV238" i="51"/>
  <c r="AN238" i="51"/>
  <c r="Q238" i="51"/>
  <c r="O238" i="51"/>
  <c r="M238" i="51"/>
  <c r="AZ237" i="51"/>
  <c r="AY237" i="51"/>
  <c r="AW237" i="51"/>
  <c r="AV237" i="51"/>
  <c r="Q237" i="51"/>
  <c r="O237" i="51"/>
  <c r="M237" i="51"/>
  <c r="AZ236" i="51"/>
  <c r="AY236" i="51"/>
  <c r="AW236" i="51"/>
  <c r="AV236" i="51"/>
  <c r="AN236" i="51"/>
  <c r="Q236" i="51"/>
  <c r="O236" i="51"/>
  <c r="M236" i="51"/>
  <c r="AZ235" i="51"/>
  <c r="AY235" i="51"/>
  <c r="AW235" i="51"/>
  <c r="AV235" i="51"/>
  <c r="Q235" i="51"/>
  <c r="Q275" i="51" s="1"/>
  <c r="O235" i="51"/>
  <c r="M235" i="51"/>
  <c r="AZ234" i="51"/>
  <c r="AY234" i="51"/>
  <c r="AW234" i="51"/>
  <c r="AV234" i="51"/>
  <c r="AN234" i="51"/>
  <c r="Q234" i="51"/>
  <c r="O234" i="51"/>
  <c r="O275" i="51" s="1"/>
  <c r="M234" i="51"/>
  <c r="AT234" i="51" s="1"/>
  <c r="H181" i="51"/>
  <c r="AV261" i="51" s="1"/>
  <c r="H180" i="51"/>
  <c r="AY260" i="51" s="1"/>
  <c r="H179" i="51"/>
  <c r="AY259" i="51" s="1"/>
  <c r="H178" i="51"/>
  <c r="AY258" i="51" s="1"/>
  <c r="H177" i="51"/>
  <c r="H176" i="51"/>
  <c r="AW257" i="51" s="1"/>
  <c r="H175" i="51"/>
  <c r="AY256" i="51" s="1"/>
  <c r="H174" i="51"/>
  <c r="H173" i="51"/>
  <c r="H172" i="51"/>
  <c r="AY255" i="51" s="1"/>
  <c r="H171" i="51"/>
  <c r="H170" i="51"/>
  <c r="AY254" i="51" s="1"/>
  <c r="H169" i="51"/>
  <c r="H168" i="51"/>
  <c r="H167" i="51"/>
  <c r="H166" i="51"/>
  <c r="H165" i="51"/>
  <c r="H164" i="51"/>
  <c r="H163" i="51"/>
  <c r="H162" i="51"/>
  <c r="H161" i="51"/>
  <c r="H160" i="51"/>
  <c r="H159" i="51"/>
  <c r="H158" i="51"/>
  <c r="H157" i="51"/>
  <c r="H156" i="51"/>
  <c r="H155" i="51"/>
  <c r="H154" i="51"/>
  <c r="H153" i="51"/>
  <c r="H152" i="51"/>
  <c r="H151" i="51"/>
  <c r="H150" i="51"/>
  <c r="H149" i="51"/>
  <c r="H148" i="51"/>
  <c r="H147" i="51"/>
  <c r="H146" i="51"/>
  <c r="H145" i="51"/>
  <c r="H144" i="51"/>
  <c r="H143" i="51"/>
  <c r="H142" i="51"/>
  <c r="H141" i="51"/>
  <c r="H140" i="51"/>
  <c r="H139" i="51"/>
  <c r="H138" i="51"/>
  <c r="H137" i="51"/>
  <c r="H136" i="51"/>
  <c r="H135" i="51"/>
  <c r="H134" i="51"/>
  <c r="H133" i="51"/>
  <c r="H132" i="51"/>
  <c r="H131" i="51"/>
  <c r="H130" i="51"/>
  <c r="H129" i="51"/>
  <c r="H128" i="51"/>
  <c r="H127" i="51"/>
  <c r="H126" i="51"/>
  <c r="H125" i="51"/>
  <c r="H124" i="51"/>
  <c r="H123" i="51"/>
  <c r="H122" i="51"/>
  <c r="H121" i="51"/>
  <c r="H120" i="51"/>
  <c r="H119" i="51"/>
  <c r="H118" i="51"/>
  <c r="H117" i="51"/>
  <c r="H116" i="51"/>
  <c r="H115" i="51"/>
  <c r="H114" i="51"/>
  <c r="H113" i="51"/>
  <c r="H112" i="51"/>
  <c r="H111" i="51"/>
  <c r="H110" i="51"/>
  <c r="H109" i="51"/>
  <c r="H108" i="51"/>
  <c r="H107" i="51"/>
  <c r="H106" i="51"/>
  <c r="H105" i="51"/>
  <c r="H104" i="51"/>
  <c r="H103" i="51"/>
  <c r="B188" i="51" s="1" a="1"/>
  <c r="B188" i="51" s="1"/>
  <c r="BS92" i="51"/>
  <c r="BU90" i="51"/>
  <c r="BT90" i="51"/>
  <c r="BS90" i="51"/>
  <c r="BR90" i="51"/>
  <c r="BQ90" i="51"/>
  <c r="BP90" i="51"/>
  <c r="BO90" i="51"/>
  <c r="BN90" i="51"/>
  <c r="BM90" i="51"/>
  <c r="BL90" i="51"/>
  <c r="BK90" i="51"/>
  <c r="AU90" i="51"/>
  <c r="AR90" i="51"/>
  <c r="AQ90" i="51"/>
  <c r="AO90" i="51"/>
  <c r="AN90" i="51"/>
  <c r="AM90" i="51"/>
  <c r="BQ89" i="51"/>
  <c r="BQ92" i="51" s="1"/>
  <c r="BP89" i="51"/>
  <c r="BO89" i="51"/>
  <c r="BN89" i="51"/>
  <c r="BM89" i="51"/>
  <c r="BL89" i="51"/>
  <c r="BK89" i="51"/>
  <c r="AU89" i="51"/>
  <c r="AR89" i="51"/>
  <c r="AQ89" i="51"/>
  <c r="AO89" i="51"/>
  <c r="AN89" i="51"/>
  <c r="AM89" i="51"/>
  <c r="BU88" i="51"/>
  <c r="BT88" i="51"/>
  <c r="BS88" i="51"/>
  <c r="BR88" i="51"/>
  <c r="BQ88" i="51"/>
  <c r="BP88" i="51"/>
  <c r="BO88" i="51"/>
  <c r="BN88" i="51"/>
  <c r="BM88" i="51"/>
  <c r="BL88" i="51"/>
  <c r="BK88" i="51"/>
  <c r="AU88" i="51"/>
  <c r="AR88" i="51"/>
  <c r="AQ88" i="51"/>
  <c r="AO88" i="51"/>
  <c r="AN88" i="51"/>
  <c r="AM88" i="51"/>
  <c r="BQ87" i="51"/>
  <c r="BP87" i="51"/>
  <c r="BO87" i="51"/>
  <c r="BN87" i="51"/>
  <c r="BM87" i="51"/>
  <c r="BL87" i="51"/>
  <c r="BK87" i="51"/>
  <c r="AU87" i="51"/>
  <c r="AR87" i="51"/>
  <c r="AQ87" i="51"/>
  <c r="AO87" i="51"/>
  <c r="AN87" i="51"/>
  <c r="AM87" i="51"/>
  <c r="BU86" i="51"/>
  <c r="BU92" i="51" s="1"/>
  <c r="BT86" i="51"/>
  <c r="BT92" i="51" s="1"/>
  <c r="BS86" i="51"/>
  <c r="BR86" i="51"/>
  <c r="BR92" i="51" s="1"/>
  <c r="BQ86" i="51"/>
  <c r="BP86" i="51"/>
  <c r="BO86" i="51"/>
  <c r="BN86" i="51"/>
  <c r="BM86" i="51"/>
  <c r="BL86" i="51"/>
  <c r="BK86" i="51"/>
  <c r="AU86" i="51"/>
  <c r="AR86" i="51"/>
  <c r="AQ86" i="51"/>
  <c r="AO86" i="51"/>
  <c r="AN86" i="51"/>
  <c r="AM86" i="51"/>
  <c r="BP82" i="51"/>
  <c r="BO82" i="51"/>
  <c r="BN82" i="51"/>
  <c r="BM82" i="51"/>
  <c r="BL82" i="51"/>
  <c r="BK82" i="51"/>
  <c r="BJ82" i="51"/>
  <c r="BI82" i="51"/>
  <c r="BH82" i="51"/>
  <c r="BG82" i="51"/>
  <c r="BF82" i="51"/>
  <c r="BE82" i="51"/>
  <c r="BD82" i="51"/>
  <c r="BC82" i="51"/>
  <c r="BB82" i="51"/>
  <c r="BA82" i="51"/>
  <c r="AZ82" i="51"/>
  <c r="AY82" i="51"/>
  <c r="AX82" i="51"/>
  <c r="AW82" i="51"/>
  <c r="AV82" i="51"/>
  <c r="AU82" i="51"/>
  <c r="AT82" i="51"/>
  <c r="AS82" i="51"/>
  <c r="AR82" i="51"/>
  <c r="AQ82" i="51"/>
  <c r="AP82" i="51"/>
  <c r="AO82" i="51"/>
  <c r="AN82" i="51"/>
  <c r="AM82" i="51"/>
  <c r="BP80" i="51"/>
  <c r="BO80" i="51"/>
  <c r="BN80" i="51"/>
  <c r="BM80" i="51"/>
  <c r="BL80" i="51"/>
  <c r="BK80" i="51"/>
  <c r="BJ80" i="51"/>
  <c r="BI80" i="51"/>
  <c r="BH80" i="51"/>
  <c r="BG80" i="51"/>
  <c r="BF80" i="51"/>
  <c r="BE80" i="51"/>
  <c r="BD80" i="51"/>
  <c r="BC80" i="51"/>
  <c r="BB80" i="51"/>
  <c r="BA80" i="51"/>
  <c r="AZ80" i="51"/>
  <c r="AY80" i="51"/>
  <c r="AX80" i="51"/>
  <c r="AW80" i="51"/>
  <c r="AV80" i="51"/>
  <c r="AU80" i="51"/>
  <c r="AT80" i="51"/>
  <c r="AS80" i="51"/>
  <c r="AR80" i="51"/>
  <c r="AQ80" i="51"/>
  <c r="AP80" i="51"/>
  <c r="AO80" i="51"/>
  <c r="AN80" i="51"/>
  <c r="AM80" i="51"/>
  <c r="BP78" i="51"/>
  <c r="BO78" i="51"/>
  <c r="BN78" i="51"/>
  <c r="BM78" i="51"/>
  <c r="BL78" i="51"/>
  <c r="BK78" i="51"/>
  <c r="BJ78" i="51"/>
  <c r="BI78" i="51"/>
  <c r="BH78" i="51"/>
  <c r="BG78" i="51"/>
  <c r="BF78" i="51"/>
  <c r="BE78" i="51"/>
  <c r="BD78" i="51"/>
  <c r="BC78" i="51"/>
  <c r="BB78" i="51"/>
  <c r="BA78" i="51"/>
  <c r="AZ78" i="51"/>
  <c r="AY78" i="51"/>
  <c r="AX78" i="51"/>
  <c r="AW78" i="51"/>
  <c r="AV78" i="51"/>
  <c r="AU78" i="51"/>
  <c r="AT78" i="51"/>
  <c r="AS78" i="51"/>
  <c r="AR78" i="51"/>
  <c r="AQ78" i="51"/>
  <c r="AP78" i="51"/>
  <c r="AO78" i="51"/>
  <c r="AN78" i="51"/>
  <c r="AM78" i="51"/>
  <c r="BP74" i="51"/>
  <c r="BO74" i="51"/>
  <c r="BN74" i="51"/>
  <c r="BM74" i="51"/>
  <c r="BL74" i="51"/>
  <c r="BK74" i="51"/>
  <c r="BJ74" i="51"/>
  <c r="BI74" i="51"/>
  <c r="BH74" i="51"/>
  <c r="BG74" i="51"/>
  <c r="BF74" i="51"/>
  <c r="BE74" i="51"/>
  <c r="BD74" i="51"/>
  <c r="BC74" i="51"/>
  <c r="BB74" i="51"/>
  <c r="BA74" i="51"/>
  <c r="AZ74" i="51"/>
  <c r="AY74" i="51"/>
  <c r="AX74" i="51"/>
  <c r="AW74" i="51"/>
  <c r="AV74" i="51"/>
  <c r="AU74" i="51"/>
  <c r="AT74" i="51"/>
  <c r="AS74" i="51"/>
  <c r="AR74" i="51"/>
  <c r="AQ74" i="51"/>
  <c r="AP74" i="51"/>
  <c r="AO74" i="51"/>
  <c r="AN74" i="51"/>
  <c r="AM74" i="51"/>
  <c r="BP72" i="51"/>
  <c r="BO72" i="51"/>
  <c r="BN72" i="51"/>
  <c r="BM72" i="51"/>
  <c r="BL72" i="51"/>
  <c r="BK72" i="51"/>
  <c r="BJ72" i="51"/>
  <c r="BI72" i="51"/>
  <c r="BH72" i="51"/>
  <c r="BG72" i="51"/>
  <c r="BF72" i="51"/>
  <c r="BE72" i="51"/>
  <c r="BD72" i="51"/>
  <c r="BC72" i="51"/>
  <c r="BB72" i="51"/>
  <c r="BA72" i="51"/>
  <c r="AZ72" i="51"/>
  <c r="AY72" i="51"/>
  <c r="AX72" i="51"/>
  <c r="AW72" i="51"/>
  <c r="AV72" i="51"/>
  <c r="AU72" i="51"/>
  <c r="AT72" i="51"/>
  <c r="AS72" i="51"/>
  <c r="AR72" i="51"/>
  <c r="AQ72" i="51"/>
  <c r="AP72" i="51"/>
  <c r="AO72" i="51"/>
  <c r="AN72" i="51"/>
  <c r="AM72" i="51"/>
  <c r="BP70" i="51"/>
  <c r="BO70" i="51"/>
  <c r="BN70" i="51"/>
  <c r="BM70" i="51"/>
  <c r="BL70" i="51"/>
  <c r="BK70" i="51"/>
  <c r="BJ70" i="51"/>
  <c r="BI70" i="51"/>
  <c r="BH70" i="51"/>
  <c r="BG70" i="51"/>
  <c r="BF70" i="51"/>
  <c r="BE70" i="51"/>
  <c r="BD70" i="51"/>
  <c r="BC70" i="51"/>
  <c r="BB70" i="51"/>
  <c r="BA70" i="51"/>
  <c r="AZ70" i="51"/>
  <c r="AY70" i="51"/>
  <c r="AX70" i="51"/>
  <c r="AW70" i="51"/>
  <c r="AV70" i="51"/>
  <c r="AU70" i="51"/>
  <c r="AT70" i="51"/>
  <c r="AS70" i="51"/>
  <c r="AR70" i="51"/>
  <c r="AQ70" i="51"/>
  <c r="AP70" i="51"/>
  <c r="AO70" i="51"/>
  <c r="AN70" i="51"/>
  <c r="AM70" i="51"/>
  <c r="BP66" i="51"/>
  <c r="BO66" i="51"/>
  <c r="BN66" i="51"/>
  <c r="BM66" i="51"/>
  <c r="BL66" i="51"/>
  <c r="BK66" i="51"/>
  <c r="BJ66" i="51"/>
  <c r="BI66" i="51"/>
  <c r="BH66" i="51"/>
  <c r="BG66" i="51"/>
  <c r="BF66" i="51"/>
  <c r="BE66" i="51"/>
  <c r="BD66" i="51"/>
  <c r="BC66" i="51"/>
  <c r="BB66" i="51"/>
  <c r="BA66" i="51"/>
  <c r="AZ66" i="51"/>
  <c r="AY66" i="51"/>
  <c r="AX66" i="51"/>
  <c r="AW66" i="51"/>
  <c r="AV66" i="51"/>
  <c r="AU66" i="51"/>
  <c r="AT66" i="51"/>
  <c r="AS66" i="51"/>
  <c r="AR66" i="51"/>
  <c r="AQ66" i="51"/>
  <c r="AP66" i="51"/>
  <c r="AO66" i="51"/>
  <c r="AN66" i="51"/>
  <c r="AM66" i="51"/>
  <c r="BP64" i="51"/>
  <c r="BO64" i="51"/>
  <c r="BN64" i="51"/>
  <c r="BM64" i="51"/>
  <c r="BL64" i="51"/>
  <c r="BK64" i="51"/>
  <c r="BJ64" i="51"/>
  <c r="BI64" i="51"/>
  <c r="BH64" i="51"/>
  <c r="BG64" i="51"/>
  <c r="BF64" i="51"/>
  <c r="BE64" i="51"/>
  <c r="BD64" i="51"/>
  <c r="BC64" i="51"/>
  <c r="BB64" i="51"/>
  <c r="BA64" i="51"/>
  <c r="AZ64" i="51"/>
  <c r="AY64" i="51"/>
  <c r="AX64" i="51"/>
  <c r="AW64" i="51"/>
  <c r="AV64" i="51"/>
  <c r="AU64" i="51"/>
  <c r="AT64" i="51"/>
  <c r="AS64" i="51"/>
  <c r="AR64" i="51"/>
  <c r="AQ64" i="51"/>
  <c r="AP64" i="51"/>
  <c r="AO64" i="51"/>
  <c r="AN64" i="51"/>
  <c r="AM64" i="51"/>
  <c r="BP62" i="51"/>
  <c r="BO62" i="51"/>
  <c r="BN62" i="51"/>
  <c r="BM62" i="51"/>
  <c r="BL62" i="51"/>
  <c r="BK62" i="51"/>
  <c r="BJ62" i="51"/>
  <c r="BI62" i="51"/>
  <c r="BH62" i="51"/>
  <c r="BG62" i="51"/>
  <c r="BF62" i="51"/>
  <c r="BE62" i="51"/>
  <c r="BD62" i="51"/>
  <c r="BC62" i="51"/>
  <c r="BB62" i="51"/>
  <c r="BA62" i="51"/>
  <c r="AZ62" i="51"/>
  <c r="AY62" i="51"/>
  <c r="AX62" i="51"/>
  <c r="AW62" i="51"/>
  <c r="AV62" i="51"/>
  <c r="AU62" i="51"/>
  <c r="AT62" i="51"/>
  <c r="AS62" i="51"/>
  <c r="AR62" i="51"/>
  <c r="AQ62" i="51"/>
  <c r="AP62" i="51"/>
  <c r="AO62" i="51"/>
  <c r="AN62" i="51"/>
  <c r="AM62" i="51"/>
  <c r="BP60" i="51"/>
  <c r="BO60" i="51"/>
  <c r="BN60" i="51"/>
  <c r="BM60" i="51"/>
  <c r="BL60" i="51"/>
  <c r="BK60" i="51"/>
  <c r="BJ60" i="51"/>
  <c r="BI60" i="51"/>
  <c r="BH60" i="51"/>
  <c r="BG60" i="51"/>
  <c r="BF60" i="51"/>
  <c r="BE60" i="51"/>
  <c r="BD60" i="51"/>
  <c r="BC60" i="51"/>
  <c r="BB60" i="51"/>
  <c r="BA60" i="51"/>
  <c r="AZ60" i="51"/>
  <c r="AY60" i="51"/>
  <c r="AX60" i="51"/>
  <c r="AW60" i="51"/>
  <c r="AV60" i="51"/>
  <c r="AU60" i="51"/>
  <c r="AT60" i="51"/>
  <c r="AS60" i="51"/>
  <c r="AR60" i="51"/>
  <c r="AQ60" i="51"/>
  <c r="AP60" i="51"/>
  <c r="AO60" i="51"/>
  <c r="AN60" i="51"/>
  <c r="AM60" i="51"/>
  <c r="BP58" i="51"/>
  <c r="BO58" i="51"/>
  <c r="BN58" i="51"/>
  <c r="BM58" i="51"/>
  <c r="BL58" i="51"/>
  <c r="BK58" i="51"/>
  <c r="BJ58" i="51"/>
  <c r="BI58" i="51"/>
  <c r="BH58" i="51"/>
  <c r="BG58" i="51"/>
  <c r="BF58" i="51"/>
  <c r="BE58" i="51"/>
  <c r="BD58" i="51"/>
  <c r="BC58" i="51"/>
  <c r="BB58" i="51"/>
  <c r="BA58" i="51"/>
  <c r="AZ58" i="51"/>
  <c r="AY58" i="51"/>
  <c r="AX58" i="51"/>
  <c r="AW58" i="51"/>
  <c r="AV58" i="51"/>
  <c r="AU58" i="51"/>
  <c r="AT58" i="51"/>
  <c r="AS58" i="51"/>
  <c r="AR58" i="51"/>
  <c r="AQ58" i="51"/>
  <c r="AP58" i="51"/>
  <c r="AO58" i="51"/>
  <c r="AN58" i="51"/>
  <c r="AM58" i="51"/>
  <c r="BP56" i="51"/>
  <c r="BO56" i="51"/>
  <c r="BN56" i="51"/>
  <c r="BM56" i="51"/>
  <c r="BL56" i="51"/>
  <c r="BK56" i="51"/>
  <c r="BJ56" i="51"/>
  <c r="BI56" i="51"/>
  <c r="BH56" i="51"/>
  <c r="BG56" i="51"/>
  <c r="BF56" i="51"/>
  <c r="BE56" i="51"/>
  <c r="BD56" i="51"/>
  <c r="BC56" i="51"/>
  <c r="BB56" i="51"/>
  <c r="BA56" i="51"/>
  <c r="AZ56" i="51"/>
  <c r="AY56" i="51"/>
  <c r="AX56" i="51"/>
  <c r="AW56" i="51"/>
  <c r="AV56" i="51"/>
  <c r="AU56" i="51"/>
  <c r="AT56" i="51"/>
  <c r="AS56" i="51"/>
  <c r="AR56" i="51"/>
  <c r="AQ56" i="51"/>
  <c r="AP56" i="51"/>
  <c r="AO56" i="51"/>
  <c r="AN56" i="51"/>
  <c r="AM56" i="51"/>
  <c r="BP54" i="51"/>
  <c r="BO54" i="51"/>
  <c r="BN54" i="51"/>
  <c r="BM54" i="51"/>
  <c r="BL54" i="51"/>
  <c r="BK54" i="51"/>
  <c r="BJ54" i="51"/>
  <c r="BI54" i="51"/>
  <c r="BH54" i="51"/>
  <c r="BG54" i="51"/>
  <c r="BF54" i="51"/>
  <c r="BE54" i="51"/>
  <c r="BD54" i="51"/>
  <c r="BC54" i="51"/>
  <c r="BB54" i="51"/>
  <c r="BA54" i="51"/>
  <c r="AZ54" i="51"/>
  <c r="AY54" i="51"/>
  <c r="AX54" i="51"/>
  <c r="AW54" i="51"/>
  <c r="AV54" i="51"/>
  <c r="AU54" i="51"/>
  <c r="AT54" i="51"/>
  <c r="AS54" i="51"/>
  <c r="AR54" i="51"/>
  <c r="AQ54" i="51"/>
  <c r="AP54" i="51"/>
  <c r="AO54" i="51"/>
  <c r="AN54" i="51"/>
  <c r="AM54" i="51"/>
  <c r="BP52" i="51"/>
  <c r="BO52" i="51"/>
  <c r="BN52" i="51"/>
  <c r="BM52" i="51"/>
  <c r="BL52" i="51"/>
  <c r="BK52" i="51"/>
  <c r="BJ52" i="51"/>
  <c r="BI52" i="51"/>
  <c r="BH52" i="51"/>
  <c r="BG52" i="51"/>
  <c r="BF52" i="51"/>
  <c r="BE52" i="51"/>
  <c r="BD52" i="51"/>
  <c r="BC52" i="51"/>
  <c r="BB52" i="51"/>
  <c r="BA52" i="51"/>
  <c r="AZ52" i="51"/>
  <c r="AY52" i="51"/>
  <c r="AX52" i="51"/>
  <c r="AW52" i="51"/>
  <c r="AV52" i="51"/>
  <c r="AU52" i="51"/>
  <c r="AT52" i="51"/>
  <c r="AS52" i="51"/>
  <c r="AR52" i="51"/>
  <c r="AQ52" i="51"/>
  <c r="AP52" i="51"/>
  <c r="AO52" i="51"/>
  <c r="AN52" i="51"/>
  <c r="AM52" i="51"/>
  <c r="BP50" i="51"/>
  <c r="BO50" i="51"/>
  <c r="BN50" i="51"/>
  <c r="BM50" i="51"/>
  <c r="BL50" i="51"/>
  <c r="BK50" i="51"/>
  <c r="BJ50" i="51"/>
  <c r="BI50" i="51"/>
  <c r="BH50" i="51"/>
  <c r="BG50" i="51"/>
  <c r="BF50" i="51"/>
  <c r="BE50" i="51"/>
  <c r="BD50" i="51"/>
  <c r="BC50" i="51"/>
  <c r="BB50" i="51"/>
  <c r="BA50" i="51"/>
  <c r="AZ50" i="51"/>
  <c r="AY50" i="51"/>
  <c r="AX50" i="51"/>
  <c r="AW50" i="51"/>
  <c r="AV50" i="51"/>
  <c r="AU50" i="51"/>
  <c r="AT50" i="51"/>
  <c r="AS50" i="51"/>
  <c r="AR50" i="51"/>
  <c r="AQ50" i="51"/>
  <c r="AP50" i="51"/>
  <c r="AO50" i="51"/>
  <c r="AN50" i="51"/>
  <c r="AM50" i="51"/>
  <c r="BP48" i="51"/>
  <c r="BO48" i="51"/>
  <c r="BN48" i="51"/>
  <c r="BM48" i="51"/>
  <c r="BL48" i="51"/>
  <c r="BK48" i="51"/>
  <c r="BJ48" i="51"/>
  <c r="BI48" i="51"/>
  <c r="BH48" i="51"/>
  <c r="BG48" i="51"/>
  <c r="BF48" i="51"/>
  <c r="BE48" i="51"/>
  <c r="BD48" i="51"/>
  <c r="BC48" i="51"/>
  <c r="BB48" i="51"/>
  <c r="BA48" i="51"/>
  <c r="AZ48" i="51"/>
  <c r="AY48" i="51"/>
  <c r="AX48" i="51"/>
  <c r="AW48" i="51"/>
  <c r="AV48" i="51"/>
  <c r="AU48" i="51"/>
  <c r="AT48" i="51"/>
  <c r="AS48" i="51"/>
  <c r="AR48" i="51"/>
  <c r="AQ48" i="51"/>
  <c r="AP48" i="51"/>
  <c r="AO48" i="51"/>
  <c r="AN48" i="51"/>
  <c r="AM48" i="51"/>
  <c r="BP46" i="51"/>
  <c r="BO46" i="51"/>
  <c r="BN46" i="51"/>
  <c r="BM46" i="51"/>
  <c r="BL46" i="51"/>
  <c r="BK46" i="51"/>
  <c r="BJ46" i="51"/>
  <c r="BI46" i="51"/>
  <c r="BH46" i="51"/>
  <c r="BG46" i="51"/>
  <c r="BF46" i="51"/>
  <c r="BE46" i="51"/>
  <c r="BD46" i="51"/>
  <c r="BC46" i="51"/>
  <c r="BB46" i="51"/>
  <c r="BA46" i="51"/>
  <c r="AZ46" i="51"/>
  <c r="AY46" i="51"/>
  <c r="AX46" i="51"/>
  <c r="AW46" i="51"/>
  <c r="AV46" i="51"/>
  <c r="AU46" i="51"/>
  <c r="AT46" i="51"/>
  <c r="AS46" i="51"/>
  <c r="AR46" i="51"/>
  <c r="AQ46" i="51"/>
  <c r="AP46" i="51"/>
  <c r="AO46" i="51"/>
  <c r="AN46" i="51"/>
  <c r="AM46" i="51"/>
  <c r="BP44" i="51"/>
  <c r="BO44" i="51"/>
  <c r="BN44" i="51"/>
  <c r="BM44" i="51"/>
  <c r="BL44" i="51"/>
  <c r="BK44" i="51"/>
  <c r="BJ44" i="51"/>
  <c r="BI44" i="51"/>
  <c r="BH44" i="51"/>
  <c r="BG44" i="51"/>
  <c r="BF44" i="51"/>
  <c r="BE44" i="51"/>
  <c r="BD44" i="51"/>
  <c r="BC44" i="51"/>
  <c r="BB44" i="51"/>
  <c r="BA44" i="51"/>
  <c r="AZ44" i="51"/>
  <c r="AY44" i="51"/>
  <c r="AX44" i="51"/>
  <c r="AW44" i="51"/>
  <c r="AV44" i="51"/>
  <c r="AU44" i="51"/>
  <c r="AT44" i="51"/>
  <c r="AS44" i="51"/>
  <c r="AR44" i="51"/>
  <c r="AQ44" i="51"/>
  <c r="AP44" i="51"/>
  <c r="AO44" i="51"/>
  <c r="AN44" i="51"/>
  <c r="AM44" i="51"/>
  <c r="BP42" i="51"/>
  <c r="BO42" i="51"/>
  <c r="BN42" i="51"/>
  <c r="BM42" i="51"/>
  <c r="BL42" i="51"/>
  <c r="BK42" i="51"/>
  <c r="BJ42" i="51"/>
  <c r="BI42" i="51"/>
  <c r="BH42" i="51"/>
  <c r="BG42" i="51"/>
  <c r="BF42" i="51"/>
  <c r="BE42" i="51"/>
  <c r="BD42" i="51"/>
  <c r="BC42" i="51"/>
  <c r="BB42" i="51"/>
  <c r="BA42" i="51"/>
  <c r="AZ42" i="51"/>
  <c r="AY42" i="51"/>
  <c r="AX42" i="51"/>
  <c r="AW42" i="51"/>
  <c r="AV42" i="51"/>
  <c r="AU42" i="51"/>
  <c r="AT42" i="51"/>
  <c r="AS42" i="51"/>
  <c r="AR42" i="51"/>
  <c r="AQ42" i="51"/>
  <c r="AP42" i="51"/>
  <c r="AO42" i="51"/>
  <c r="AN42" i="51"/>
  <c r="AM42" i="51"/>
  <c r="BP40" i="51"/>
  <c r="BO40" i="51"/>
  <c r="BN40" i="51"/>
  <c r="BM40" i="51"/>
  <c r="BL40" i="51"/>
  <c r="BK40" i="51"/>
  <c r="BJ40" i="51"/>
  <c r="BI40" i="51"/>
  <c r="BH40" i="51"/>
  <c r="BG40" i="51"/>
  <c r="BF40" i="51"/>
  <c r="BE40" i="51"/>
  <c r="BD40" i="51"/>
  <c r="BC40" i="51"/>
  <c r="BB40" i="51"/>
  <c r="BA40" i="51"/>
  <c r="AZ40" i="51"/>
  <c r="AY40" i="51"/>
  <c r="AX40" i="51"/>
  <c r="AW40" i="51"/>
  <c r="AV40" i="51"/>
  <c r="AU40" i="51"/>
  <c r="AT40" i="51"/>
  <c r="AS40" i="51"/>
  <c r="AR40" i="51"/>
  <c r="AQ40" i="51"/>
  <c r="AP40" i="51"/>
  <c r="AO40" i="51"/>
  <c r="AN40" i="51"/>
  <c r="AM40" i="51"/>
  <c r="CH38" i="51"/>
  <c r="AR92" i="51" s="1"/>
  <c r="AA4" i="51" s="1"/>
  <c r="CG38" i="51"/>
  <c r="CF38" i="51"/>
  <c r="CE38" i="51"/>
  <c r="BP92" i="51" s="1"/>
  <c r="CD38" i="51"/>
  <c r="CC38" i="51"/>
  <c r="CB38" i="51"/>
  <c r="CA38" i="51"/>
  <c r="BL92" i="51" s="1"/>
  <c r="BZ38" i="51"/>
  <c r="BY38" i="51"/>
  <c r="BX38" i="51"/>
  <c r="BW38" i="51"/>
  <c r="BV38" i="51"/>
  <c r="BP38" i="51"/>
  <c r="BO38" i="51"/>
  <c r="BN38" i="51"/>
  <c r="BM38" i="51"/>
  <c r="BL38" i="51"/>
  <c r="BK38" i="51"/>
  <c r="BJ38" i="51"/>
  <c r="BI38" i="51"/>
  <c r="BH38" i="51"/>
  <c r="BG38" i="51"/>
  <c r="BF38" i="51"/>
  <c r="BE38" i="51"/>
  <c r="BD38" i="51"/>
  <c r="BC38" i="51"/>
  <c r="BB38" i="51"/>
  <c r="BA38" i="51"/>
  <c r="AZ38" i="51"/>
  <c r="AY38" i="51"/>
  <c r="AX38" i="51"/>
  <c r="AW38" i="51"/>
  <c r="AV38" i="51"/>
  <c r="AU38" i="51"/>
  <c r="AT38" i="51"/>
  <c r="AS38" i="51"/>
  <c r="AR38" i="51"/>
  <c r="AQ38" i="51"/>
  <c r="AP38" i="51"/>
  <c r="AO38" i="51"/>
  <c r="AN38" i="51"/>
  <c r="AM38" i="51"/>
  <c r="BP36" i="51"/>
  <c r="BO36" i="51"/>
  <c r="BN36" i="51"/>
  <c r="BM36" i="51"/>
  <c r="BL36" i="51"/>
  <c r="BK36" i="51"/>
  <c r="BJ36" i="51"/>
  <c r="BI36" i="51"/>
  <c r="BH36" i="51"/>
  <c r="BG36" i="51"/>
  <c r="BF36" i="51"/>
  <c r="BE36" i="51"/>
  <c r="BD36" i="51"/>
  <c r="BC36" i="51"/>
  <c r="BB36" i="51"/>
  <c r="BA36" i="51"/>
  <c r="AZ36" i="51"/>
  <c r="AY36" i="51"/>
  <c r="AX36" i="51"/>
  <c r="AW36" i="51"/>
  <c r="AV36" i="51"/>
  <c r="AU36" i="51"/>
  <c r="AT36" i="51"/>
  <c r="AS36" i="51"/>
  <c r="AR36" i="51"/>
  <c r="AQ36" i="51"/>
  <c r="AP36" i="51"/>
  <c r="AO36" i="51"/>
  <c r="AN36" i="51"/>
  <c r="AM36" i="51"/>
  <c r="BP34" i="51"/>
  <c r="BO34" i="51"/>
  <c r="BN34" i="51"/>
  <c r="BM34" i="51"/>
  <c r="BL34" i="51"/>
  <c r="BK34" i="51"/>
  <c r="BJ34" i="51"/>
  <c r="BI34" i="51"/>
  <c r="BH34" i="51"/>
  <c r="BG34" i="51"/>
  <c r="BF34" i="51"/>
  <c r="BE34" i="51"/>
  <c r="BD34" i="51"/>
  <c r="BC34" i="51"/>
  <c r="BB34" i="51"/>
  <c r="BA34" i="51"/>
  <c r="AZ34" i="51"/>
  <c r="AY34" i="51"/>
  <c r="AX34" i="51"/>
  <c r="AW34" i="51"/>
  <c r="AV34" i="51"/>
  <c r="AU34" i="51"/>
  <c r="AT34" i="51"/>
  <c r="AS34" i="51"/>
  <c r="AR34" i="51"/>
  <c r="AQ34" i="51"/>
  <c r="AP34" i="51"/>
  <c r="AO34" i="51"/>
  <c r="AN34" i="51"/>
  <c r="AM34" i="51"/>
  <c r="BP32" i="51"/>
  <c r="BO32" i="51"/>
  <c r="BN32" i="51"/>
  <c r="BM32" i="51"/>
  <c r="BL32" i="51"/>
  <c r="BK32" i="51"/>
  <c r="BJ32" i="51"/>
  <c r="BI32" i="51"/>
  <c r="BH32" i="51"/>
  <c r="BG32" i="51"/>
  <c r="BF32" i="51"/>
  <c r="BE32" i="51"/>
  <c r="BD32" i="51"/>
  <c r="BC32" i="51"/>
  <c r="BB32" i="51"/>
  <c r="BA32" i="51"/>
  <c r="AZ32" i="51"/>
  <c r="AY32" i="51"/>
  <c r="AX32" i="51"/>
  <c r="AW32" i="51"/>
  <c r="AV32" i="51"/>
  <c r="AU32" i="51"/>
  <c r="AT32" i="51"/>
  <c r="AS32" i="51"/>
  <c r="AR32" i="51"/>
  <c r="AQ32" i="51"/>
  <c r="AP32" i="51"/>
  <c r="AO32" i="51"/>
  <c r="AN32" i="51"/>
  <c r="AM32" i="51"/>
  <c r="BY30" i="51"/>
  <c r="BX30" i="51"/>
  <c r="BW30" i="51"/>
  <c r="BV30" i="51"/>
  <c r="BP30" i="51"/>
  <c r="BO30" i="51"/>
  <c r="BN30" i="51"/>
  <c r="BN92" i="51" s="1"/>
  <c r="BM30" i="51"/>
  <c r="BL30" i="51"/>
  <c r="BK30" i="51"/>
  <c r="BJ30" i="51"/>
  <c r="BI30" i="51"/>
  <c r="BH30" i="51"/>
  <c r="BG30" i="51"/>
  <c r="BF30" i="51"/>
  <c r="BF92" i="51" s="1"/>
  <c r="F193" i="51" s="1"/>
  <c r="BE30" i="51"/>
  <c r="BD30" i="51"/>
  <c r="BC30" i="51"/>
  <c r="BB30" i="51"/>
  <c r="BA30" i="51"/>
  <c r="AZ30" i="51"/>
  <c r="AY30" i="51"/>
  <c r="AX30" i="51"/>
  <c r="AX92" i="51" s="1"/>
  <c r="F204" i="51" s="1"/>
  <c r="AW30" i="51"/>
  <c r="AV30" i="51"/>
  <c r="AU30" i="51"/>
  <c r="AT30" i="51"/>
  <c r="AS30" i="51"/>
  <c r="AR30" i="51"/>
  <c r="AQ30" i="51"/>
  <c r="AP30" i="51"/>
  <c r="AO30" i="51"/>
  <c r="AN30" i="51"/>
  <c r="AM30" i="51"/>
  <c r="BV29" i="51"/>
  <c r="BY28" i="51"/>
  <c r="BX28" i="51"/>
  <c r="BW28" i="51"/>
  <c r="BV28" i="51"/>
  <c r="BP28" i="51"/>
  <c r="BO28" i="51"/>
  <c r="BN28" i="51"/>
  <c r="BM28" i="51"/>
  <c r="BL28" i="51"/>
  <c r="BK28" i="51"/>
  <c r="BJ28" i="51"/>
  <c r="BI28" i="51"/>
  <c r="BH28" i="51"/>
  <c r="BG28" i="51"/>
  <c r="BF28" i="51"/>
  <c r="BE28" i="51"/>
  <c r="BD28" i="51"/>
  <c r="BC28" i="51"/>
  <c r="BB28" i="51"/>
  <c r="BA28" i="51"/>
  <c r="AZ28" i="51"/>
  <c r="AY28" i="51"/>
  <c r="AX28" i="51"/>
  <c r="AW28" i="51"/>
  <c r="AV28" i="51"/>
  <c r="AU28" i="51"/>
  <c r="AT28" i="51"/>
  <c r="AS28" i="51"/>
  <c r="AR28" i="51"/>
  <c r="AQ28" i="51"/>
  <c r="AP28" i="51"/>
  <c r="AO28" i="51"/>
  <c r="AN28" i="51"/>
  <c r="AM28" i="51"/>
  <c r="BV27" i="51"/>
  <c r="BY26" i="51"/>
  <c r="BY32" i="51" s="1"/>
  <c r="AP92" i="51" s="1"/>
  <c r="U6" i="51" s="1"/>
  <c r="BX26" i="51"/>
  <c r="BX32" i="51" s="1"/>
  <c r="BW26" i="51"/>
  <c r="BW32" i="51" s="1"/>
  <c r="BV26" i="51"/>
  <c r="BV32" i="51" s="1"/>
  <c r="BP26" i="51"/>
  <c r="BO26" i="51"/>
  <c r="BN26" i="51"/>
  <c r="BM26" i="51"/>
  <c r="BL26" i="51"/>
  <c r="BK26" i="51"/>
  <c r="BJ26" i="51"/>
  <c r="BI26" i="51"/>
  <c r="BH26" i="51"/>
  <c r="BG26" i="51"/>
  <c r="BF26" i="51"/>
  <c r="BE26" i="51"/>
  <c r="BD26" i="51"/>
  <c r="BC26" i="51"/>
  <c r="BB26" i="51"/>
  <c r="BA26" i="51"/>
  <c r="AZ26" i="51"/>
  <c r="AY26" i="51"/>
  <c r="AX26" i="51"/>
  <c r="AW26" i="51"/>
  <c r="AV26" i="51"/>
  <c r="AU26" i="51"/>
  <c r="AT26" i="51"/>
  <c r="AS26" i="51"/>
  <c r="AR26" i="51"/>
  <c r="AQ26" i="51"/>
  <c r="AP26" i="51"/>
  <c r="AO26" i="51"/>
  <c r="AN26" i="51"/>
  <c r="AM26" i="51"/>
  <c r="BP24" i="51"/>
  <c r="BO24" i="51"/>
  <c r="BN24" i="51"/>
  <c r="BM24" i="51"/>
  <c r="BL24" i="51"/>
  <c r="BK24" i="51"/>
  <c r="BJ24" i="51"/>
  <c r="BI24" i="51"/>
  <c r="BH24" i="51"/>
  <c r="BG24" i="51"/>
  <c r="BF24" i="51"/>
  <c r="BE24" i="51"/>
  <c r="BD24" i="51"/>
  <c r="BC24" i="51"/>
  <c r="BB24" i="51"/>
  <c r="BA24" i="51"/>
  <c r="AZ24" i="51"/>
  <c r="AY24" i="51"/>
  <c r="AX24" i="51"/>
  <c r="AW24" i="51"/>
  <c r="AV24" i="51"/>
  <c r="AU24" i="51"/>
  <c r="AT24" i="51"/>
  <c r="AS24" i="51"/>
  <c r="AR24" i="51"/>
  <c r="AQ24" i="51"/>
  <c r="AP24" i="51"/>
  <c r="AO24" i="51"/>
  <c r="AN24" i="51"/>
  <c r="AM24" i="51"/>
  <c r="BP22" i="51"/>
  <c r="BO22" i="51"/>
  <c r="BN22" i="51"/>
  <c r="BM22" i="51"/>
  <c r="BL22" i="51"/>
  <c r="BK22" i="51"/>
  <c r="BJ22" i="51"/>
  <c r="BI22" i="51"/>
  <c r="BH22" i="51"/>
  <c r="BG22" i="51"/>
  <c r="BF22" i="51"/>
  <c r="BE22" i="51"/>
  <c r="BD22" i="51"/>
  <c r="BC22" i="51"/>
  <c r="BB22" i="51"/>
  <c r="BA22" i="51"/>
  <c r="AZ22" i="51"/>
  <c r="AY22" i="51"/>
  <c r="AX22" i="51"/>
  <c r="AW22" i="51"/>
  <c r="AV22" i="51"/>
  <c r="AU22" i="51"/>
  <c r="AT22" i="51"/>
  <c r="AS22" i="51"/>
  <c r="AR22" i="51"/>
  <c r="AQ22" i="51"/>
  <c r="AP22" i="51"/>
  <c r="AO22" i="51"/>
  <c r="AN22" i="51"/>
  <c r="AM22" i="51"/>
  <c r="BV20" i="51"/>
  <c r="BP20" i="51"/>
  <c r="BO20" i="51"/>
  <c r="BN20" i="51"/>
  <c r="BM20" i="51"/>
  <c r="BL20" i="51"/>
  <c r="BK20" i="51"/>
  <c r="BJ20" i="51"/>
  <c r="BI20" i="51"/>
  <c r="BH20" i="51"/>
  <c r="BG20" i="51"/>
  <c r="BF20" i="51"/>
  <c r="BE20" i="51"/>
  <c r="BD20" i="51"/>
  <c r="BC20" i="51"/>
  <c r="BB20" i="51"/>
  <c r="BA20" i="51"/>
  <c r="AZ20" i="51"/>
  <c r="AY20" i="51"/>
  <c r="AX20" i="51"/>
  <c r="AW20" i="51"/>
  <c r="AV20" i="51"/>
  <c r="AU20" i="51"/>
  <c r="AT20" i="51"/>
  <c r="AS20" i="51"/>
  <c r="AR20" i="51"/>
  <c r="AQ20" i="51"/>
  <c r="AP20" i="51"/>
  <c r="AO20" i="51"/>
  <c r="AN20" i="51"/>
  <c r="AM20" i="51"/>
  <c r="BP18" i="51"/>
  <c r="BO18" i="51"/>
  <c r="BO92" i="51" s="1"/>
  <c r="BN18" i="51"/>
  <c r="BM18" i="51"/>
  <c r="BL18" i="51"/>
  <c r="BK18" i="51"/>
  <c r="BK92" i="51" s="1"/>
  <c r="BJ18" i="51"/>
  <c r="BI18" i="51"/>
  <c r="BH18" i="51"/>
  <c r="BG18" i="51"/>
  <c r="BG92" i="51" s="1"/>
  <c r="F205" i="51" s="1"/>
  <c r="BF18" i="51"/>
  <c r="BE18" i="51"/>
  <c r="BD18" i="51"/>
  <c r="BC18" i="51"/>
  <c r="BC92" i="51" s="1"/>
  <c r="F202" i="51" s="1"/>
  <c r="BB18" i="51"/>
  <c r="BA18" i="51"/>
  <c r="AZ18" i="51"/>
  <c r="AY18" i="51"/>
  <c r="AY92" i="51" s="1"/>
  <c r="F198" i="51" s="1"/>
  <c r="AX18" i="51"/>
  <c r="AW18" i="51"/>
  <c r="AV18" i="51"/>
  <c r="AU18" i="51"/>
  <c r="AU92" i="51" s="1"/>
  <c r="AT18" i="51"/>
  <c r="AS18" i="51"/>
  <c r="AR18" i="51"/>
  <c r="AQ18" i="51"/>
  <c r="AQ92" i="51" s="1"/>
  <c r="AA2" i="51" s="1"/>
  <c r="AP18" i="51"/>
  <c r="AO18" i="51"/>
  <c r="AN18" i="51"/>
  <c r="AM18" i="51"/>
  <c r="BP16" i="51"/>
  <c r="BO16" i="51"/>
  <c r="BN16" i="51"/>
  <c r="BM16" i="51"/>
  <c r="BL16" i="51"/>
  <c r="BK16" i="51"/>
  <c r="BJ16" i="51"/>
  <c r="BJ92" i="51" s="1"/>
  <c r="F195" i="51" s="1"/>
  <c r="BI16" i="51"/>
  <c r="BI92" i="51" s="1"/>
  <c r="F201" i="51" s="1"/>
  <c r="BH16" i="51"/>
  <c r="BH92" i="51" s="1"/>
  <c r="F197" i="51" s="1"/>
  <c r="BG16" i="51"/>
  <c r="BF16" i="51"/>
  <c r="BE16" i="51"/>
  <c r="BE92" i="51" s="1"/>
  <c r="F196" i="51" s="1"/>
  <c r="BD16" i="51"/>
  <c r="BD92" i="51" s="1"/>
  <c r="F203" i="51" s="1"/>
  <c r="BC16" i="51"/>
  <c r="BB16" i="51"/>
  <c r="BB92" i="51" s="1"/>
  <c r="F192" i="51" s="1"/>
  <c r="BA16" i="51"/>
  <c r="BA92" i="51" s="1"/>
  <c r="F194" i="51" s="1"/>
  <c r="D228" i="51" s="1"/>
  <c r="AZ16" i="51"/>
  <c r="AZ92" i="51" s="1"/>
  <c r="F200" i="51" s="1"/>
  <c r="AY16" i="51"/>
  <c r="AX16" i="51"/>
  <c r="AW16" i="51"/>
  <c r="AW92" i="51" s="1"/>
  <c r="F199" i="51" s="1"/>
  <c r="AV16" i="51"/>
  <c r="AV92" i="51" s="1"/>
  <c r="F206" i="51" s="1"/>
  <c r="AU16" i="51"/>
  <c r="AT16" i="51"/>
  <c r="AT92" i="51" s="1"/>
  <c r="U8" i="51" s="1"/>
  <c r="AP8" i="51" s="1"/>
  <c r="AS16" i="51"/>
  <c r="AS92" i="51" s="1"/>
  <c r="AR16" i="51"/>
  <c r="AQ16" i="51"/>
  <c r="AP16" i="51"/>
  <c r="AO16" i="51"/>
  <c r="AN16" i="51"/>
  <c r="AM16" i="51"/>
  <c r="D277" i="50"/>
  <c r="D276" i="50"/>
  <c r="D275" i="50"/>
  <c r="B275" i="50"/>
  <c r="Q273" i="50"/>
  <c r="O273" i="50"/>
  <c r="M273" i="50"/>
  <c r="AZ272" i="50"/>
  <c r="AY272" i="50"/>
  <c r="AW272" i="50"/>
  <c r="AV272" i="50"/>
  <c r="AN272" i="50"/>
  <c r="Q272" i="50"/>
  <c r="O272" i="50"/>
  <c r="M272" i="50"/>
  <c r="AZ271" i="50"/>
  <c r="AY271" i="50"/>
  <c r="AW271" i="50"/>
  <c r="AV271" i="50"/>
  <c r="Q271" i="50"/>
  <c r="O271" i="50"/>
  <c r="M271" i="50"/>
  <c r="AZ270" i="50"/>
  <c r="AY270" i="50"/>
  <c r="AW270" i="50"/>
  <c r="AV270" i="50"/>
  <c r="AN270" i="50"/>
  <c r="Q270" i="50"/>
  <c r="O270" i="50"/>
  <c r="M270" i="50"/>
  <c r="AZ269" i="50"/>
  <c r="AY269" i="50"/>
  <c r="AW269" i="50"/>
  <c r="AV269" i="50"/>
  <c r="Q269" i="50"/>
  <c r="O269" i="50"/>
  <c r="M269" i="50"/>
  <c r="AZ268" i="50"/>
  <c r="AY268" i="50"/>
  <c r="AW268" i="50"/>
  <c r="AV268" i="50"/>
  <c r="AN268" i="50"/>
  <c r="Q268" i="50"/>
  <c r="O268" i="50"/>
  <c r="M268" i="50"/>
  <c r="AZ267" i="50"/>
  <c r="AY267" i="50"/>
  <c r="AW267" i="50"/>
  <c r="AV267" i="50"/>
  <c r="Q267" i="50"/>
  <c r="O267" i="50"/>
  <c r="M267" i="50"/>
  <c r="AZ266" i="50"/>
  <c r="AY266" i="50"/>
  <c r="AW266" i="50"/>
  <c r="AV266" i="50"/>
  <c r="AN266" i="50"/>
  <c r="Q266" i="50"/>
  <c r="O266" i="50"/>
  <c r="M266" i="50"/>
  <c r="AZ265" i="50"/>
  <c r="AY265" i="50"/>
  <c r="AW265" i="50"/>
  <c r="AV265" i="50"/>
  <c r="Q265" i="50"/>
  <c r="O265" i="50"/>
  <c r="M265" i="50"/>
  <c r="AZ264" i="50"/>
  <c r="AY264" i="50"/>
  <c r="AW264" i="50"/>
  <c r="AV264" i="50"/>
  <c r="AN264" i="50"/>
  <c r="Q264" i="50"/>
  <c r="O264" i="50"/>
  <c r="M264" i="50"/>
  <c r="AZ263" i="50"/>
  <c r="AY263" i="50"/>
  <c r="AW263" i="50"/>
  <c r="AV263" i="50"/>
  <c r="Q263" i="50"/>
  <c r="O263" i="50"/>
  <c r="M263" i="50"/>
  <c r="AZ262" i="50"/>
  <c r="AY262" i="50"/>
  <c r="AW262" i="50"/>
  <c r="AV262" i="50"/>
  <c r="AN262" i="50"/>
  <c r="Q262" i="50"/>
  <c r="O262" i="50"/>
  <c r="M262" i="50"/>
  <c r="AZ261" i="50"/>
  <c r="AY261" i="50"/>
  <c r="AW261" i="50"/>
  <c r="Q261" i="50"/>
  <c r="O261" i="50"/>
  <c r="M261" i="50"/>
  <c r="AZ260" i="50"/>
  <c r="AW260" i="50"/>
  <c r="AV260" i="50"/>
  <c r="AN260" i="50"/>
  <c r="Q260" i="50"/>
  <c r="O260" i="50"/>
  <c r="M260" i="50"/>
  <c r="AZ259" i="50"/>
  <c r="AV259" i="50"/>
  <c r="Q259" i="50"/>
  <c r="O259" i="50"/>
  <c r="M259" i="50"/>
  <c r="AZ258" i="50"/>
  <c r="AV258" i="50"/>
  <c r="AN258" i="50"/>
  <c r="Q258" i="50"/>
  <c r="O258" i="50"/>
  <c r="M258" i="50"/>
  <c r="AZ257" i="50"/>
  <c r="Q257" i="50"/>
  <c r="O257" i="50"/>
  <c r="M257" i="50"/>
  <c r="AZ256" i="50"/>
  <c r="AN256" i="50"/>
  <c r="Q256" i="50"/>
  <c r="O256" i="50"/>
  <c r="M256" i="50"/>
  <c r="AZ255" i="50"/>
  <c r="AY255" i="50"/>
  <c r="AW255" i="50"/>
  <c r="Q255" i="50"/>
  <c r="O255" i="50"/>
  <c r="M255" i="50"/>
  <c r="AZ254" i="50"/>
  <c r="AW254" i="50"/>
  <c r="AN254" i="50"/>
  <c r="Q254" i="50"/>
  <c r="O254" i="50"/>
  <c r="M254" i="50"/>
  <c r="AZ253" i="50"/>
  <c r="AY253" i="50"/>
  <c r="AW253" i="50"/>
  <c r="AV253" i="50"/>
  <c r="Q253" i="50"/>
  <c r="O253" i="50"/>
  <c r="M253" i="50"/>
  <c r="AZ252" i="50"/>
  <c r="AY252" i="50"/>
  <c r="AW252" i="50"/>
  <c r="AV252" i="50"/>
  <c r="AN252" i="50"/>
  <c r="Q252" i="50"/>
  <c r="O252" i="50"/>
  <c r="M252" i="50"/>
  <c r="AZ251" i="50"/>
  <c r="AY251" i="50"/>
  <c r="AW251" i="50"/>
  <c r="AV251" i="50"/>
  <c r="Q251" i="50"/>
  <c r="O251" i="50"/>
  <c r="M251" i="50"/>
  <c r="AZ250" i="50"/>
  <c r="AY250" i="50"/>
  <c r="AW250" i="50"/>
  <c r="AV250" i="50"/>
  <c r="AN250" i="50"/>
  <c r="Q250" i="50"/>
  <c r="O250" i="50"/>
  <c r="M250" i="50"/>
  <c r="AZ249" i="50"/>
  <c r="AY249" i="50"/>
  <c r="AW249" i="50"/>
  <c r="AV249" i="50"/>
  <c r="Q249" i="50"/>
  <c r="O249" i="50"/>
  <c r="M249" i="50"/>
  <c r="AZ248" i="50"/>
  <c r="AY248" i="50"/>
  <c r="AW248" i="50"/>
  <c r="AV248" i="50"/>
  <c r="AN248" i="50"/>
  <c r="Q248" i="50"/>
  <c r="O248" i="50"/>
  <c r="M248" i="50"/>
  <c r="AZ247" i="50"/>
  <c r="AY247" i="50"/>
  <c r="AW247" i="50"/>
  <c r="AV247" i="50"/>
  <c r="Q247" i="50"/>
  <c r="O247" i="50"/>
  <c r="M247" i="50"/>
  <c r="AZ246" i="50"/>
  <c r="AY246" i="50"/>
  <c r="AW246" i="50"/>
  <c r="AV246" i="50"/>
  <c r="AN246" i="50"/>
  <c r="Q246" i="50"/>
  <c r="O246" i="50"/>
  <c r="M246" i="50"/>
  <c r="AZ245" i="50"/>
  <c r="AY245" i="50"/>
  <c r="AW245" i="50"/>
  <c r="AV245" i="50"/>
  <c r="Q245" i="50"/>
  <c r="O245" i="50"/>
  <c r="M245" i="50"/>
  <c r="AZ244" i="50"/>
  <c r="AY244" i="50"/>
  <c r="AW244" i="50"/>
  <c r="AV244" i="50"/>
  <c r="AN244" i="50"/>
  <c r="Q244" i="50"/>
  <c r="O244" i="50"/>
  <c r="M244" i="50"/>
  <c r="AZ243" i="50"/>
  <c r="AY243" i="50"/>
  <c r="AW243" i="50"/>
  <c r="AV243" i="50"/>
  <c r="Q243" i="50"/>
  <c r="O243" i="50"/>
  <c r="M243" i="50"/>
  <c r="AZ242" i="50"/>
  <c r="AY242" i="50"/>
  <c r="AW242" i="50"/>
  <c r="AV242" i="50"/>
  <c r="AN242" i="50"/>
  <c r="Q242" i="50"/>
  <c r="O242" i="50"/>
  <c r="M242" i="50"/>
  <c r="AZ241" i="50"/>
  <c r="AY241" i="50"/>
  <c r="AW241" i="50"/>
  <c r="AV241" i="50"/>
  <c r="Q241" i="50"/>
  <c r="O241" i="50"/>
  <c r="M241" i="50"/>
  <c r="AZ240" i="50"/>
  <c r="AY240" i="50"/>
  <c r="AW240" i="50"/>
  <c r="AV240" i="50"/>
  <c r="AN240" i="50"/>
  <c r="Q240" i="50"/>
  <c r="O240" i="50"/>
  <c r="M240" i="50"/>
  <c r="AZ239" i="50"/>
  <c r="AY239" i="50"/>
  <c r="AW239" i="50"/>
  <c r="AV239" i="50"/>
  <c r="Q239" i="50"/>
  <c r="O239" i="50"/>
  <c r="M239" i="50"/>
  <c r="AZ238" i="50"/>
  <c r="AY238" i="50"/>
  <c r="AW238" i="50"/>
  <c r="AV238" i="50"/>
  <c r="AN238" i="50"/>
  <c r="Q238" i="50"/>
  <c r="O238" i="50"/>
  <c r="O275" i="50" s="1"/>
  <c r="M238" i="50"/>
  <c r="AZ237" i="50"/>
  <c r="AY237" i="50"/>
  <c r="AW237" i="50"/>
  <c r="AV237" i="50"/>
  <c r="Q237" i="50"/>
  <c r="O237" i="50"/>
  <c r="M237" i="50"/>
  <c r="AZ236" i="50"/>
  <c r="AY236" i="50"/>
  <c r="AW236" i="50"/>
  <c r="AV236" i="50"/>
  <c r="AN236" i="50"/>
  <c r="Q236" i="50"/>
  <c r="O236" i="50"/>
  <c r="M236" i="50"/>
  <c r="AZ235" i="50"/>
  <c r="AY235" i="50"/>
  <c r="AW235" i="50"/>
  <c r="AV235" i="50"/>
  <c r="Q235" i="50"/>
  <c r="Q275" i="50" s="1"/>
  <c r="O235" i="50"/>
  <c r="M235" i="50"/>
  <c r="AZ234" i="50"/>
  <c r="AY234" i="50"/>
  <c r="AW234" i="50"/>
  <c r="AV234" i="50"/>
  <c r="AN234" i="50"/>
  <c r="Q234" i="50"/>
  <c r="O234" i="50"/>
  <c r="M234" i="50"/>
  <c r="AT234" i="50" s="1"/>
  <c r="H181" i="50"/>
  <c r="AV261" i="50" s="1"/>
  <c r="H180" i="50"/>
  <c r="AY260" i="50" s="1"/>
  <c r="H179" i="50"/>
  <c r="AY259" i="50" s="1"/>
  <c r="H178" i="50"/>
  <c r="AY258" i="50" s="1"/>
  <c r="H177" i="50"/>
  <c r="H176" i="50"/>
  <c r="AY257" i="50" s="1"/>
  <c r="H175" i="50"/>
  <c r="AY256" i="50" s="1"/>
  <c r="H174" i="50"/>
  <c r="H173" i="50"/>
  <c r="H172" i="50"/>
  <c r="AV255" i="50" s="1"/>
  <c r="H171" i="50"/>
  <c r="H170" i="50"/>
  <c r="AY254" i="50" s="1"/>
  <c r="H169" i="50"/>
  <c r="H168" i="50"/>
  <c r="H167" i="50"/>
  <c r="H166" i="50"/>
  <c r="H165" i="50"/>
  <c r="H164" i="50"/>
  <c r="H163" i="50"/>
  <c r="H162" i="50"/>
  <c r="H161" i="50"/>
  <c r="H160" i="50"/>
  <c r="H159" i="50"/>
  <c r="H158" i="50"/>
  <c r="H157" i="50"/>
  <c r="H156" i="50"/>
  <c r="H155" i="50"/>
  <c r="H154" i="50"/>
  <c r="H153" i="50"/>
  <c r="H152" i="50"/>
  <c r="H151" i="50"/>
  <c r="H150" i="50"/>
  <c r="H149" i="50"/>
  <c r="H148" i="50"/>
  <c r="H147" i="50"/>
  <c r="H146" i="50"/>
  <c r="H145" i="50"/>
  <c r="H144" i="50"/>
  <c r="H143" i="50"/>
  <c r="H142" i="50"/>
  <c r="H141" i="50"/>
  <c r="H140" i="50"/>
  <c r="H139" i="50"/>
  <c r="H138" i="50"/>
  <c r="H137" i="50"/>
  <c r="H136" i="50"/>
  <c r="H135" i="50"/>
  <c r="H134" i="50"/>
  <c r="H133" i="50"/>
  <c r="H132" i="50"/>
  <c r="H131" i="50"/>
  <c r="H130" i="50"/>
  <c r="H129" i="50"/>
  <c r="H128" i="50"/>
  <c r="H127" i="50"/>
  <c r="H126" i="50"/>
  <c r="H125" i="50"/>
  <c r="H124" i="50"/>
  <c r="H123" i="50"/>
  <c r="H122" i="50"/>
  <c r="H121" i="50"/>
  <c r="H120" i="50"/>
  <c r="H119" i="50"/>
  <c r="H118" i="50"/>
  <c r="H117" i="50"/>
  <c r="H116" i="50"/>
  <c r="H115" i="50"/>
  <c r="H114" i="50"/>
  <c r="H113" i="50"/>
  <c r="H112" i="50"/>
  <c r="H111" i="50"/>
  <c r="H110" i="50"/>
  <c r="H109" i="50"/>
  <c r="H108" i="50"/>
  <c r="H107" i="50"/>
  <c r="H106" i="50"/>
  <c r="H105" i="50"/>
  <c r="H104" i="50"/>
  <c r="H103" i="50"/>
  <c r="B188" i="50" s="1" a="1"/>
  <c r="B188" i="50" s="1"/>
  <c r="BR92" i="50"/>
  <c r="BU90" i="50"/>
  <c r="BT90" i="50"/>
  <c r="BS90" i="50"/>
  <c r="BR90" i="50"/>
  <c r="BQ90" i="50"/>
  <c r="BP90" i="50"/>
  <c r="BO90" i="50"/>
  <c r="BN90" i="50"/>
  <c r="BM90" i="50"/>
  <c r="BL90" i="50"/>
  <c r="BK90" i="50"/>
  <c r="AU90" i="50"/>
  <c r="AR90" i="50"/>
  <c r="AQ90" i="50"/>
  <c r="AO90" i="50"/>
  <c r="AN90" i="50"/>
  <c r="AM90" i="50"/>
  <c r="BQ89" i="50"/>
  <c r="BP89" i="50"/>
  <c r="BO89" i="50"/>
  <c r="BN89" i="50"/>
  <c r="BM89" i="50"/>
  <c r="BL89" i="50"/>
  <c r="BK89" i="50"/>
  <c r="AU89" i="50"/>
  <c r="AR89" i="50"/>
  <c r="AQ89" i="50"/>
  <c r="AO89" i="50"/>
  <c r="AN89" i="50"/>
  <c r="AM89" i="50"/>
  <c r="BU88" i="50"/>
  <c r="BT88" i="50"/>
  <c r="BS88" i="50"/>
  <c r="BS92" i="50" s="1"/>
  <c r="BR88" i="50"/>
  <c r="BQ88" i="50"/>
  <c r="BP88" i="50"/>
  <c r="BO88" i="50"/>
  <c r="BN88" i="50"/>
  <c r="BM88" i="50"/>
  <c r="BL88" i="50"/>
  <c r="BK88" i="50"/>
  <c r="AU88" i="50"/>
  <c r="AR88" i="50"/>
  <c r="AQ88" i="50"/>
  <c r="AO88" i="50"/>
  <c r="AN88" i="50"/>
  <c r="AM88" i="50"/>
  <c r="BQ87" i="50"/>
  <c r="BP87" i="50"/>
  <c r="BO87" i="50"/>
  <c r="BN87" i="50"/>
  <c r="BM87" i="50"/>
  <c r="BL87" i="50"/>
  <c r="BK87" i="50"/>
  <c r="AU87" i="50"/>
  <c r="AR87" i="50"/>
  <c r="AQ87" i="50"/>
  <c r="AO87" i="50"/>
  <c r="AN87" i="50"/>
  <c r="AM87" i="50"/>
  <c r="BU86" i="50"/>
  <c r="BU92" i="50" s="1"/>
  <c r="BT86" i="50"/>
  <c r="BT92" i="50" s="1"/>
  <c r="BS86" i="50"/>
  <c r="BR86" i="50"/>
  <c r="BQ86" i="50"/>
  <c r="BQ92" i="50" s="1"/>
  <c r="BP86" i="50"/>
  <c r="BO86" i="50"/>
  <c r="BN86" i="50"/>
  <c r="BM86" i="50"/>
  <c r="BL86" i="50"/>
  <c r="BK86" i="50"/>
  <c r="AU86" i="50"/>
  <c r="AR86" i="50"/>
  <c r="AQ86" i="50"/>
  <c r="AO86" i="50"/>
  <c r="AN86" i="50"/>
  <c r="AM86" i="50"/>
  <c r="BP82" i="50"/>
  <c r="BO82" i="50"/>
  <c r="BN82" i="50"/>
  <c r="BM82" i="50"/>
  <c r="BL82" i="50"/>
  <c r="BK82" i="50"/>
  <c r="BJ82" i="50"/>
  <c r="BI82" i="50"/>
  <c r="BH82" i="50"/>
  <c r="BG82" i="50"/>
  <c r="BF82" i="50"/>
  <c r="BE82" i="50"/>
  <c r="BD82" i="50"/>
  <c r="BC82" i="50"/>
  <c r="BB82" i="50"/>
  <c r="BA82" i="50"/>
  <c r="AZ82" i="50"/>
  <c r="AY82" i="50"/>
  <c r="AX82" i="50"/>
  <c r="AW82" i="50"/>
  <c r="AV82" i="50"/>
  <c r="AU82" i="50"/>
  <c r="AT82" i="50"/>
  <c r="AS82" i="50"/>
  <c r="AR82" i="50"/>
  <c r="AQ82" i="50"/>
  <c r="AP82" i="50"/>
  <c r="AO82" i="50"/>
  <c r="AN82" i="50"/>
  <c r="AM82" i="50"/>
  <c r="BP80" i="50"/>
  <c r="BO80" i="50"/>
  <c r="BN80" i="50"/>
  <c r="BM80" i="50"/>
  <c r="BL80" i="50"/>
  <c r="BK80" i="50"/>
  <c r="BJ80" i="50"/>
  <c r="BI80" i="50"/>
  <c r="BH80" i="50"/>
  <c r="BG80" i="50"/>
  <c r="BF80" i="50"/>
  <c r="BE80" i="50"/>
  <c r="BD80" i="50"/>
  <c r="BC80" i="50"/>
  <c r="BB80" i="50"/>
  <c r="BA80" i="50"/>
  <c r="AZ80" i="50"/>
  <c r="AY80" i="50"/>
  <c r="AX80" i="50"/>
  <c r="AW80" i="50"/>
  <c r="AV80" i="50"/>
  <c r="AU80" i="50"/>
  <c r="AT80" i="50"/>
  <c r="AS80" i="50"/>
  <c r="AR80" i="50"/>
  <c r="AQ80" i="50"/>
  <c r="AP80" i="50"/>
  <c r="AO80" i="50"/>
  <c r="AN80" i="50"/>
  <c r="AM80" i="50"/>
  <c r="BP78" i="50"/>
  <c r="BO78" i="50"/>
  <c r="BN78" i="50"/>
  <c r="BM78" i="50"/>
  <c r="BL78" i="50"/>
  <c r="BK78" i="50"/>
  <c r="BJ78" i="50"/>
  <c r="BI78" i="50"/>
  <c r="BH78" i="50"/>
  <c r="BG78" i="50"/>
  <c r="BF78" i="50"/>
  <c r="BE78" i="50"/>
  <c r="BD78" i="50"/>
  <c r="BC78" i="50"/>
  <c r="BB78" i="50"/>
  <c r="BA78" i="50"/>
  <c r="AZ78" i="50"/>
  <c r="AY78" i="50"/>
  <c r="AX78" i="50"/>
  <c r="AW78" i="50"/>
  <c r="AV78" i="50"/>
  <c r="AU78" i="50"/>
  <c r="AT78" i="50"/>
  <c r="AS78" i="50"/>
  <c r="AR78" i="50"/>
  <c r="AQ78" i="50"/>
  <c r="AP78" i="50"/>
  <c r="AO78" i="50"/>
  <c r="AN78" i="50"/>
  <c r="AM78" i="50"/>
  <c r="BP74" i="50"/>
  <c r="BO74" i="50"/>
  <c r="BN74" i="50"/>
  <c r="BM74" i="50"/>
  <c r="BL74" i="50"/>
  <c r="BK74" i="50"/>
  <c r="BJ74" i="50"/>
  <c r="BI74" i="50"/>
  <c r="BH74" i="50"/>
  <c r="BG74" i="50"/>
  <c r="BF74" i="50"/>
  <c r="BE74" i="50"/>
  <c r="BD74" i="50"/>
  <c r="BC74" i="50"/>
  <c r="BB74" i="50"/>
  <c r="BA74" i="50"/>
  <c r="AZ74" i="50"/>
  <c r="AY74" i="50"/>
  <c r="AX74" i="50"/>
  <c r="AW74" i="50"/>
  <c r="AV74" i="50"/>
  <c r="AU74" i="50"/>
  <c r="AT74" i="50"/>
  <c r="AS74" i="50"/>
  <c r="AR74" i="50"/>
  <c r="AQ74" i="50"/>
  <c r="AP74" i="50"/>
  <c r="AO74" i="50"/>
  <c r="AN74" i="50"/>
  <c r="AM74" i="50"/>
  <c r="BP72" i="50"/>
  <c r="BO72" i="50"/>
  <c r="BN72" i="50"/>
  <c r="BM72" i="50"/>
  <c r="BL72" i="50"/>
  <c r="BK72" i="50"/>
  <c r="BJ72" i="50"/>
  <c r="BI72" i="50"/>
  <c r="BH72" i="50"/>
  <c r="BG72" i="50"/>
  <c r="BF72" i="50"/>
  <c r="BE72" i="50"/>
  <c r="BD72" i="50"/>
  <c r="BC72" i="50"/>
  <c r="BB72" i="50"/>
  <c r="BA72" i="50"/>
  <c r="AZ72" i="50"/>
  <c r="AY72" i="50"/>
  <c r="AX72" i="50"/>
  <c r="AW72" i="50"/>
  <c r="AV72" i="50"/>
  <c r="AU72" i="50"/>
  <c r="AT72" i="50"/>
  <c r="AS72" i="50"/>
  <c r="AR72" i="50"/>
  <c r="AQ72" i="50"/>
  <c r="AP72" i="50"/>
  <c r="AO72" i="50"/>
  <c r="AN72" i="50"/>
  <c r="AM72" i="50"/>
  <c r="BP70" i="50"/>
  <c r="BO70" i="50"/>
  <c r="BN70" i="50"/>
  <c r="BM70" i="50"/>
  <c r="BL70" i="50"/>
  <c r="BK70" i="50"/>
  <c r="BJ70" i="50"/>
  <c r="BI70" i="50"/>
  <c r="BH70" i="50"/>
  <c r="BG70" i="50"/>
  <c r="BF70" i="50"/>
  <c r="BE70" i="50"/>
  <c r="BD70" i="50"/>
  <c r="BC70" i="50"/>
  <c r="BB70" i="50"/>
  <c r="BA70" i="50"/>
  <c r="AZ70" i="50"/>
  <c r="AY70" i="50"/>
  <c r="AX70" i="50"/>
  <c r="AW70" i="50"/>
  <c r="AV70" i="50"/>
  <c r="AU70" i="50"/>
  <c r="AT70" i="50"/>
  <c r="AS70" i="50"/>
  <c r="AR70" i="50"/>
  <c r="AQ70" i="50"/>
  <c r="AP70" i="50"/>
  <c r="AO70" i="50"/>
  <c r="AN70" i="50"/>
  <c r="AM70" i="50"/>
  <c r="BP66" i="50"/>
  <c r="BO66" i="50"/>
  <c r="BN66" i="50"/>
  <c r="BM66" i="50"/>
  <c r="BL66" i="50"/>
  <c r="BK66" i="50"/>
  <c r="BJ66" i="50"/>
  <c r="BI66" i="50"/>
  <c r="BH66" i="50"/>
  <c r="BG66" i="50"/>
  <c r="BF66" i="50"/>
  <c r="BE66" i="50"/>
  <c r="BD66" i="50"/>
  <c r="BC66" i="50"/>
  <c r="BB66" i="50"/>
  <c r="BA66" i="50"/>
  <c r="AZ66" i="50"/>
  <c r="AY66" i="50"/>
  <c r="AX66" i="50"/>
  <c r="AW66" i="50"/>
  <c r="AV66" i="50"/>
  <c r="AU66" i="50"/>
  <c r="AT66" i="50"/>
  <c r="AS66" i="50"/>
  <c r="AR66" i="50"/>
  <c r="AQ66" i="50"/>
  <c r="AP66" i="50"/>
  <c r="AO66" i="50"/>
  <c r="AN66" i="50"/>
  <c r="AM66" i="50"/>
  <c r="BP64" i="50"/>
  <c r="BO64" i="50"/>
  <c r="BN64" i="50"/>
  <c r="BM64" i="50"/>
  <c r="BL64" i="50"/>
  <c r="BK64" i="50"/>
  <c r="BJ64" i="50"/>
  <c r="BI64" i="50"/>
  <c r="BH64" i="50"/>
  <c r="BG64" i="50"/>
  <c r="BF64" i="50"/>
  <c r="BE64" i="50"/>
  <c r="BD64" i="50"/>
  <c r="BC64" i="50"/>
  <c r="BB64" i="50"/>
  <c r="BA64" i="50"/>
  <c r="AZ64" i="50"/>
  <c r="AY64" i="50"/>
  <c r="AX64" i="50"/>
  <c r="AW64" i="50"/>
  <c r="AV64" i="50"/>
  <c r="AU64" i="50"/>
  <c r="AT64" i="50"/>
  <c r="AS64" i="50"/>
  <c r="AR64" i="50"/>
  <c r="AQ64" i="50"/>
  <c r="AP64" i="50"/>
  <c r="AO64" i="50"/>
  <c r="AN64" i="50"/>
  <c r="AM64" i="50"/>
  <c r="BP62" i="50"/>
  <c r="BO62" i="50"/>
  <c r="BN62" i="50"/>
  <c r="BM62" i="50"/>
  <c r="BL62" i="50"/>
  <c r="BK62" i="50"/>
  <c r="BJ62" i="50"/>
  <c r="BI62" i="50"/>
  <c r="BH62" i="50"/>
  <c r="BG62" i="50"/>
  <c r="BF62" i="50"/>
  <c r="BE62" i="50"/>
  <c r="BD62" i="50"/>
  <c r="BC62" i="50"/>
  <c r="BB62" i="50"/>
  <c r="BA62" i="50"/>
  <c r="AZ62" i="50"/>
  <c r="AY62" i="50"/>
  <c r="AX62" i="50"/>
  <c r="AW62" i="50"/>
  <c r="AV62" i="50"/>
  <c r="AU62" i="50"/>
  <c r="AT62" i="50"/>
  <c r="AS62" i="50"/>
  <c r="AR62" i="50"/>
  <c r="AQ62" i="50"/>
  <c r="AP62" i="50"/>
  <c r="AO62" i="50"/>
  <c r="AN62" i="50"/>
  <c r="AM62" i="50"/>
  <c r="BP60" i="50"/>
  <c r="BO60" i="50"/>
  <c r="BN60" i="50"/>
  <c r="BM60" i="50"/>
  <c r="BL60" i="50"/>
  <c r="BK60" i="50"/>
  <c r="BJ60" i="50"/>
  <c r="BI60" i="50"/>
  <c r="BH60" i="50"/>
  <c r="BG60" i="50"/>
  <c r="BF60" i="50"/>
  <c r="BE60" i="50"/>
  <c r="BD60" i="50"/>
  <c r="BC60" i="50"/>
  <c r="BB60" i="50"/>
  <c r="BA60" i="50"/>
  <c r="AZ60" i="50"/>
  <c r="AY60" i="50"/>
  <c r="AX60" i="50"/>
  <c r="AW60" i="50"/>
  <c r="AV60" i="50"/>
  <c r="AU60" i="50"/>
  <c r="AT60" i="50"/>
  <c r="AS60" i="50"/>
  <c r="AR60" i="50"/>
  <c r="AQ60" i="50"/>
  <c r="AP60" i="50"/>
  <c r="AO60" i="50"/>
  <c r="AN60" i="50"/>
  <c r="AM60" i="50"/>
  <c r="BP58" i="50"/>
  <c r="BO58" i="50"/>
  <c r="BN58" i="50"/>
  <c r="BM58" i="50"/>
  <c r="BL58" i="50"/>
  <c r="BK58" i="50"/>
  <c r="BJ58" i="50"/>
  <c r="BI58" i="50"/>
  <c r="BH58" i="50"/>
  <c r="BG58" i="50"/>
  <c r="BF58" i="50"/>
  <c r="BE58" i="50"/>
  <c r="BD58" i="50"/>
  <c r="BC58" i="50"/>
  <c r="BB58" i="50"/>
  <c r="BA58" i="50"/>
  <c r="AZ58" i="50"/>
  <c r="AY58" i="50"/>
  <c r="AX58" i="50"/>
  <c r="AW58" i="50"/>
  <c r="AV58" i="50"/>
  <c r="AU58" i="50"/>
  <c r="AT58" i="50"/>
  <c r="AS58" i="50"/>
  <c r="AR58" i="50"/>
  <c r="AQ58" i="50"/>
  <c r="AP58" i="50"/>
  <c r="AO58" i="50"/>
  <c r="AN58" i="50"/>
  <c r="AM58" i="50"/>
  <c r="BP56" i="50"/>
  <c r="BO56" i="50"/>
  <c r="BN56" i="50"/>
  <c r="BM56" i="50"/>
  <c r="BL56" i="50"/>
  <c r="BK56" i="50"/>
  <c r="BJ56" i="50"/>
  <c r="BI56" i="50"/>
  <c r="BH56" i="50"/>
  <c r="BG56" i="50"/>
  <c r="BF56" i="50"/>
  <c r="BE56" i="50"/>
  <c r="BD56" i="50"/>
  <c r="BC56" i="50"/>
  <c r="BB56" i="50"/>
  <c r="BA56" i="50"/>
  <c r="AZ56" i="50"/>
  <c r="AY56" i="50"/>
  <c r="AX56" i="50"/>
  <c r="AW56" i="50"/>
  <c r="AV56" i="50"/>
  <c r="AU56" i="50"/>
  <c r="AT56" i="50"/>
  <c r="AS56" i="50"/>
  <c r="AR56" i="50"/>
  <c r="AQ56" i="50"/>
  <c r="AP56" i="50"/>
  <c r="AO56" i="50"/>
  <c r="AN56" i="50"/>
  <c r="AM56" i="50"/>
  <c r="BP54" i="50"/>
  <c r="BO54" i="50"/>
  <c r="BN54" i="50"/>
  <c r="BM54" i="50"/>
  <c r="BL54" i="50"/>
  <c r="BK54" i="50"/>
  <c r="BJ54" i="50"/>
  <c r="BI54" i="50"/>
  <c r="BH54" i="50"/>
  <c r="BG54" i="50"/>
  <c r="BF54" i="50"/>
  <c r="BE54" i="50"/>
  <c r="BD54" i="50"/>
  <c r="BC54" i="50"/>
  <c r="BB54" i="50"/>
  <c r="BA54" i="50"/>
  <c r="AZ54" i="50"/>
  <c r="AY54" i="50"/>
  <c r="AX54" i="50"/>
  <c r="AW54" i="50"/>
  <c r="AV54" i="50"/>
  <c r="AU54" i="50"/>
  <c r="AT54" i="50"/>
  <c r="AS54" i="50"/>
  <c r="AR54" i="50"/>
  <c r="AQ54" i="50"/>
  <c r="AP54" i="50"/>
  <c r="AO54" i="50"/>
  <c r="AN54" i="50"/>
  <c r="AM54" i="50"/>
  <c r="BP52" i="50"/>
  <c r="BO52" i="50"/>
  <c r="BN52" i="50"/>
  <c r="BM52" i="50"/>
  <c r="BL52" i="50"/>
  <c r="BK52" i="50"/>
  <c r="BJ52" i="50"/>
  <c r="BI52" i="50"/>
  <c r="BH52" i="50"/>
  <c r="BG52" i="50"/>
  <c r="BF52" i="50"/>
  <c r="BE52" i="50"/>
  <c r="BD52" i="50"/>
  <c r="BC52" i="50"/>
  <c r="BB52" i="50"/>
  <c r="BA52" i="50"/>
  <c r="AZ52" i="50"/>
  <c r="AY52" i="50"/>
  <c r="AX52" i="50"/>
  <c r="AW52" i="50"/>
  <c r="AV52" i="50"/>
  <c r="AU52" i="50"/>
  <c r="AT52" i="50"/>
  <c r="AS52" i="50"/>
  <c r="AR52" i="50"/>
  <c r="AQ52" i="50"/>
  <c r="AP52" i="50"/>
  <c r="AO52" i="50"/>
  <c r="AN52" i="50"/>
  <c r="AM52" i="50"/>
  <c r="BP50" i="50"/>
  <c r="BO50" i="50"/>
  <c r="BN50" i="50"/>
  <c r="BM50" i="50"/>
  <c r="BL50" i="50"/>
  <c r="BK50" i="50"/>
  <c r="BJ50" i="50"/>
  <c r="BI50" i="50"/>
  <c r="BH50" i="50"/>
  <c r="BG50" i="50"/>
  <c r="BF50" i="50"/>
  <c r="BE50" i="50"/>
  <c r="BD50" i="50"/>
  <c r="BC50" i="50"/>
  <c r="BB50" i="50"/>
  <c r="BA50" i="50"/>
  <c r="AZ50" i="50"/>
  <c r="AY50" i="50"/>
  <c r="AX50" i="50"/>
  <c r="AW50" i="50"/>
  <c r="AV50" i="50"/>
  <c r="AU50" i="50"/>
  <c r="AT50" i="50"/>
  <c r="AS50" i="50"/>
  <c r="AR50" i="50"/>
  <c r="AQ50" i="50"/>
  <c r="AP50" i="50"/>
  <c r="AO50" i="50"/>
  <c r="AN50" i="50"/>
  <c r="AM50" i="50"/>
  <c r="BP48" i="50"/>
  <c r="BO48" i="50"/>
  <c r="BN48" i="50"/>
  <c r="BM48" i="50"/>
  <c r="BL48" i="50"/>
  <c r="BK48" i="50"/>
  <c r="BJ48" i="50"/>
  <c r="BI48" i="50"/>
  <c r="BH48" i="50"/>
  <c r="BG48" i="50"/>
  <c r="BF48" i="50"/>
  <c r="BE48" i="50"/>
  <c r="BD48" i="50"/>
  <c r="BC48" i="50"/>
  <c r="BB48" i="50"/>
  <c r="BA48" i="50"/>
  <c r="AZ48" i="50"/>
  <c r="AY48" i="50"/>
  <c r="AX48" i="50"/>
  <c r="AW48" i="50"/>
  <c r="AV48" i="50"/>
  <c r="AU48" i="50"/>
  <c r="AT48" i="50"/>
  <c r="AS48" i="50"/>
  <c r="AR48" i="50"/>
  <c r="AQ48" i="50"/>
  <c r="AP48" i="50"/>
  <c r="AO48" i="50"/>
  <c r="AN48" i="50"/>
  <c r="AM48" i="50"/>
  <c r="BP46" i="50"/>
  <c r="BO46" i="50"/>
  <c r="BN46" i="50"/>
  <c r="BM46" i="50"/>
  <c r="BL46" i="50"/>
  <c r="BK46" i="50"/>
  <c r="BJ46" i="50"/>
  <c r="BI46" i="50"/>
  <c r="BH46" i="50"/>
  <c r="BG46" i="50"/>
  <c r="BF46" i="50"/>
  <c r="BE46" i="50"/>
  <c r="BD46" i="50"/>
  <c r="BC46" i="50"/>
  <c r="BB46" i="50"/>
  <c r="BA46" i="50"/>
  <c r="AZ46" i="50"/>
  <c r="AY46" i="50"/>
  <c r="AX46" i="50"/>
  <c r="AW46" i="50"/>
  <c r="AV46" i="50"/>
  <c r="AU46" i="50"/>
  <c r="AT46" i="50"/>
  <c r="AS46" i="50"/>
  <c r="AR46" i="50"/>
  <c r="AQ46" i="50"/>
  <c r="AP46" i="50"/>
  <c r="AO46" i="50"/>
  <c r="AN46" i="50"/>
  <c r="AM46" i="50"/>
  <c r="BP44" i="50"/>
  <c r="BO44" i="50"/>
  <c r="BN44" i="50"/>
  <c r="BM44" i="50"/>
  <c r="BL44" i="50"/>
  <c r="BK44" i="50"/>
  <c r="BJ44" i="50"/>
  <c r="BI44" i="50"/>
  <c r="BH44" i="50"/>
  <c r="BG44" i="50"/>
  <c r="BF44" i="50"/>
  <c r="BE44" i="50"/>
  <c r="BD44" i="50"/>
  <c r="BC44" i="50"/>
  <c r="BB44" i="50"/>
  <c r="BA44" i="50"/>
  <c r="AZ44" i="50"/>
  <c r="AY44" i="50"/>
  <c r="AX44" i="50"/>
  <c r="AW44" i="50"/>
  <c r="AV44" i="50"/>
  <c r="AU44" i="50"/>
  <c r="AT44" i="50"/>
  <c r="AS44" i="50"/>
  <c r="AR44" i="50"/>
  <c r="AQ44" i="50"/>
  <c r="AP44" i="50"/>
  <c r="AO44" i="50"/>
  <c r="AN44" i="50"/>
  <c r="AM44" i="50"/>
  <c r="BP42" i="50"/>
  <c r="BO42" i="50"/>
  <c r="BN42" i="50"/>
  <c r="BM42" i="50"/>
  <c r="BL42" i="50"/>
  <c r="BK42" i="50"/>
  <c r="BJ42" i="50"/>
  <c r="BI42" i="50"/>
  <c r="BH42" i="50"/>
  <c r="BG42" i="50"/>
  <c r="BF42" i="50"/>
  <c r="BE42" i="50"/>
  <c r="BD42" i="50"/>
  <c r="BC42" i="50"/>
  <c r="BB42" i="50"/>
  <c r="BA42" i="50"/>
  <c r="AZ42" i="50"/>
  <c r="AY42" i="50"/>
  <c r="AX42" i="50"/>
  <c r="AW42" i="50"/>
  <c r="AV42" i="50"/>
  <c r="AU42" i="50"/>
  <c r="AT42" i="50"/>
  <c r="AS42" i="50"/>
  <c r="AR42" i="50"/>
  <c r="AQ42" i="50"/>
  <c r="AP42" i="50"/>
  <c r="AO42" i="50"/>
  <c r="AN42" i="50"/>
  <c r="AM42" i="50"/>
  <c r="BP40" i="50"/>
  <c r="BO40" i="50"/>
  <c r="BN40" i="50"/>
  <c r="BM40" i="50"/>
  <c r="BL40" i="50"/>
  <c r="BK40" i="50"/>
  <c r="BJ40" i="50"/>
  <c r="BI40" i="50"/>
  <c r="BH40" i="50"/>
  <c r="BG40" i="50"/>
  <c r="BF40" i="50"/>
  <c r="BE40" i="50"/>
  <c r="BD40" i="50"/>
  <c r="BC40" i="50"/>
  <c r="BB40" i="50"/>
  <c r="BA40" i="50"/>
  <c r="AZ40" i="50"/>
  <c r="AY40" i="50"/>
  <c r="AX40" i="50"/>
  <c r="AW40" i="50"/>
  <c r="AV40" i="50"/>
  <c r="AU40" i="50"/>
  <c r="AT40" i="50"/>
  <c r="AS40" i="50"/>
  <c r="AR40" i="50"/>
  <c r="AQ40" i="50"/>
  <c r="AP40" i="50"/>
  <c r="AO40" i="50"/>
  <c r="AN40" i="50"/>
  <c r="AM40" i="50"/>
  <c r="CH38" i="50"/>
  <c r="AR92" i="50" s="1"/>
  <c r="AA4" i="50" s="1"/>
  <c r="CG38" i="50"/>
  <c r="AQ92" i="50" s="1"/>
  <c r="AA2" i="50" s="1"/>
  <c r="CF38" i="50"/>
  <c r="CE38" i="50"/>
  <c r="BP92" i="50" s="1"/>
  <c r="CD38" i="50"/>
  <c r="CC38" i="50"/>
  <c r="CB38" i="50"/>
  <c r="CA38" i="50"/>
  <c r="BL92" i="50" s="1"/>
  <c r="BZ38" i="50"/>
  <c r="BK92" i="50" s="1"/>
  <c r="BY38" i="50"/>
  <c r="BX38" i="50"/>
  <c r="BW38" i="50"/>
  <c r="BV38" i="50"/>
  <c r="BP38" i="50"/>
  <c r="BO38" i="50"/>
  <c r="BN38" i="50"/>
  <c r="BM38" i="50"/>
  <c r="BL38" i="50"/>
  <c r="BK38" i="50"/>
  <c r="BJ38" i="50"/>
  <c r="BI38" i="50"/>
  <c r="BH38" i="50"/>
  <c r="BG38" i="50"/>
  <c r="BF38" i="50"/>
  <c r="BE38" i="50"/>
  <c r="BD38" i="50"/>
  <c r="BC38" i="50"/>
  <c r="BB38" i="50"/>
  <c r="BA38" i="50"/>
  <c r="AZ38" i="50"/>
  <c r="AY38" i="50"/>
  <c r="AX38" i="50"/>
  <c r="AW38" i="50"/>
  <c r="AV38" i="50"/>
  <c r="AU38" i="50"/>
  <c r="AT38" i="50"/>
  <c r="AS38" i="50"/>
  <c r="AR38" i="50"/>
  <c r="AQ38" i="50"/>
  <c r="AP38" i="50"/>
  <c r="AO38" i="50"/>
  <c r="AN38" i="50"/>
  <c r="AM38" i="50"/>
  <c r="BP36" i="50"/>
  <c r="BO36" i="50"/>
  <c r="BN36" i="50"/>
  <c r="BM36" i="50"/>
  <c r="BL36" i="50"/>
  <c r="BK36" i="50"/>
  <c r="BJ36" i="50"/>
  <c r="BI36" i="50"/>
  <c r="BH36" i="50"/>
  <c r="BG36" i="50"/>
  <c r="BF36" i="50"/>
  <c r="BE36" i="50"/>
  <c r="BD36" i="50"/>
  <c r="BC36" i="50"/>
  <c r="BB36" i="50"/>
  <c r="BA36" i="50"/>
  <c r="AZ36" i="50"/>
  <c r="AY36" i="50"/>
  <c r="AX36" i="50"/>
  <c r="AW36" i="50"/>
  <c r="AV36" i="50"/>
  <c r="AU36" i="50"/>
  <c r="AT36" i="50"/>
  <c r="AS36" i="50"/>
  <c r="AR36" i="50"/>
  <c r="AQ36" i="50"/>
  <c r="AP36" i="50"/>
  <c r="AO36" i="50"/>
  <c r="AN36" i="50"/>
  <c r="AM36" i="50"/>
  <c r="BP34" i="50"/>
  <c r="BO34" i="50"/>
  <c r="BN34" i="50"/>
  <c r="BM34" i="50"/>
  <c r="BL34" i="50"/>
  <c r="BK34" i="50"/>
  <c r="BJ34" i="50"/>
  <c r="BI34" i="50"/>
  <c r="BH34" i="50"/>
  <c r="BG34" i="50"/>
  <c r="BF34" i="50"/>
  <c r="BE34" i="50"/>
  <c r="BD34" i="50"/>
  <c r="BC34" i="50"/>
  <c r="BB34" i="50"/>
  <c r="BA34" i="50"/>
  <c r="AZ34" i="50"/>
  <c r="AY34" i="50"/>
  <c r="AX34" i="50"/>
  <c r="AW34" i="50"/>
  <c r="AV34" i="50"/>
  <c r="AU34" i="50"/>
  <c r="AT34" i="50"/>
  <c r="AS34" i="50"/>
  <c r="AR34" i="50"/>
  <c r="AQ34" i="50"/>
  <c r="AP34" i="50"/>
  <c r="AO34" i="50"/>
  <c r="AN34" i="50"/>
  <c r="AM34" i="50"/>
  <c r="BP32" i="50"/>
  <c r="BO32" i="50"/>
  <c r="BN32" i="50"/>
  <c r="BM32" i="50"/>
  <c r="BL32" i="50"/>
  <c r="BK32" i="50"/>
  <c r="BJ32" i="50"/>
  <c r="BI32" i="50"/>
  <c r="BH32" i="50"/>
  <c r="BG32" i="50"/>
  <c r="BF32" i="50"/>
  <c r="BE32" i="50"/>
  <c r="BD32" i="50"/>
  <c r="BC32" i="50"/>
  <c r="BB32" i="50"/>
  <c r="BA32" i="50"/>
  <c r="AZ32" i="50"/>
  <c r="AY32" i="50"/>
  <c r="AX32" i="50"/>
  <c r="AW32" i="50"/>
  <c r="AV32" i="50"/>
  <c r="AU32" i="50"/>
  <c r="AT32" i="50"/>
  <c r="AS32" i="50"/>
  <c r="AR32" i="50"/>
  <c r="AQ32" i="50"/>
  <c r="AP32" i="50"/>
  <c r="AO32" i="50"/>
  <c r="AN32" i="50"/>
  <c r="AM32" i="50"/>
  <c r="BY30" i="50"/>
  <c r="BX30" i="50"/>
  <c r="BW30" i="50"/>
  <c r="BV30" i="50"/>
  <c r="BP30" i="50"/>
  <c r="BO30" i="50"/>
  <c r="BN30" i="50"/>
  <c r="BN92" i="50" s="1"/>
  <c r="BM30" i="50"/>
  <c r="BL30" i="50"/>
  <c r="BK30" i="50"/>
  <c r="BJ30" i="50"/>
  <c r="BI30" i="50"/>
  <c r="BH30" i="50"/>
  <c r="BG30" i="50"/>
  <c r="BF30" i="50"/>
  <c r="BF92" i="50" s="1"/>
  <c r="F193" i="50" s="1"/>
  <c r="BE30" i="50"/>
  <c r="BD30" i="50"/>
  <c r="BC30" i="50"/>
  <c r="BB30" i="50"/>
  <c r="BA30" i="50"/>
  <c r="AZ30" i="50"/>
  <c r="AY30" i="50"/>
  <c r="AX30" i="50"/>
  <c r="AX92" i="50" s="1"/>
  <c r="F204" i="50" s="1"/>
  <c r="AW30" i="50"/>
  <c r="AV30" i="50"/>
  <c r="AU30" i="50"/>
  <c r="AT30" i="50"/>
  <c r="AS30" i="50"/>
  <c r="AR30" i="50"/>
  <c r="AQ30" i="50"/>
  <c r="AP30" i="50"/>
  <c r="AO30" i="50"/>
  <c r="AN30" i="50"/>
  <c r="AM30" i="50"/>
  <c r="BV29" i="50"/>
  <c r="BY28" i="50"/>
  <c r="BX28" i="50"/>
  <c r="BW28" i="50"/>
  <c r="BV28" i="50"/>
  <c r="BP28" i="50"/>
  <c r="BO28" i="50"/>
  <c r="BN28" i="50"/>
  <c r="BM28" i="50"/>
  <c r="BL28" i="50"/>
  <c r="BK28" i="50"/>
  <c r="BJ28" i="50"/>
  <c r="BI28" i="50"/>
  <c r="BH28" i="50"/>
  <c r="BG28" i="50"/>
  <c r="BF28" i="50"/>
  <c r="BE28" i="50"/>
  <c r="BD28" i="50"/>
  <c r="BC28" i="50"/>
  <c r="BB28" i="50"/>
  <c r="BA28" i="50"/>
  <c r="AZ28" i="50"/>
  <c r="AY28" i="50"/>
  <c r="AX28" i="50"/>
  <c r="AW28" i="50"/>
  <c r="AV28" i="50"/>
  <c r="AU28" i="50"/>
  <c r="AT28" i="50"/>
  <c r="AS28" i="50"/>
  <c r="AR28" i="50"/>
  <c r="AQ28" i="50"/>
  <c r="AP28" i="50"/>
  <c r="AO28" i="50"/>
  <c r="AN28" i="50"/>
  <c r="AM28" i="50"/>
  <c r="BV27" i="50"/>
  <c r="BY26" i="50"/>
  <c r="BY32" i="50" s="1"/>
  <c r="AP92" i="50" s="1"/>
  <c r="U6" i="50" s="1"/>
  <c r="BX26" i="50"/>
  <c r="BX32" i="50" s="1"/>
  <c r="BW26" i="50"/>
  <c r="BW32" i="50" s="1"/>
  <c r="BV26" i="50"/>
  <c r="BV32" i="50" s="1"/>
  <c r="BP26" i="50"/>
  <c r="BO26" i="50"/>
  <c r="BN26" i="50"/>
  <c r="BM26" i="50"/>
  <c r="BL26" i="50"/>
  <c r="BK26" i="50"/>
  <c r="BJ26" i="50"/>
  <c r="BI26" i="50"/>
  <c r="BH26" i="50"/>
  <c r="BG26" i="50"/>
  <c r="BF26" i="50"/>
  <c r="BE26" i="50"/>
  <c r="BD26" i="50"/>
  <c r="BC26" i="50"/>
  <c r="BB26" i="50"/>
  <c r="BA26" i="50"/>
  <c r="AZ26" i="50"/>
  <c r="AY26" i="50"/>
  <c r="AX26" i="50"/>
  <c r="AW26" i="50"/>
  <c r="AV26" i="50"/>
  <c r="AU26" i="50"/>
  <c r="AT26" i="50"/>
  <c r="AS26" i="50"/>
  <c r="AR26" i="50"/>
  <c r="AQ26" i="50"/>
  <c r="AP26" i="50"/>
  <c r="AO26" i="50"/>
  <c r="AN26" i="50"/>
  <c r="AM26" i="50"/>
  <c r="BP24" i="50"/>
  <c r="BO24" i="50"/>
  <c r="BN24" i="50"/>
  <c r="BM24" i="50"/>
  <c r="BL24" i="50"/>
  <c r="BK24" i="50"/>
  <c r="BJ24" i="50"/>
  <c r="BI24" i="50"/>
  <c r="BH24" i="50"/>
  <c r="BG24" i="50"/>
  <c r="BF24" i="50"/>
  <c r="BE24" i="50"/>
  <c r="BD24" i="50"/>
  <c r="BC24" i="50"/>
  <c r="BB24" i="50"/>
  <c r="BA24" i="50"/>
  <c r="AZ24" i="50"/>
  <c r="AY24" i="50"/>
  <c r="AX24" i="50"/>
  <c r="AW24" i="50"/>
  <c r="AV24" i="50"/>
  <c r="AU24" i="50"/>
  <c r="AT24" i="50"/>
  <c r="AS24" i="50"/>
  <c r="AR24" i="50"/>
  <c r="AQ24" i="50"/>
  <c r="AP24" i="50"/>
  <c r="AO24" i="50"/>
  <c r="AN24" i="50"/>
  <c r="AM24" i="50"/>
  <c r="BP22" i="50"/>
  <c r="BO22" i="50"/>
  <c r="BN22" i="50"/>
  <c r="BM22" i="50"/>
  <c r="BL22" i="50"/>
  <c r="BK22" i="50"/>
  <c r="BJ22" i="50"/>
  <c r="BI22" i="50"/>
  <c r="BH22" i="50"/>
  <c r="BG22" i="50"/>
  <c r="BF22" i="50"/>
  <c r="BE22" i="50"/>
  <c r="BD22" i="50"/>
  <c r="BC22" i="50"/>
  <c r="BB22" i="50"/>
  <c r="BA22" i="50"/>
  <c r="AZ22" i="50"/>
  <c r="AY22" i="50"/>
  <c r="AX22" i="50"/>
  <c r="AW22" i="50"/>
  <c r="AV22" i="50"/>
  <c r="AU22" i="50"/>
  <c r="AT22" i="50"/>
  <c r="AS22" i="50"/>
  <c r="AR22" i="50"/>
  <c r="AQ22" i="50"/>
  <c r="AP22" i="50"/>
  <c r="AO22" i="50"/>
  <c r="AN22" i="50"/>
  <c r="AM22" i="50"/>
  <c r="BV20" i="50"/>
  <c r="BP20" i="50"/>
  <c r="BO20" i="50"/>
  <c r="BN20" i="50"/>
  <c r="BM20" i="50"/>
  <c r="BL20" i="50"/>
  <c r="BK20" i="50"/>
  <c r="BJ20" i="50"/>
  <c r="BI20" i="50"/>
  <c r="BH20" i="50"/>
  <c r="BG20" i="50"/>
  <c r="BF20" i="50"/>
  <c r="BE20" i="50"/>
  <c r="BD20" i="50"/>
  <c r="BC20" i="50"/>
  <c r="BB20" i="50"/>
  <c r="BA20" i="50"/>
  <c r="AZ20" i="50"/>
  <c r="AY20" i="50"/>
  <c r="AX20" i="50"/>
  <c r="AW20" i="50"/>
  <c r="AV20" i="50"/>
  <c r="AU20" i="50"/>
  <c r="AT20" i="50"/>
  <c r="AS20" i="50"/>
  <c r="AR20" i="50"/>
  <c r="AQ20" i="50"/>
  <c r="AP20" i="50"/>
  <c r="AO20" i="50"/>
  <c r="AN20" i="50"/>
  <c r="AM20" i="50"/>
  <c r="BP18" i="50"/>
  <c r="BO18" i="50"/>
  <c r="BN18" i="50"/>
  <c r="BM18" i="50"/>
  <c r="BL18" i="50"/>
  <c r="BK18" i="50"/>
  <c r="BJ18" i="50"/>
  <c r="BI18" i="50"/>
  <c r="BH18" i="50"/>
  <c r="BG18" i="50"/>
  <c r="BF18" i="50"/>
  <c r="BE18" i="50"/>
  <c r="BD18" i="50"/>
  <c r="BC18" i="50"/>
  <c r="BB18" i="50"/>
  <c r="BA18" i="50"/>
  <c r="AZ18" i="50"/>
  <c r="AY18" i="50"/>
  <c r="AX18" i="50"/>
  <c r="AW18" i="50"/>
  <c r="AV18" i="50"/>
  <c r="AU18" i="50"/>
  <c r="AT18" i="50"/>
  <c r="AS18" i="50"/>
  <c r="AR18" i="50"/>
  <c r="AQ18" i="50"/>
  <c r="AP18" i="50"/>
  <c r="AO18" i="50"/>
  <c r="AN18" i="50"/>
  <c r="AM18" i="50"/>
  <c r="BP16" i="50"/>
  <c r="BO16" i="50"/>
  <c r="BO92" i="50" s="1"/>
  <c r="BN16" i="50"/>
  <c r="BM16" i="50"/>
  <c r="BL16" i="50"/>
  <c r="BK16" i="50"/>
  <c r="BJ16" i="50"/>
  <c r="BJ92" i="50" s="1"/>
  <c r="F195" i="50" s="1"/>
  <c r="BI16" i="50"/>
  <c r="BI92" i="50" s="1"/>
  <c r="F201" i="50" s="1"/>
  <c r="BH16" i="50"/>
  <c r="BH92" i="50" s="1"/>
  <c r="F197" i="50" s="1"/>
  <c r="BG16" i="50"/>
  <c r="BG92" i="50" s="1"/>
  <c r="F205" i="50" s="1"/>
  <c r="BF16" i="50"/>
  <c r="BE16" i="50"/>
  <c r="BE92" i="50" s="1"/>
  <c r="F196" i="50" s="1"/>
  <c r="BD16" i="50"/>
  <c r="BD92" i="50" s="1"/>
  <c r="F203" i="50" s="1"/>
  <c r="BC16" i="50"/>
  <c r="BC92" i="50" s="1"/>
  <c r="F202" i="50" s="1"/>
  <c r="BB16" i="50"/>
  <c r="BB92" i="50" s="1"/>
  <c r="F192" i="50" s="1"/>
  <c r="BA16" i="50"/>
  <c r="BA92" i="50" s="1"/>
  <c r="F194" i="50" s="1"/>
  <c r="D228" i="50" s="1"/>
  <c r="AZ16" i="50"/>
  <c r="AZ92" i="50" s="1"/>
  <c r="F200" i="50" s="1"/>
  <c r="AY16" i="50"/>
  <c r="AY92" i="50" s="1"/>
  <c r="F198" i="50" s="1"/>
  <c r="AX16" i="50"/>
  <c r="AW16" i="50"/>
  <c r="AW92" i="50" s="1"/>
  <c r="F199" i="50" s="1"/>
  <c r="AV16" i="50"/>
  <c r="AV92" i="50" s="1"/>
  <c r="F206" i="50" s="1"/>
  <c r="AU16" i="50"/>
  <c r="AU92" i="50" s="1"/>
  <c r="AT16" i="50"/>
  <c r="AT92" i="50" s="1"/>
  <c r="U8" i="50" s="1"/>
  <c r="AP8" i="50" s="1"/>
  <c r="AS16" i="50"/>
  <c r="AS92" i="50" s="1"/>
  <c r="AR16" i="50"/>
  <c r="AQ16" i="50"/>
  <c r="AP16" i="50"/>
  <c r="AO16" i="50"/>
  <c r="AN16" i="50"/>
  <c r="AM16" i="50"/>
  <c r="D277" i="49"/>
  <c r="D276" i="49"/>
  <c r="BD50" i="49" s="1"/>
  <c r="D275" i="49"/>
  <c r="BI34" i="49" s="1"/>
  <c r="B275" i="49"/>
  <c r="Q273" i="49"/>
  <c r="O273" i="49"/>
  <c r="M273" i="49"/>
  <c r="AZ272" i="49"/>
  <c r="AY272" i="49"/>
  <c r="AW272" i="49"/>
  <c r="AV272" i="49"/>
  <c r="AN272" i="49"/>
  <c r="Q272" i="49"/>
  <c r="O272" i="49"/>
  <c r="M272" i="49"/>
  <c r="AZ271" i="49"/>
  <c r="AY271" i="49"/>
  <c r="AW271" i="49"/>
  <c r="AV271" i="49"/>
  <c r="Q271" i="49"/>
  <c r="O271" i="49"/>
  <c r="M271" i="49"/>
  <c r="AZ270" i="49"/>
  <c r="AY270" i="49"/>
  <c r="AW270" i="49"/>
  <c r="AV270" i="49"/>
  <c r="AN270" i="49"/>
  <c r="Q270" i="49"/>
  <c r="O270" i="49"/>
  <c r="M270" i="49"/>
  <c r="AZ269" i="49"/>
  <c r="AY269" i="49"/>
  <c r="AW269" i="49"/>
  <c r="AV269" i="49"/>
  <c r="Q269" i="49"/>
  <c r="O269" i="49"/>
  <c r="M269" i="49"/>
  <c r="AZ268" i="49"/>
  <c r="AY268" i="49"/>
  <c r="AW268" i="49"/>
  <c r="AV268" i="49"/>
  <c r="AN268" i="49"/>
  <c r="Q268" i="49"/>
  <c r="O268" i="49"/>
  <c r="M268" i="49"/>
  <c r="AZ267" i="49"/>
  <c r="AY267" i="49"/>
  <c r="AW267" i="49"/>
  <c r="AV267" i="49"/>
  <c r="Q267" i="49"/>
  <c r="O267" i="49"/>
  <c r="M267" i="49"/>
  <c r="AZ266" i="49"/>
  <c r="AY266" i="49"/>
  <c r="AW266" i="49"/>
  <c r="AV266" i="49"/>
  <c r="AN266" i="49"/>
  <c r="Q266" i="49"/>
  <c r="O266" i="49"/>
  <c r="M266" i="49"/>
  <c r="AZ265" i="49"/>
  <c r="AY265" i="49"/>
  <c r="AW265" i="49"/>
  <c r="AV265" i="49"/>
  <c r="Q265" i="49"/>
  <c r="O265" i="49"/>
  <c r="M265" i="49"/>
  <c r="AZ264" i="49"/>
  <c r="AY264" i="49"/>
  <c r="AW264" i="49"/>
  <c r="AV264" i="49"/>
  <c r="AN264" i="49"/>
  <c r="Q264" i="49"/>
  <c r="O264" i="49"/>
  <c r="M264" i="49"/>
  <c r="AZ263" i="49"/>
  <c r="AY263" i="49"/>
  <c r="AW263" i="49"/>
  <c r="AV263" i="49"/>
  <c r="Q263" i="49"/>
  <c r="O263" i="49"/>
  <c r="M263" i="49"/>
  <c r="AZ262" i="49"/>
  <c r="AY262" i="49"/>
  <c r="AW262" i="49"/>
  <c r="AV262" i="49"/>
  <c r="AN262" i="49"/>
  <c r="Q262" i="49"/>
  <c r="O262" i="49"/>
  <c r="M262" i="49"/>
  <c r="AZ261" i="49"/>
  <c r="AY261" i="49"/>
  <c r="AW261" i="49"/>
  <c r="Q261" i="49"/>
  <c r="O261" i="49"/>
  <c r="M261" i="49"/>
  <c r="AZ260" i="49"/>
  <c r="AW260" i="49"/>
  <c r="AV260" i="49"/>
  <c r="AN260" i="49"/>
  <c r="Q260" i="49"/>
  <c r="O260" i="49"/>
  <c r="M260" i="49"/>
  <c r="AZ259" i="49"/>
  <c r="AY259" i="49"/>
  <c r="AW259" i="49"/>
  <c r="AV259" i="49"/>
  <c r="Q259" i="49"/>
  <c r="O259" i="49"/>
  <c r="M259" i="49"/>
  <c r="AZ258" i="49"/>
  <c r="AW258" i="49"/>
  <c r="AV258" i="49"/>
  <c r="AN258" i="49"/>
  <c r="Q258" i="49"/>
  <c r="O258" i="49"/>
  <c r="M258" i="49"/>
  <c r="AZ257" i="49"/>
  <c r="Q257" i="49"/>
  <c r="O257" i="49"/>
  <c r="M257" i="49"/>
  <c r="AZ256" i="49"/>
  <c r="AN256" i="49"/>
  <c r="Q256" i="49"/>
  <c r="O256" i="49"/>
  <c r="M256" i="49"/>
  <c r="AZ255" i="49"/>
  <c r="Q255" i="49"/>
  <c r="O255" i="49"/>
  <c r="M255" i="49"/>
  <c r="AZ254" i="49"/>
  <c r="AY254" i="49"/>
  <c r="AN254" i="49"/>
  <c r="Q254" i="49"/>
  <c r="O254" i="49"/>
  <c r="M254" i="49"/>
  <c r="AZ253" i="49"/>
  <c r="AY253" i="49"/>
  <c r="AW253" i="49"/>
  <c r="AV253" i="49"/>
  <c r="Q253" i="49"/>
  <c r="O253" i="49"/>
  <c r="M253" i="49"/>
  <c r="AZ252" i="49"/>
  <c r="AY252" i="49"/>
  <c r="AW252" i="49"/>
  <c r="AV252" i="49"/>
  <c r="AN252" i="49"/>
  <c r="Q252" i="49"/>
  <c r="O252" i="49"/>
  <c r="M252" i="49"/>
  <c r="AZ251" i="49"/>
  <c r="AY251" i="49"/>
  <c r="AW251" i="49"/>
  <c r="AV251" i="49"/>
  <c r="Q251" i="49"/>
  <c r="O251" i="49"/>
  <c r="M251" i="49"/>
  <c r="AZ250" i="49"/>
  <c r="AY250" i="49"/>
  <c r="AW250" i="49"/>
  <c r="AV250" i="49"/>
  <c r="AN250" i="49"/>
  <c r="Q250" i="49"/>
  <c r="O250" i="49"/>
  <c r="M250" i="49"/>
  <c r="AZ249" i="49"/>
  <c r="AY249" i="49"/>
  <c r="AW249" i="49"/>
  <c r="AV249" i="49"/>
  <c r="Q249" i="49"/>
  <c r="O249" i="49"/>
  <c r="M249" i="49"/>
  <c r="AZ248" i="49"/>
  <c r="AY248" i="49"/>
  <c r="AW248" i="49"/>
  <c r="AV248" i="49"/>
  <c r="AN248" i="49"/>
  <c r="Q248" i="49"/>
  <c r="O248" i="49"/>
  <c r="M248" i="49"/>
  <c r="AZ247" i="49"/>
  <c r="AY247" i="49"/>
  <c r="AW247" i="49"/>
  <c r="AV247" i="49"/>
  <c r="Q247" i="49"/>
  <c r="O247" i="49"/>
  <c r="M247" i="49"/>
  <c r="AZ246" i="49"/>
  <c r="AY246" i="49"/>
  <c r="AW246" i="49"/>
  <c r="AV246" i="49"/>
  <c r="AN246" i="49"/>
  <c r="Q246" i="49"/>
  <c r="O246" i="49"/>
  <c r="M246" i="49"/>
  <c r="AZ245" i="49"/>
  <c r="AY245" i="49"/>
  <c r="AW245" i="49"/>
  <c r="AV245" i="49"/>
  <c r="Q245" i="49"/>
  <c r="O245" i="49"/>
  <c r="M245" i="49"/>
  <c r="AZ244" i="49"/>
  <c r="AY244" i="49"/>
  <c r="AW244" i="49"/>
  <c r="AV244" i="49"/>
  <c r="AN244" i="49"/>
  <c r="Q244" i="49"/>
  <c r="O244" i="49"/>
  <c r="M244" i="49"/>
  <c r="AZ243" i="49"/>
  <c r="AY243" i="49"/>
  <c r="AW243" i="49"/>
  <c r="AV243" i="49"/>
  <c r="Q243" i="49"/>
  <c r="O243" i="49"/>
  <c r="M243" i="49"/>
  <c r="AZ242" i="49"/>
  <c r="AY242" i="49"/>
  <c r="AW242" i="49"/>
  <c r="AV242" i="49"/>
  <c r="AN242" i="49"/>
  <c r="Q242" i="49"/>
  <c r="O242" i="49"/>
  <c r="M242" i="49"/>
  <c r="AZ241" i="49"/>
  <c r="AY241" i="49"/>
  <c r="AW241" i="49"/>
  <c r="AV241" i="49"/>
  <c r="Q241" i="49"/>
  <c r="O241" i="49"/>
  <c r="M241" i="49"/>
  <c r="AZ240" i="49"/>
  <c r="AY240" i="49"/>
  <c r="AW240" i="49"/>
  <c r="AV240" i="49"/>
  <c r="AN240" i="49"/>
  <c r="Q240" i="49"/>
  <c r="O240" i="49"/>
  <c r="M240" i="49"/>
  <c r="AZ239" i="49"/>
  <c r="AY239" i="49"/>
  <c r="AW239" i="49"/>
  <c r="AV239" i="49"/>
  <c r="Q239" i="49"/>
  <c r="O239" i="49"/>
  <c r="M239" i="49"/>
  <c r="AZ238" i="49"/>
  <c r="AY238" i="49"/>
  <c r="AW238" i="49"/>
  <c r="AV238" i="49"/>
  <c r="AN238" i="49"/>
  <c r="Q238" i="49"/>
  <c r="Q275" i="49" s="1"/>
  <c r="O238" i="49"/>
  <c r="M238" i="49"/>
  <c r="AZ237" i="49"/>
  <c r="AY237" i="49"/>
  <c r="AW237" i="49"/>
  <c r="AV237" i="49"/>
  <c r="Q237" i="49"/>
  <c r="O237" i="49"/>
  <c r="M237" i="49"/>
  <c r="AZ236" i="49"/>
  <c r="AY236" i="49"/>
  <c r="AW236" i="49"/>
  <c r="AV236" i="49"/>
  <c r="AN236" i="49"/>
  <c r="Q236" i="49"/>
  <c r="O236" i="49"/>
  <c r="M236" i="49"/>
  <c r="AZ235" i="49"/>
  <c r="AY235" i="49"/>
  <c r="AW235" i="49"/>
  <c r="AV235" i="49"/>
  <c r="Q235" i="49"/>
  <c r="O235" i="49"/>
  <c r="M235" i="49"/>
  <c r="AZ234" i="49"/>
  <c r="AY234" i="49"/>
  <c r="AW234" i="49"/>
  <c r="AV234" i="49"/>
  <c r="AN234" i="49"/>
  <c r="Q234" i="49"/>
  <c r="O234" i="49"/>
  <c r="O275" i="49" s="1"/>
  <c r="M234" i="49"/>
  <c r="AT234" i="49" s="1"/>
  <c r="H181" i="49"/>
  <c r="AV261" i="49" s="1"/>
  <c r="H180" i="49"/>
  <c r="AY260" i="49" s="1"/>
  <c r="H179" i="49"/>
  <c r="H178" i="49"/>
  <c r="AY258" i="49" s="1"/>
  <c r="H177" i="49"/>
  <c r="H176" i="49"/>
  <c r="AW257" i="49" s="1"/>
  <c r="H175" i="49"/>
  <c r="AY256" i="49" s="1"/>
  <c r="H174" i="49"/>
  <c r="H173" i="49"/>
  <c r="H172" i="49"/>
  <c r="AY255" i="49" s="1"/>
  <c r="H171" i="49"/>
  <c r="H170" i="49"/>
  <c r="AW254" i="49" s="1"/>
  <c r="H169" i="49"/>
  <c r="H168" i="49"/>
  <c r="H167" i="49"/>
  <c r="H166" i="49"/>
  <c r="H165" i="49"/>
  <c r="H164" i="49"/>
  <c r="H163" i="49"/>
  <c r="H162" i="49"/>
  <c r="H161" i="49"/>
  <c r="H160" i="49"/>
  <c r="H159" i="49"/>
  <c r="H158" i="49"/>
  <c r="H157" i="49"/>
  <c r="H156" i="49"/>
  <c r="H155" i="49"/>
  <c r="H154" i="49"/>
  <c r="H153" i="49"/>
  <c r="H152" i="49"/>
  <c r="H151" i="49"/>
  <c r="H150" i="49"/>
  <c r="H149" i="49"/>
  <c r="H148" i="49"/>
  <c r="H147" i="49"/>
  <c r="H146" i="49"/>
  <c r="H145" i="49"/>
  <c r="H144" i="49"/>
  <c r="H143" i="49"/>
  <c r="H142" i="49"/>
  <c r="H141" i="49"/>
  <c r="H140" i="49"/>
  <c r="H139" i="49"/>
  <c r="H138" i="49"/>
  <c r="H137" i="49"/>
  <c r="H136" i="49"/>
  <c r="H135" i="49"/>
  <c r="H134" i="49"/>
  <c r="H133" i="49"/>
  <c r="H132" i="49"/>
  <c r="H131" i="49"/>
  <c r="H130" i="49"/>
  <c r="H129" i="49"/>
  <c r="H128" i="49"/>
  <c r="H127" i="49"/>
  <c r="H126" i="49"/>
  <c r="H125" i="49"/>
  <c r="H124" i="49"/>
  <c r="H123" i="49"/>
  <c r="H122" i="49"/>
  <c r="H121" i="49"/>
  <c r="H120" i="49"/>
  <c r="H119" i="49"/>
  <c r="H118" i="49"/>
  <c r="H117" i="49"/>
  <c r="H116" i="49"/>
  <c r="H115" i="49"/>
  <c r="H114" i="49"/>
  <c r="H113" i="49"/>
  <c r="H112" i="49"/>
  <c r="H111" i="49"/>
  <c r="H110" i="49"/>
  <c r="H109" i="49"/>
  <c r="H108" i="49"/>
  <c r="H107" i="49"/>
  <c r="H106" i="49"/>
  <c r="H105" i="49"/>
  <c r="H104" i="49"/>
  <c r="H103" i="49"/>
  <c r="B188" i="49" s="1" a="1"/>
  <c r="B188" i="49" s="1"/>
  <c r="BS92" i="49"/>
  <c r="BU90" i="49"/>
  <c r="BT90" i="49"/>
  <c r="BS90" i="49"/>
  <c r="BR90" i="49"/>
  <c r="BQ90" i="49"/>
  <c r="BP90" i="49"/>
  <c r="BO90" i="49"/>
  <c r="BN90" i="49"/>
  <c r="BM90" i="49"/>
  <c r="BL90" i="49"/>
  <c r="BK90" i="49"/>
  <c r="AU90" i="49"/>
  <c r="AR90" i="49"/>
  <c r="AQ90" i="49"/>
  <c r="AO90" i="49"/>
  <c r="AN90" i="49"/>
  <c r="AM90" i="49"/>
  <c r="BQ89" i="49"/>
  <c r="BP89" i="49"/>
  <c r="BO89" i="49"/>
  <c r="BN89" i="49"/>
  <c r="BM89" i="49"/>
  <c r="BL89" i="49"/>
  <c r="BK89" i="49"/>
  <c r="AU89" i="49"/>
  <c r="AR89" i="49"/>
  <c r="AQ89" i="49"/>
  <c r="AO89" i="49"/>
  <c r="AN89" i="49"/>
  <c r="AM89" i="49"/>
  <c r="BU88" i="49"/>
  <c r="BT88" i="49"/>
  <c r="BT92" i="49" s="1"/>
  <c r="BS88" i="49"/>
  <c r="BR88" i="49"/>
  <c r="BQ88" i="49"/>
  <c r="BP88" i="49"/>
  <c r="BO88" i="49"/>
  <c r="BN88" i="49"/>
  <c r="BM88" i="49"/>
  <c r="BL88" i="49"/>
  <c r="BK88" i="49"/>
  <c r="AU88" i="49"/>
  <c r="AR88" i="49"/>
  <c r="AQ88" i="49"/>
  <c r="AO88" i="49"/>
  <c r="AN88" i="49"/>
  <c r="AM88" i="49"/>
  <c r="BQ87" i="49"/>
  <c r="BQ92" i="49" s="1"/>
  <c r="BP87" i="49"/>
  <c r="BO87" i="49"/>
  <c r="BN87" i="49"/>
  <c r="BM87" i="49"/>
  <c r="BL87" i="49"/>
  <c r="BK87" i="49"/>
  <c r="AU87" i="49"/>
  <c r="AR87" i="49"/>
  <c r="AQ87" i="49"/>
  <c r="AO87" i="49"/>
  <c r="AN87" i="49"/>
  <c r="AM87" i="49"/>
  <c r="BU86" i="49"/>
  <c r="BU92" i="49" s="1"/>
  <c r="BT86" i="49"/>
  <c r="BS86" i="49"/>
  <c r="BR86" i="49"/>
  <c r="BR92" i="49" s="1"/>
  <c r="BQ86" i="49"/>
  <c r="BP86" i="49"/>
  <c r="BO86" i="49"/>
  <c r="BN86" i="49"/>
  <c r="BM86" i="49"/>
  <c r="BL86" i="49"/>
  <c r="BK86" i="49"/>
  <c r="AU86" i="49"/>
  <c r="AR86" i="49"/>
  <c r="AQ86" i="49"/>
  <c r="AO86" i="49"/>
  <c r="AN86" i="49"/>
  <c r="AM86" i="49"/>
  <c r="BP82" i="49"/>
  <c r="BO82" i="49"/>
  <c r="BN82" i="49"/>
  <c r="BM82" i="49"/>
  <c r="BL82" i="49"/>
  <c r="BK82" i="49"/>
  <c r="BJ82" i="49"/>
  <c r="BI82" i="49"/>
  <c r="BH82" i="49"/>
  <c r="BG82" i="49"/>
  <c r="BF82" i="49"/>
  <c r="BE82" i="49"/>
  <c r="BD82" i="49"/>
  <c r="BC82" i="49"/>
  <c r="BB82" i="49"/>
  <c r="BA82" i="49"/>
  <c r="AZ82" i="49"/>
  <c r="AY82" i="49"/>
  <c r="AX82" i="49"/>
  <c r="AW82" i="49"/>
  <c r="AV82" i="49"/>
  <c r="AU82" i="49"/>
  <c r="AT82" i="49"/>
  <c r="AS82" i="49"/>
  <c r="AR82" i="49"/>
  <c r="AQ82" i="49"/>
  <c r="AP82" i="49"/>
  <c r="AO82" i="49"/>
  <c r="AN82" i="49"/>
  <c r="AM82" i="49"/>
  <c r="BP80" i="49"/>
  <c r="BO80" i="49"/>
  <c r="BN80" i="49"/>
  <c r="BM80" i="49"/>
  <c r="BL80" i="49"/>
  <c r="BK80" i="49"/>
  <c r="BJ80" i="49"/>
  <c r="BI80" i="49"/>
  <c r="BH80" i="49"/>
  <c r="BG80" i="49"/>
  <c r="BF80" i="49"/>
  <c r="BE80" i="49"/>
  <c r="BD80" i="49"/>
  <c r="BC80" i="49"/>
  <c r="BB80" i="49"/>
  <c r="BA80" i="49"/>
  <c r="AZ80" i="49"/>
  <c r="AY80" i="49"/>
  <c r="AX80" i="49"/>
  <c r="AW80" i="49"/>
  <c r="AV80" i="49"/>
  <c r="AU80" i="49"/>
  <c r="AT80" i="49"/>
  <c r="AS80" i="49"/>
  <c r="AR80" i="49"/>
  <c r="AQ80" i="49"/>
  <c r="AP80" i="49"/>
  <c r="AO80" i="49"/>
  <c r="AN80" i="49"/>
  <c r="AM80" i="49"/>
  <c r="BP78" i="49"/>
  <c r="BO78" i="49"/>
  <c r="BN78" i="49"/>
  <c r="BM78" i="49"/>
  <c r="BL78" i="49"/>
  <c r="BK78" i="49"/>
  <c r="BJ78" i="49"/>
  <c r="BI78" i="49"/>
  <c r="BH78" i="49"/>
  <c r="BG78" i="49"/>
  <c r="BF78" i="49"/>
  <c r="BE78" i="49"/>
  <c r="BD78" i="49"/>
  <c r="BC78" i="49"/>
  <c r="BB78" i="49"/>
  <c r="BA78" i="49"/>
  <c r="AZ78" i="49"/>
  <c r="AY78" i="49"/>
  <c r="AX78" i="49"/>
  <c r="AW78" i="49"/>
  <c r="AV78" i="49"/>
  <c r="AU78" i="49"/>
  <c r="AT78" i="49"/>
  <c r="AS78" i="49"/>
  <c r="AR78" i="49"/>
  <c r="AQ78" i="49"/>
  <c r="AP78" i="49"/>
  <c r="AO78" i="49"/>
  <c r="AN78" i="49"/>
  <c r="AM78" i="49"/>
  <c r="BP74" i="49"/>
  <c r="BO74" i="49"/>
  <c r="BN74" i="49"/>
  <c r="BM74" i="49"/>
  <c r="BL74" i="49"/>
  <c r="BK74" i="49"/>
  <c r="BJ74" i="49"/>
  <c r="BI74" i="49"/>
  <c r="BH74" i="49"/>
  <c r="BG74" i="49"/>
  <c r="BF74" i="49"/>
  <c r="BE74" i="49"/>
  <c r="BD74" i="49"/>
  <c r="BC74" i="49"/>
  <c r="BB74" i="49"/>
  <c r="BA74" i="49"/>
  <c r="AZ74" i="49"/>
  <c r="AY74" i="49"/>
  <c r="AX74" i="49"/>
  <c r="AW74" i="49"/>
  <c r="AV74" i="49"/>
  <c r="AU74" i="49"/>
  <c r="AT74" i="49"/>
  <c r="AS74" i="49"/>
  <c r="AR74" i="49"/>
  <c r="AQ74" i="49"/>
  <c r="AP74" i="49"/>
  <c r="AO74" i="49"/>
  <c r="AN74" i="49"/>
  <c r="AM74" i="49"/>
  <c r="BP72" i="49"/>
  <c r="BO72" i="49"/>
  <c r="BN72" i="49"/>
  <c r="BM72" i="49"/>
  <c r="BL72" i="49"/>
  <c r="BK72" i="49"/>
  <c r="BJ72" i="49"/>
  <c r="BI72" i="49"/>
  <c r="BH72" i="49"/>
  <c r="BG72" i="49"/>
  <c r="BF72" i="49"/>
  <c r="BE72" i="49"/>
  <c r="BD72" i="49"/>
  <c r="BC72" i="49"/>
  <c r="BB72" i="49"/>
  <c r="BA72" i="49"/>
  <c r="AZ72" i="49"/>
  <c r="AY72" i="49"/>
  <c r="AX72" i="49"/>
  <c r="AW72" i="49"/>
  <c r="AV72" i="49"/>
  <c r="AU72" i="49"/>
  <c r="AT72" i="49"/>
  <c r="AS72" i="49"/>
  <c r="AR72" i="49"/>
  <c r="AQ72" i="49"/>
  <c r="AP72" i="49"/>
  <c r="AO72" i="49"/>
  <c r="AN72" i="49"/>
  <c r="AM72" i="49"/>
  <c r="BP70" i="49"/>
  <c r="BO70" i="49"/>
  <c r="BN70" i="49"/>
  <c r="BM70" i="49"/>
  <c r="BL70" i="49"/>
  <c r="BK70" i="49"/>
  <c r="BJ70" i="49"/>
  <c r="BI70" i="49"/>
  <c r="BH70" i="49"/>
  <c r="BG70" i="49"/>
  <c r="BF70" i="49"/>
  <c r="BE70" i="49"/>
  <c r="BD70" i="49"/>
  <c r="BC70" i="49"/>
  <c r="BB70" i="49"/>
  <c r="BA70" i="49"/>
  <c r="AZ70" i="49"/>
  <c r="AY70" i="49"/>
  <c r="AX70" i="49"/>
  <c r="AW70" i="49"/>
  <c r="AV70" i="49"/>
  <c r="AU70" i="49"/>
  <c r="AT70" i="49"/>
  <c r="AS70" i="49"/>
  <c r="AR70" i="49"/>
  <c r="AQ70" i="49"/>
  <c r="AP70" i="49"/>
  <c r="AO70" i="49"/>
  <c r="AN70" i="49"/>
  <c r="AM70" i="49"/>
  <c r="BP66" i="49"/>
  <c r="BO66" i="49"/>
  <c r="BN66" i="49"/>
  <c r="BM66" i="49"/>
  <c r="BL66" i="49"/>
  <c r="BK66" i="49"/>
  <c r="BJ66" i="49"/>
  <c r="BI66" i="49"/>
  <c r="BH66" i="49"/>
  <c r="BG66" i="49"/>
  <c r="BF66" i="49"/>
  <c r="BE66" i="49"/>
  <c r="BD66" i="49"/>
  <c r="BC66" i="49"/>
  <c r="BB66" i="49"/>
  <c r="BA66" i="49"/>
  <c r="AZ66" i="49"/>
  <c r="AY66" i="49"/>
  <c r="AX66" i="49"/>
  <c r="AW66" i="49"/>
  <c r="AV66" i="49"/>
  <c r="AU66" i="49"/>
  <c r="AT66" i="49"/>
  <c r="AS66" i="49"/>
  <c r="AR66" i="49"/>
  <c r="AQ66" i="49"/>
  <c r="AP66" i="49"/>
  <c r="AO66" i="49"/>
  <c r="AN66" i="49"/>
  <c r="AM66" i="49"/>
  <c r="BP64" i="49"/>
  <c r="BO64" i="49"/>
  <c r="BN64" i="49"/>
  <c r="BM64" i="49"/>
  <c r="BL64" i="49"/>
  <c r="BK64" i="49"/>
  <c r="BJ64" i="49"/>
  <c r="BI64" i="49"/>
  <c r="BH64" i="49"/>
  <c r="BG64" i="49"/>
  <c r="BF64" i="49"/>
  <c r="BE64" i="49"/>
  <c r="BD64" i="49"/>
  <c r="BC64" i="49"/>
  <c r="BB64" i="49"/>
  <c r="BA64" i="49"/>
  <c r="AZ64" i="49"/>
  <c r="AY64" i="49"/>
  <c r="AX64" i="49"/>
  <c r="AW64" i="49"/>
  <c r="AV64" i="49"/>
  <c r="AU64" i="49"/>
  <c r="AT64" i="49"/>
  <c r="AS64" i="49"/>
  <c r="AR64" i="49"/>
  <c r="AQ64" i="49"/>
  <c r="AP64" i="49"/>
  <c r="AO64" i="49"/>
  <c r="AN64" i="49"/>
  <c r="AM64" i="49"/>
  <c r="BP62" i="49"/>
  <c r="BO62" i="49"/>
  <c r="BN62" i="49"/>
  <c r="BM62" i="49"/>
  <c r="BL62" i="49"/>
  <c r="BK62" i="49"/>
  <c r="BJ62" i="49"/>
  <c r="BI62" i="49"/>
  <c r="BH62" i="49"/>
  <c r="BG62" i="49"/>
  <c r="BF62" i="49"/>
  <c r="BE62" i="49"/>
  <c r="BD62" i="49"/>
  <c r="BC62" i="49"/>
  <c r="BB62" i="49"/>
  <c r="BA62" i="49"/>
  <c r="AZ62" i="49"/>
  <c r="AY62" i="49"/>
  <c r="AX62" i="49"/>
  <c r="AW62" i="49"/>
  <c r="AV62" i="49"/>
  <c r="AU62" i="49"/>
  <c r="AT62" i="49"/>
  <c r="AS62" i="49"/>
  <c r="AR62" i="49"/>
  <c r="AQ62" i="49"/>
  <c r="AP62" i="49"/>
  <c r="AO62" i="49"/>
  <c r="AN62" i="49"/>
  <c r="AM62" i="49"/>
  <c r="BP60" i="49"/>
  <c r="BO60" i="49"/>
  <c r="BN60" i="49"/>
  <c r="BM60" i="49"/>
  <c r="BL60" i="49"/>
  <c r="BK60" i="49"/>
  <c r="BJ60" i="49"/>
  <c r="BI60" i="49"/>
  <c r="BH60" i="49"/>
  <c r="BG60" i="49"/>
  <c r="BF60" i="49"/>
  <c r="BE60" i="49"/>
  <c r="BD60" i="49"/>
  <c r="BC60" i="49"/>
  <c r="BB60" i="49"/>
  <c r="BA60" i="49"/>
  <c r="AZ60" i="49"/>
  <c r="AY60" i="49"/>
  <c r="AX60" i="49"/>
  <c r="AW60" i="49"/>
  <c r="AV60" i="49"/>
  <c r="AU60" i="49"/>
  <c r="AT60" i="49"/>
  <c r="AS60" i="49"/>
  <c r="AR60" i="49"/>
  <c r="AQ60" i="49"/>
  <c r="AP60" i="49"/>
  <c r="AO60" i="49"/>
  <c r="AN60" i="49"/>
  <c r="AM60" i="49"/>
  <c r="BP58" i="49"/>
  <c r="BO58" i="49"/>
  <c r="BN58" i="49"/>
  <c r="BM58" i="49"/>
  <c r="BL58" i="49"/>
  <c r="BK58" i="49"/>
  <c r="BJ58" i="49"/>
  <c r="BI58" i="49"/>
  <c r="BH58" i="49"/>
  <c r="BG58" i="49"/>
  <c r="BF58" i="49"/>
  <c r="BE58" i="49"/>
  <c r="BD58" i="49"/>
  <c r="BC58" i="49"/>
  <c r="BB58" i="49"/>
  <c r="BA58" i="49"/>
  <c r="AZ58" i="49"/>
  <c r="AY58" i="49"/>
  <c r="AX58" i="49"/>
  <c r="AW58" i="49"/>
  <c r="AV58" i="49"/>
  <c r="AU58" i="49"/>
  <c r="AT58" i="49"/>
  <c r="AS58" i="49"/>
  <c r="AR58" i="49"/>
  <c r="AQ58" i="49"/>
  <c r="AP58" i="49"/>
  <c r="AO58" i="49"/>
  <c r="AN58" i="49"/>
  <c r="AM58" i="49"/>
  <c r="BP56" i="49"/>
  <c r="BO56" i="49"/>
  <c r="BN56" i="49"/>
  <c r="BM56" i="49"/>
  <c r="BL56" i="49"/>
  <c r="BK56" i="49"/>
  <c r="BJ56" i="49"/>
  <c r="BI56" i="49"/>
  <c r="BH56" i="49"/>
  <c r="BG56" i="49"/>
  <c r="BF56" i="49"/>
  <c r="BE56" i="49"/>
  <c r="BD56" i="49"/>
  <c r="BC56" i="49"/>
  <c r="BB56" i="49"/>
  <c r="BA56" i="49"/>
  <c r="AZ56" i="49"/>
  <c r="AY56" i="49"/>
  <c r="AX56" i="49"/>
  <c r="AW56" i="49"/>
  <c r="AV56" i="49"/>
  <c r="AU56" i="49"/>
  <c r="AT56" i="49"/>
  <c r="AS56" i="49"/>
  <c r="AR56" i="49"/>
  <c r="AQ56" i="49"/>
  <c r="AP56" i="49"/>
  <c r="AO56" i="49"/>
  <c r="AN56" i="49"/>
  <c r="AM56" i="49"/>
  <c r="BP54" i="49"/>
  <c r="BO54" i="49"/>
  <c r="BN54" i="49"/>
  <c r="BM54" i="49"/>
  <c r="BL54" i="49"/>
  <c r="BK54" i="49"/>
  <c r="BJ54" i="49"/>
  <c r="BI54" i="49"/>
  <c r="BH54" i="49"/>
  <c r="BG54" i="49"/>
  <c r="BF54" i="49"/>
  <c r="BE54" i="49"/>
  <c r="BD54" i="49"/>
  <c r="BC54" i="49"/>
  <c r="BB54" i="49"/>
  <c r="BA54" i="49"/>
  <c r="AZ54" i="49"/>
  <c r="AY54" i="49"/>
  <c r="AX54" i="49"/>
  <c r="AW54" i="49"/>
  <c r="AV54" i="49"/>
  <c r="AU54" i="49"/>
  <c r="AT54" i="49"/>
  <c r="AS54" i="49"/>
  <c r="AR54" i="49"/>
  <c r="AQ54" i="49"/>
  <c r="AP54" i="49"/>
  <c r="AO54" i="49"/>
  <c r="AN54" i="49"/>
  <c r="AM54" i="49"/>
  <c r="BP52" i="49"/>
  <c r="BO52" i="49"/>
  <c r="BN52" i="49"/>
  <c r="BM52" i="49"/>
  <c r="BL52" i="49"/>
  <c r="BK52" i="49"/>
  <c r="BJ52" i="49"/>
  <c r="BI52" i="49"/>
  <c r="BH52" i="49"/>
  <c r="BG52" i="49"/>
  <c r="BF52" i="49"/>
  <c r="BE52" i="49"/>
  <c r="BD52" i="49"/>
  <c r="BC52" i="49"/>
  <c r="BB52" i="49"/>
  <c r="BA52" i="49"/>
  <c r="AZ52" i="49"/>
  <c r="AY52" i="49"/>
  <c r="AX52" i="49"/>
  <c r="AW52" i="49"/>
  <c r="AV52" i="49"/>
  <c r="AU52" i="49"/>
  <c r="AT52" i="49"/>
  <c r="AS52" i="49"/>
  <c r="AR52" i="49"/>
  <c r="AQ52" i="49"/>
  <c r="AP52" i="49"/>
  <c r="AO52" i="49"/>
  <c r="AN52" i="49"/>
  <c r="AM52" i="49"/>
  <c r="BP50" i="49"/>
  <c r="BO50" i="49"/>
  <c r="BN50" i="49"/>
  <c r="BM50" i="49"/>
  <c r="BL50" i="49"/>
  <c r="BK50" i="49"/>
  <c r="BJ50" i="49"/>
  <c r="BG50" i="49"/>
  <c r="BF50" i="49"/>
  <c r="BE50" i="49"/>
  <c r="BC50" i="49"/>
  <c r="BB50" i="49"/>
  <c r="AY50" i="49"/>
  <c r="AX50" i="49"/>
  <c r="AW50" i="49"/>
  <c r="AU50" i="49"/>
  <c r="AT50" i="49"/>
  <c r="AS50" i="49"/>
  <c r="AQ50" i="49"/>
  <c r="AP50" i="49"/>
  <c r="AO50" i="49"/>
  <c r="AN50" i="49"/>
  <c r="AM50" i="49"/>
  <c r="BP48" i="49"/>
  <c r="BO48" i="49"/>
  <c r="BN48" i="49"/>
  <c r="BM48" i="49"/>
  <c r="BL48" i="49"/>
  <c r="BK48" i="49"/>
  <c r="BJ48" i="49"/>
  <c r="BI48" i="49"/>
  <c r="BH48" i="49"/>
  <c r="BG48" i="49"/>
  <c r="BF48" i="49"/>
  <c r="BE48" i="49"/>
  <c r="BD48" i="49"/>
  <c r="BC48" i="49"/>
  <c r="BB48" i="49"/>
  <c r="BA48" i="49"/>
  <c r="AZ48" i="49"/>
  <c r="AY48" i="49"/>
  <c r="AX48" i="49"/>
  <c r="AW48" i="49"/>
  <c r="AV48" i="49"/>
  <c r="AU48" i="49"/>
  <c r="AT48" i="49"/>
  <c r="AS48" i="49"/>
  <c r="AR48" i="49"/>
  <c r="AQ48" i="49"/>
  <c r="AP48" i="49"/>
  <c r="AO48" i="49"/>
  <c r="AN48" i="49"/>
  <c r="AM48" i="49"/>
  <c r="BO46" i="49"/>
  <c r="BN46" i="49"/>
  <c r="BK46" i="49"/>
  <c r="BJ46" i="49"/>
  <c r="BI46" i="49"/>
  <c r="BG46" i="49"/>
  <c r="BF46" i="49"/>
  <c r="BC46" i="49"/>
  <c r="BB46" i="49"/>
  <c r="BA46" i="49"/>
  <c r="AY46" i="49"/>
  <c r="AX46" i="49"/>
  <c r="AU46" i="49"/>
  <c r="AT46" i="49"/>
  <c r="AS46" i="49"/>
  <c r="AQ46" i="49"/>
  <c r="AP46" i="49"/>
  <c r="AO46" i="49"/>
  <c r="AN46" i="49"/>
  <c r="AM46" i="49"/>
  <c r="BP44" i="49"/>
  <c r="BO44" i="49"/>
  <c r="BN44" i="49"/>
  <c r="BM44" i="49"/>
  <c r="BL44" i="49"/>
  <c r="BK44" i="49"/>
  <c r="BJ44" i="49"/>
  <c r="BI44" i="49"/>
  <c r="BH44" i="49"/>
  <c r="BG44" i="49"/>
  <c r="BF44" i="49"/>
  <c r="BE44" i="49"/>
  <c r="BD44" i="49"/>
  <c r="BC44" i="49"/>
  <c r="BB44" i="49"/>
  <c r="BA44" i="49"/>
  <c r="AZ44" i="49"/>
  <c r="AY44" i="49"/>
  <c r="AX44" i="49"/>
  <c r="AW44" i="49"/>
  <c r="AV44" i="49"/>
  <c r="AU44" i="49"/>
  <c r="AT44" i="49"/>
  <c r="AS44" i="49"/>
  <c r="AR44" i="49"/>
  <c r="AQ44" i="49"/>
  <c r="AP44" i="49"/>
  <c r="AO44" i="49"/>
  <c r="AN44" i="49"/>
  <c r="AM44" i="49"/>
  <c r="BP42" i="49"/>
  <c r="BO42" i="49"/>
  <c r="BN42" i="49"/>
  <c r="BM42" i="49"/>
  <c r="BL42" i="49"/>
  <c r="BK42" i="49"/>
  <c r="BJ42" i="49"/>
  <c r="BI42" i="49"/>
  <c r="BH42" i="49"/>
  <c r="BG42" i="49"/>
  <c r="BF42" i="49"/>
  <c r="BE42" i="49"/>
  <c r="BD42" i="49"/>
  <c r="BC42" i="49"/>
  <c r="BB42" i="49"/>
  <c r="BA42" i="49"/>
  <c r="AZ42" i="49"/>
  <c r="AY42" i="49"/>
  <c r="AX42" i="49"/>
  <c r="AW42" i="49"/>
  <c r="AV42" i="49"/>
  <c r="AU42" i="49"/>
  <c r="AT42" i="49"/>
  <c r="AS42" i="49"/>
  <c r="AR42" i="49"/>
  <c r="AQ42" i="49"/>
  <c r="AP42" i="49"/>
  <c r="AO42" i="49"/>
  <c r="AN42" i="49"/>
  <c r="AM42" i="49"/>
  <c r="BP40" i="49"/>
  <c r="BO40" i="49"/>
  <c r="BN40" i="49"/>
  <c r="BM40" i="49"/>
  <c r="BL40" i="49"/>
  <c r="BK40" i="49"/>
  <c r="BJ40" i="49"/>
  <c r="BI40" i="49"/>
  <c r="BH40" i="49"/>
  <c r="BG40" i="49"/>
  <c r="BF40" i="49"/>
  <c r="BE40" i="49"/>
  <c r="BD40" i="49"/>
  <c r="BC40" i="49"/>
  <c r="BB40" i="49"/>
  <c r="BA40" i="49"/>
  <c r="AZ40" i="49"/>
  <c r="AY40" i="49"/>
  <c r="AX40" i="49"/>
  <c r="AW40" i="49"/>
  <c r="AV40" i="49"/>
  <c r="AU40" i="49"/>
  <c r="AT40" i="49"/>
  <c r="AS40" i="49"/>
  <c r="AR40" i="49"/>
  <c r="AQ40" i="49"/>
  <c r="AP40" i="49"/>
  <c r="AO40" i="49"/>
  <c r="AN40" i="49"/>
  <c r="AM40" i="49"/>
  <c r="CH38" i="49"/>
  <c r="CG38" i="49"/>
  <c r="CF38" i="49"/>
  <c r="CE38" i="49"/>
  <c r="CD38" i="49"/>
  <c r="CC38" i="49"/>
  <c r="CB38" i="49"/>
  <c r="CA38" i="49"/>
  <c r="BZ38" i="49"/>
  <c r="BY38" i="49"/>
  <c r="BX38" i="49"/>
  <c r="BW38" i="49"/>
  <c r="BV38" i="49"/>
  <c r="BP38" i="49"/>
  <c r="BO38" i="49"/>
  <c r="BN38" i="49"/>
  <c r="BM38" i="49"/>
  <c r="BL38" i="49"/>
  <c r="BK38" i="49"/>
  <c r="BJ38" i="49"/>
  <c r="BI38" i="49"/>
  <c r="BH38" i="49"/>
  <c r="BG38" i="49"/>
  <c r="BF38" i="49"/>
  <c r="BE38" i="49"/>
  <c r="BD38" i="49"/>
  <c r="BC38" i="49"/>
  <c r="BB38" i="49"/>
  <c r="BA38" i="49"/>
  <c r="AZ38" i="49"/>
  <c r="AY38" i="49"/>
  <c r="AX38" i="49"/>
  <c r="AW38" i="49"/>
  <c r="AV38" i="49"/>
  <c r="AU38" i="49"/>
  <c r="AT38" i="49"/>
  <c r="AS38" i="49"/>
  <c r="AR38" i="49"/>
  <c r="AQ38" i="49"/>
  <c r="AP38" i="49"/>
  <c r="AO38" i="49"/>
  <c r="AN38" i="49"/>
  <c r="AM38" i="49"/>
  <c r="BP36" i="49"/>
  <c r="BO36" i="49"/>
  <c r="BN36" i="49"/>
  <c r="BM36" i="49"/>
  <c r="BL36" i="49"/>
  <c r="BK36" i="49"/>
  <c r="BJ36" i="49"/>
  <c r="BI36" i="49"/>
  <c r="BH36" i="49"/>
  <c r="BG36" i="49"/>
  <c r="BF36" i="49"/>
  <c r="BE36" i="49"/>
  <c r="BD36" i="49"/>
  <c r="BC36" i="49"/>
  <c r="BB36" i="49"/>
  <c r="BA36" i="49"/>
  <c r="AZ36" i="49"/>
  <c r="AY36" i="49"/>
  <c r="AX36" i="49"/>
  <c r="AW36" i="49"/>
  <c r="AV36" i="49"/>
  <c r="AU36" i="49"/>
  <c r="AT36" i="49"/>
  <c r="AS36" i="49"/>
  <c r="AR36" i="49"/>
  <c r="AQ36" i="49"/>
  <c r="AP36" i="49"/>
  <c r="AO36" i="49"/>
  <c r="AN36" i="49"/>
  <c r="AM36" i="49"/>
  <c r="BP34" i="49"/>
  <c r="BO34" i="49"/>
  <c r="BL34" i="49"/>
  <c r="BK34" i="49"/>
  <c r="BJ34" i="49"/>
  <c r="BH34" i="49"/>
  <c r="BG34" i="49"/>
  <c r="BD34" i="49"/>
  <c r="BC34" i="49"/>
  <c r="BB34" i="49"/>
  <c r="AZ34" i="49"/>
  <c r="AY34" i="49"/>
  <c r="AV34" i="49"/>
  <c r="AU34" i="49"/>
  <c r="AT34" i="49"/>
  <c r="AR34" i="49"/>
  <c r="AQ34" i="49"/>
  <c r="AP34" i="49"/>
  <c r="AO34" i="49"/>
  <c r="AN34" i="49"/>
  <c r="AM34" i="49"/>
  <c r="BP32" i="49"/>
  <c r="BO32" i="49"/>
  <c r="BN32" i="49"/>
  <c r="BM32" i="49"/>
  <c r="BL32" i="49"/>
  <c r="BK32" i="49"/>
  <c r="BJ32" i="49"/>
  <c r="BI32" i="49"/>
  <c r="BH32" i="49"/>
  <c r="BG32" i="49"/>
  <c r="BF32" i="49"/>
  <c r="BE32" i="49"/>
  <c r="BD32" i="49"/>
  <c r="BC32" i="49"/>
  <c r="BB32" i="49"/>
  <c r="BA32" i="49"/>
  <c r="AZ32" i="49"/>
  <c r="AY32" i="49"/>
  <c r="AX32" i="49"/>
  <c r="AW32" i="49"/>
  <c r="AV32" i="49"/>
  <c r="AU32" i="49"/>
  <c r="AT32" i="49"/>
  <c r="AS32" i="49"/>
  <c r="AR32" i="49"/>
  <c r="AQ32" i="49"/>
  <c r="AP32" i="49"/>
  <c r="AO32" i="49"/>
  <c r="AN32" i="49"/>
  <c r="AM32" i="49"/>
  <c r="BY30" i="49"/>
  <c r="BX30" i="49"/>
  <c r="BW30" i="49"/>
  <c r="BV30" i="49"/>
  <c r="BP30" i="49"/>
  <c r="BO30" i="49"/>
  <c r="BN30" i="49"/>
  <c r="BM30" i="49"/>
  <c r="BL30" i="49"/>
  <c r="BK30" i="49"/>
  <c r="BJ30" i="49"/>
  <c r="BI30" i="49"/>
  <c r="BH30" i="49"/>
  <c r="BG30" i="49"/>
  <c r="BF30" i="49"/>
  <c r="BE30" i="49"/>
  <c r="BD30" i="49"/>
  <c r="BC30" i="49"/>
  <c r="BB30" i="49"/>
  <c r="BA30" i="49"/>
  <c r="AZ30" i="49"/>
  <c r="AY30" i="49"/>
  <c r="AX30" i="49"/>
  <c r="AW30" i="49"/>
  <c r="AV30" i="49"/>
  <c r="AU30" i="49"/>
  <c r="AT30" i="49"/>
  <c r="AS30" i="49"/>
  <c r="AR30" i="49"/>
  <c r="AQ30" i="49"/>
  <c r="AP30" i="49"/>
  <c r="AO30" i="49"/>
  <c r="AN30" i="49"/>
  <c r="AM30" i="49"/>
  <c r="BV29" i="49"/>
  <c r="BY28" i="49"/>
  <c r="BX28" i="49"/>
  <c r="BW28" i="49"/>
  <c r="BV28" i="49"/>
  <c r="BP28" i="49"/>
  <c r="BO28" i="49"/>
  <c r="BN28" i="49"/>
  <c r="BM28" i="49"/>
  <c r="BL28" i="49"/>
  <c r="BK28" i="49"/>
  <c r="BJ28" i="49"/>
  <c r="BI28" i="49"/>
  <c r="BH28" i="49"/>
  <c r="BG28" i="49"/>
  <c r="BF28" i="49"/>
  <c r="BE28" i="49"/>
  <c r="BD28" i="49"/>
  <c r="BC28" i="49"/>
  <c r="BB28" i="49"/>
  <c r="BA28" i="49"/>
  <c r="AZ28" i="49"/>
  <c r="AY28" i="49"/>
  <c r="AX28" i="49"/>
  <c r="AW28" i="49"/>
  <c r="AV28" i="49"/>
  <c r="AU28" i="49"/>
  <c r="AT28" i="49"/>
  <c r="AS28" i="49"/>
  <c r="AR28" i="49"/>
  <c r="AQ28" i="49"/>
  <c r="AP28" i="49"/>
  <c r="AO28" i="49"/>
  <c r="AN28" i="49"/>
  <c r="AM28" i="49"/>
  <c r="BV27" i="49"/>
  <c r="BY26" i="49"/>
  <c r="BY32" i="49" s="1"/>
  <c r="AP92" i="49" s="1"/>
  <c r="U6" i="49" s="1"/>
  <c r="BX26" i="49"/>
  <c r="BX32" i="49" s="1"/>
  <c r="BW26" i="49"/>
  <c r="BW32" i="49" s="1"/>
  <c r="BV26" i="49"/>
  <c r="BV32" i="49" s="1"/>
  <c r="BP26" i="49"/>
  <c r="BO26" i="49"/>
  <c r="BN26" i="49"/>
  <c r="BM26" i="49"/>
  <c r="BL26" i="49"/>
  <c r="BK26" i="49"/>
  <c r="BJ26" i="49"/>
  <c r="BI26" i="49"/>
  <c r="BH26" i="49"/>
  <c r="BG26" i="49"/>
  <c r="BF26" i="49"/>
  <c r="BE26" i="49"/>
  <c r="BD26" i="49"/>
  <c r="BC26" i="49"/>
  <c r="BB26" i="49"/>
  <c r="BA26" i="49"/>
  <c r="AZ26" i="49"/>
  <c r="AY26" i="49"/>
  <c r="AX26" i="49"/>
  <c r="AW26" i="49"/>
  <c r="AV26" i="49"/>
  <c r="AU26" i="49"/>
  <c r="AT26" i="49"/>
  <c r="AS26" i="49"/>
  <c r="AR26" i="49"/>
  <c r="AQ26" i="49"/>
  <c r="AP26" i="49"/>
  <c r="AO26" i="49"/>
  <c r="AN26" i="49"/>
  <c r="AM26" i="49"/>
  <c r="BP24" i="49"/>
  <c r="BO24" i="49"/>
  <c r="BN24" i="49"/>
  <c r="BM24" i="49"/>
  <c r="BL24" i="49"/>
  <c r="BK24" i="49"/>
  <c r="BK92" i="49" s="1"/>
  <c r="BJ24" i="49"/>
  <c r="BI24" i="49"/>
  <c r="BH24" i="49"/>
  <c r="BG24" i="49"/>
  <c r="BF24" i="49"/>
  <c r="BE24" i="49"/>
  <c r="BD24" i="49"/>
  <c r="BC24" i="49"/>
  <c r="BC92" i="49" s="1"/>
  <c r="F202" i="49" s="1"/>
  <c r="BB24" i="49"/>
  <c r="BA24" i="49"/>
  <c r="AZ24" i="49"/>
  <c r="AY24" i="49"/>
  <c r="AX24" i="49"/>
  <c r="AW24" i="49"/>
  <c r="AV24" i="49"/>
  <c r="AU24" i="49"/>
  <c r="AU92" i="49" s="1"/>
  <c r="AT24" i="49"/>
  <c r="AS24" i="49"/>
  <c r="AR24" i="49"/>
  <c r="AQ24" i="49"/>
  <c r="AP24" i="49"/>
  <c r="AO24" i="49"/>
  <c r="AN24" i="49"/>
  <c r="AM24" i="49"/>
  <c r="BP22" i="49"/>
  <c r="BO22" i="49"/>
  <c r="BN22" i="49"/>
  <c r="BM22" i="49"/>
  <c r="BL22" i="49"/>
  <c r="BK22" i="49"/>
  <c r="BJ22" i="49"/>
  <c r="BI22" i="49"/>
  <c r="BH22" i="49"/>
  <c r="BG22" i="49"/>
  <c r="BF22" i="49"/>
  <c r="BE22" i="49"/>
  <c r="BD22" i="49"/>
  <c r="BC22" i="49"/>
  <c r="BB22" i="49"/>
  <c r="BA22" i="49"/>
  <c r="AZ22" i="49"/>
  <c r="AY22" i="49"/>
  <c r="AX22" i="49"/>
  <c r="AW22" i="49"/>
  <c r="AV22" i="49"/>
  <c r="AU22" i="49"/>
  <c r="AT22" i="49"/>
  <c r="AS22" i="49"/>
  <c r="AR22" i="49"/>
  <c r="AQ22" i="49"/>
  <c r="AP22" i="49"/>
  <c r="AO22" i="49"/>
  <c r="AN22" i="49"/>
  <c r="AM22" i="49"/>
  <c r="BV20" i="49"/>
  <c r="BP20" i="49"/>
  <c r="BO20" i="49"/>
  <c r="BN20" i="49"/>
  <c r="BM20" i="49"/>
  <c r="BL20" i="49"/>
  <c r="BK20" i="49"/>
  <c r="BJ20" i="49"/>
  <c r="BI20" i="49"/>
  <c r="BH20" i="49"/>
  <c r="BG20" i="49"/>
  <c r="BF20" i="49"/>
  <c r="BE20" i="49"/>
  <c r="BD20" i="49"/>
  <c r="BC20" i="49"/>
  <c r="BB20" i="49"/>
  <c r="BA20" i="49"/>
  <c r="AZ20" i="49"/>
  <c r="AY20" i="49"/>
  <c r="AX20" i="49"/>
  <c r="AW20" i="49"/>
  <c r="AV20" i="49"/>
  <c r="AU20" i="49"/>
  <c r="AT20" i="49"/>
  <c r="AS20" i="49"/>
  <c r="AR20" i="49"/>
  <c r="AQ20" i="49"/>
  <c r="AP20" i="49"/>
  <c r="AO20" i="49"/>
  <c r="AN20" i="49"/>
  <c r="AM20" i="49"/>
  <c r="BP18" i="49"/>
  <c r="BO18" i="49"/>
  <c r="BO92" i="49" s="1"/>
  <c r="BN18" i="49"/>
  <c r="BM18" i="49"/>
  <c r="BL18" i="49"/>
  <c r="BK18" i="49"/>
  <c r="BJ18" i="49"/>
  <c r="BI18" i="49"/>
  <c r="BH18" i="49"/>
  <c r="BG18" i="49"/>
  <c r="BG92" i="49" s="1"/>
  <c r="F205" i="49" s="1"/>
  <c r="BF18" i="49"/>
  <c r="BE18" i="49"/>
  <c r="BD18" i="49"/>
  <c r="BC18" i="49"/>
  <c r="BB18" i="49"/>
  <c r="BA18" i="49"/>
  <c r="AZ18" i="49"/>
  <c r="AY18" i="49"/>
  <c r="AY92" i="49" s="1"/>
  <c r="F198" i="49" s="1"/>
  <c r="AX18" i="49"/>
  <c r="AW18" i="49"/>
  <c r="AV18" i="49"/>
  <c r="AU18" i="49"/>
  <c r="AT18" i="49"/>
  <c r="AS18" i="49"/>
  <c r="AR18" i="49"/>
  <c r="AQ18" i="49"/>
  <c r="AQ92" i="49" s="1"/>
  <c r="AA2" i="49" s="1"/>
  <c r="AP18" i="49"/>
  <c r="AO18" i="49"/>
  <c r="AN18" i="49"/>
  <c r="AM18" i="49"/>
  <c r="BP16" i="49"/>
  <c r="BO16" i="49"/>
  <c r="BN16" i="49"/>
  <c r="BM16" i="49"/>
  <c r="BL16" i="49"/>
  <c r="BK16" i="49"/>
  <c r="BJ16" i="49"/>
  <c r="BJ92" i="49" s="1"/>
  <c r="F195" i="49" s="1"/>
  <c r="BI16" i="49"/>
  <c r="BH16" i="49"/>
  <c r="BG16" i="49"/>
  <c r="BF16" i="49"/>
  <c r="BE16" i="49"/>
  <c r="BD16" i="49"/>
  <c r="BC16" i="49"/>
  <c r="BB16" i="49"/>
  <c r="BB92" i="49" s="1"/>
  <c r="F192" i="49" s="1"/>
  <c r="BA16" i="49"/>
  <c r="AZ16" i="49"/>
  <c r="AY16" i="49"/>
  <c r="AX16" i="49"/>
  <c r="AW16" i="49"/>
  <c r="AV16" i="49"/>
  <c r="AU16" i="49"/>
  <c r="AT16" i="49"/>
  <c r="AT92" i="49" s="1"/>
  <c r="U8" i="49" s="1"/>
  <c r="AP8" i="49" s="1"/>
  <c r="AS16" i="49"/>
  <c r="AR16" i="49"/>
  <c r="AQ16" i="49"/>
  <c r="AP16" i="49"/>
  <c r="AO16" i="49"/>
  <c r="AN16" i="49"/>
  <c r="AM16" i="49"/>
  <c r="D277" i="48"/>
  <c r="D276" i="48"/>
  <c r="D275" i="48"/>
  <c r="BI34" i="48" s="1"/>
  <c r="B275" i="48"/>
  <c r="Q273" i="48"/>
  <c r="O273" i="48"/>
  <c r="M273" i="48"/>
  <c r="AZ272" i="48"/>
  <c r="AY272" i="48"/>
  <c r="AW272" i="48"/>
  <c r="AV272" i="48"/>
  <c r="AN272" i="48"/>
  <c r="Q272" i="48"/>
  <c r="O272" i="48"/>
  <c r="M272" i="48"/>
  <c r="AZ271" i="48"/>
  <c r="AY271" i="48"/>
  <c r="AW271" i="48"/>
  <c r="AV271" i="48"/>
  <c r="Q271" i="48"/>
  <c r="O271" i="48"/>
  <c r="M271" i="48"/>
  <c r="AZ270" i="48"/>
  <c r="AY270" i="48"/>
  <c r="AW270" i="48"/>
  <c r="AV270" i="48"/>
  <c r="AN270" i="48"/>
  <c r="Q270" i="48"/>
  <c r="O270" i="48"/>
  <c r="M270" i="48"/>
  <c r="AZ269" i="48"/>
  <c r="AY269" i="48"/>
  <c r="AW269" i="48"/>
  <c r="AV269" i="48"/>
  <c r="Q269" i="48"/>
  <c r="O269" i="48"/>
  <c r="M269" i="48"/>
  <c r="AZ268" i="48"/>
  <c r="AY268" i="48"/>
  <c r="AW268" i="48"/>
  <c r="AV268" i="48"/>
  <c r="AN268" i="48"/>
  <c r="Q268" i="48"/>
  <c r="O268" i="48"/>
  <c r="M268" i="48"/>
  <c r="AZ267" i="48"/>
  <c r="AY267" i="48"/>
  <c r="AW267" i="48"/>
  <c r="AV267" i="48"/>
  <c r="Q267" i="48"/>
  <c r="O267" i="48"/>
  <c r="M267" i="48"/>
  <c r="AZ266" i="48"/>
  <c r="AY266" i="48"/>
  <c r="AW266" i="48"/>
  <c r="AV266" i="48"/>
  <c r="AN266" i="48"/>
  <c r="Q266" i="48"/>
  <c r="O266" i="48"/>
  <c r="M266" i="48"/>
  <c r="AZ265" i="48"/>
  <c r="AY265" i="48"/>
  <c r="AW265" i="48"/>
  <c r="AV265" i="48"/>
  <c r="Q265" i="48"/>
  <c r="O265" i="48"/>
  <c r="M265" i="48"/>
  <c r="AZ264" i="48"/>
  <c r="AY264" i="48"/>
  <c r="AW264" i="48"/>
  <c r="AV264" i="48"/>
  <c r="AN264" i="48"/>
  <c r="Q264" i="48"/>
  <c r="O264" i="48"/>
  <c r="M264" i="48"/>
  <c r="AZ263" i="48"/>
  <c r="AY263" i="48"/>
  <c r="AW263" i="48"/>
  <c r="AV263" i="48"/>
  <c r="Q263" i="48"/>
  <c r="O263" i="48"/>
  <c r="M263" i="48"/>
  <c r="AZ262" i="48"/>
  <c r="AY262" i="48"/>
  <c r="AW262" i="48"/>
  <c r="AV262" i="48"/>
  <c r="AN262" i="48"/>
  <c r="Q262" i="48"/>
  <c r="O262" i="48"/>
  <c r="M262" i="48"/>
  <c r="AZ261" i="48"/>
  <c r="AY261" i="48"/>
  <c r="AW261" i="48"/>
  <c r="Q261" i="48"/>
  <c r="O261" i="48"/>
  <c r="M261" i="48"/>
  <c r="AZ260" i="48"/>
  <c r="AY260" i="48"/>
  <c r="AW260" i="48"/>
  <c r="AV260" i="48"/>
  <c r="AN260" i="48"/>
  <c r="Q260" i="48"/>
  <c r="O260" i="48"/>
  <c r="M260" i="48"/>
  <c r="AZ259" i="48"/>
  <c r="AY259" i="48"/>
  <c r="AW259" i="48"/>
  <c r="AV259" i="48"/>
  <c r="Q259" i="48"/>
  <c r="O259" i="48"/>
  <c r="M259" i="48"/>
  <c r="AZ258" i="48"/>
  <c r="AW258" i="48"/>
  <c r="AV258" i="48"/>
  <c r="AN258" i="48"/>
  <c r="Q258" i="48"/>
  <c r="O258" i="48"/>
  <c r="M258" i="48"/>
  <c r="AZ257" i="48"/>
  <c r="Q257" i="48"/>
  <c r="O257" i="48"/>
  <c r="M257" i="48"/>
  <c r="AZ256" i="48"/>
  <c r="AN256" i="48"/>
  <c r="Q256" i="48"/>
  <c r="O256" i="48"/>
  <c r="M256" i="48"/>
  <c r="AZ255" i="48"/>
  <c r="AY255" i="48"/>
  <c r="AV255" i="48"/>
  <c r="Q255" i="48"/>
  <c r="O255" i="48"/>
  <c r="M255" i="48"/>
  <c r="AZ254" i="48"/>
  <c r="AY254" i="48"/>
  <c r="AW254" i="48"/>
  <c r="AN254" i="48"/>
  <c r="Q254" i="48"/>
  <c r="O254" i="48"/>
  <c r="M254" i="48"/>
  <c r="AZ253" i="48"/>
  <c r="AY253" i="48"/>
  <c r="AW253" i="48"/>
  <c r="AV253" i="48"/>
  <c r="Q253" i="48"/>
  <c r="O253" i="48"/>
  <c r="M253" i="48"/>
  <c r="AZ252" i="48"/>
  <c r="AY252" i="48"/>
  <c r="AW252" i="48"/>
  <c r="AV252" i="48"/>
  <c r="AN252" i="48"/>
  <c r="Q252" i="48"/>
  <c r="O252" i="48"/>
  <c r="M252" i="48"/>
  <c r="AZ251" i="48"/>
  <c r="AY251" i="48"/>
  <c r="AW251" i="48"/>
  <c r="AV251" i="48"/>
  <c r="Q251" i="48"/>
  <c r="O251" i="48"/>
  <c r="M251" i="48"/>
  <c r="AZ250" i="48"/>
  <c r="AY250" i="48"/>
  <c r="AW250" i="48"/>
  <c r="AV250" i="48"/>
  <c r="AN250" i="48"/>
  <c r="Q250" i="48"/>
  <c r="O250" i="48"/>
  <c r="M250" i="48"/>
  <c r="AZ249" i="48"/>
  <c r="AY249" i="48"/>
  <c r="AW249" i="48"/>
  <c r="AV249" i="48"/>
  <c r="Q249" i="48"/>
  <c r="O249" i="48"/>
  <c r="M249" i="48"/>
  <c r="AZ248" i="48"/>
  <c r="AY248" i="48"/>
  <c r="AW248" i="48"/>
  <c r="AV248" i="48"/>
  <c r="AN248" i="48"/>
  <c r="Q248" i="48"/>
  <c r="O248" i="48"/>
  <c r="M248" i="48"/>
  <c r="AZ247" i="48"/>
  <c r="AY247" i="48"/>
  <c r="AW247" i="48"/>
  <c r="AV247" i="48"/>
  <c r="Q247" i="48"/>
  <c r="O247" i="48"/>
  <c r="M247" i="48"/>
  <c r="AZ246" i="48"/>
  <c r="AY246" i="48"/>
  <c r="AW246" i="48"/>
  <c r="AV246" i="48"/>
  <c r="AN246" i="48"/>
  <c r="Q246" i="48"/>
  <c r="O246" i="48"/>
  <c r="M246" i="48"/>
  <c r="AZ245" i="48"/>
  <c r="AY245" i="48"/>
  <c r="AW245" i="48"/>
  <c r="AV245" i="48"/>
  <c r="Q245" i="48"/>
  <c r="O245" i="48"/>
  <c r="M245" i="48"/>
  <c r="AZ244" i="48"/>
  <c r="AY244" i="48"/>
  <c r="AW244" i="48"/>
  <c r="AV244" i="48"/>
  <c r="AN244" i="48"/>
  <c r="Q244" i="48"/>
  <c r="O244" i="48"/>
  <c r="M244" i="48"/>
  <c r="AZ243" i="48"/>
  <c r="AY243" i="48"/>
  <c r="AW243" i="48"/>
  <c r="AV243" i="48"/>
  <c r="Q243" i="48"/>
  <c r="O243" i="48"/>
  <c r="M243" i="48"/>
  <c r="AZ242" i="48"/>
  <c r="AY242" i="48"/>
  <c r="AW242" i="48"/>
  <c r="AV242" i="48"/>
  <c r="AN242" i="48"/>
  <c r="Q242" i="48"/>
  <c r="O242" i="48"/>
  <c r="M242" i="48"/>
  <c r="AZ241" i="48"/>
  <c r="AY241" i="48"/>
  <c r="AW241" i="48"/>
  <c r="AV241" i="48"/>
  <c r="Q241" i="48"/>
  <c r="O241" i="48"/>
  <c r="M241" i="48"/>
  <c r="AZ240" i="48"/>
  <c r="AY240" i="48"/>
  <c r="AW240" i="48"/>
  <c r="AV240" i="48"/>
  <c r="AN240" i="48"/>
  <c r="Q240" i="48"/>
  <c r="O240" i="48"/>
  <c r="M240" i="48"/>
  <c r="AZ239" i="48"/>
  <c r="AY239" i="48"/>
  <c r="AW239" i="48"/>
  <c r="AV239" i="48"/>
  <c r="Q239" i="48"/>
  <c r="O239" i="48"/>
  <c r="M239" i="48"/>
  <c r="AZ238" i="48"/>
  <c r="AY238" i="48"/>
  <c r="AW238" i="48"/>
  <c r="AV238" i="48"/>
  <c r="AN238" i="48"/>
  <c r="Q238" i="48"/>
  <c r="O238" i="48"/>
  <c r="M238" i="48"/>
  <c r="AZ237" i="48"/>
  <c r="AY237" i="48"/>
  <c r="AW237" i="48"/>
  <c r="AV237" i="48"/>
  <c r="Q237" i="48"/>
  <c r="O237" i="48"/>
  <c r="M237" i="48"/>
  <c r="AZ236" i="48"/>
  <c r="AY236" i="48"/>
  <c r="AW236" i="48"/>
  <c r="AV236" i="48"/>
  <c r="AN236" i="48"/>
  <c r="Q236" i="48"/>
  <c r="O236" i="48"/>
  <c r="M236" i="48"/>
  <c r="AZ235" i="48"/>
  <c r="AY235" i="48"/>
  <c r="AW235" i="48"/>
  <c r="AV235" i="48"/>
  <c r="Q235" i="48"/>
  <c r="O235" i="48"/>
  <c r="M235" i="48"/>
  <c r="AZ234" i="48"/>
  <c r="AY234" i="48"/>
  <c r="AW234" i="48"/>
  <c r="AV234" i="48"/>
  <c r="AN234" i="48"/>
  <c r="Q234" i="48"/>
  <c r="Q275" i="48" s="1"/>
  <c r="AO92" i="48" s="1"/>
  <c r="D10" i="48" s="1"/>
  <c r="O234" i="48"/>
  <c r="O275" i="48" s="1"/>
  <c r="M234" i="48"/>
  <c r="AT234" i="48" s="1"/>
  <c r="H181" i="48"/>
  <c r="AV261" i="48" s="1"/>
  <c r="H180" i="48"/>
  <c r="H179" i="48"/>
  <c r="H178" i="48"/>
  <c r="AY258" i="48" s="1"/>
  <c r="H177" i="48"/>
  <c r="H176" i="48"/>
  <c r="AY257" i="48" s="1"/>
  <c r="H175" i="48"/>
  <c r="AY256" i="48" s="1"/>
  <c r="H174" i="48"/>
  <c r="H173" i="48"/>
  <c r="H172" i="48"/>
  <c r="AW255" i="48" s="1"/>
  <c r="H171" i="48"/>
  <c r="H170" i="48"/>
  <c r="AV254" i="48" s="1"/>
  <c r="H169" i="48"/>
  <c r="H168" i="48"/>
  <c r="H167" i="48"/>
  <c r="H166" i="48"/>
  <c r="H165" i="48"/>
  <c r="H164" i="48"/>
  <c r="H163" i="48"/>
  <c r="H162" i="48"/>
  <c r="H161" i="48"/>
  <c r="H160" i="48"/>
  <c r="H159" i="48"/>
  <c r="H158" i="48"/>
  <c r="H157" i="48"/>
  <c r="H156" i="48"/>
  <c r="H155" i="48"/>
  <c r="H154" i="48"/>
  <c r="H153" i="48"/>
  <c r="H152" i="48"/>
  <c r="H151" i="48"/>
  <c r="H150" i="48"/>
  <c r="H149" i="48"/>
  <c r="H148" i="48"/>
  <c r="H147" i="48"/>
  <c r="H146" i="48"/>
  <c r="H145" i="48"/>
  <c r="H144" i="48"/>
  <c r="H143" i="48"/>
  <c r="H142" i="48"/>
  <c r="H141" i="48"/>
  <c r="H140" i="48"/>
  <c r="H139" i="48"/>
  <c r="H138" i="48"/>
  <c r="H137" i="48"/>
  <c r="H136" i="48"/>
  <c r="H135" i="48"/>
  <c r="H134" i="48"/>
  <c r="H133" i="48"/>
  <c r="H132" i="48"/>
  <c r="H131" i="48"/>
  <c r="H130" i="48"/>
  <c r="H129" i="48"/>
  <c r="H128" i="48"/>
  <c r="H127" i="48"/>
  <c r="H126" i="48"/>
  <c r="H125" i="48"/>
  <c r="H124" i="48"/>
  <c r="H123" i="48"/>
  <c r="H122" i="48"/>
  <c r="H121" i="48"/>
  <c r="H120" i="48"/>
  <c r="H119" i="48"/>
  <c r="H118" i="48"/>
  <c r="H117" i="48"/>
  <c r="H116" i="48"/>
  <c r="H115" i="48"/>
  <c r="H114" i="48"/>
  <c r="H113" i="48"/>
  <c r="H112" i="48"/>
  <c r="H111" i="48"/>
  <c r="H110" i="48"/>
  <c r="H109" i="48"/>
  <c r="H108" i="48"/>
  <c r="H107" i="48"/>
  <c r="H106" i="48"/>
  <c r="H105" i="48"/>
  <c r="H104" i="48"/>
  <c r="H103" i="48"/>
  <c r="B188" i="48" s="1" a="1"/>
  <c r="B188" i="48" s="1"/>
  <c r="BU90" i="48"/>
  <c r="BT90" i="48"/>
  <c r="BS90" i="48"/>
  <c r="BR90" i="48"/>
  <c r="BR92" i="48" s="1"/>
  <c r="BQ90" i="48"/>
  <c r="BP90" i="48"/>
  <c r="BO90" i="48"/>
  <c r="BN90" i="48"/>
  <c r="BM90" i="48"/>
  <c r="BL90" i="48"/>
  <c r="BK90" i="48"/>
  <c r="AU90" i="48"/>
  <c r="AR90" i="48"/>
  <c r="AQ90" i="48"/>
  <c r="AO90" i="48"/>
  <c r="AN90" i="48"/>
  <c r="AM90" i="48"/>
  <c r="BQ89" i="48"/>
  <c r="BP89" i="48"/>
  <c r="BO89" i="48"/>
  <c r="BN89" i="48"/>
  <c r="BM89" i="48"/>
  <c r="BL89" i="48"/>
  <c r="BK89" i="48"/>
  <c r="AU89" i="48"/>
  <c r="AR89" i="48"/>
  <c r="AQ89" i="48"/>
  <c r="AO89" i="48"/>
  <c r="AN89" i="48"/>
  <c r="AM89" i="48"/>
  <c r="BU88" i="48"/>
  <c r="BT88" i="48"/>
  <c r="BS88" i="48"/>
  <c r="BS92" i="48" s="1"/>
  <c r="BR88" i="48"/>
  <c r="BQ88" i="48"/>
  <c r="BP88" i="48"/>
  <c r="BO88" i="48"/>
  <c r="BN88" i="48"/>
  <c r="BM88" i="48"/>
  <c r="BL88" i="48"/>
  <c r="BK88" i="48"/>
  <c r="AU88" i="48"/>
  <c r="AR88" i="48"/>
  <c r="AQ88" i="48"/>
  <c r="AO88" i="48"/>
  <c r="AN88" i="48"/>
  <c r="AM88" i="48"/>
  <c r="BQ87" i="48"/>
  <c r="BP87" i="48"/>
  <c r="BO87" i="48"/>
  <c r="BN87" i="48"/>
  <c r="BM87" i="48"/>
  <c r="BL87" i="48"/>
  <c r="BK87" i="48"/>
  <c r="AU87" i="48"/>
  <c r="AR87" i="48"/>
  <c r="AQ87" i="48"/>
  <c r="AO87" i="48"/>
  <c r="AN87" i="48"/>
  <c r="AM87" i="48"/>
  <c r="BU86" i="48"/>
  <c r="BU92" i="48" s="1"/>
  <c r="BT86" i="48"/>
  <c r="BT92" i="48" s="1"/>
  <c r="BS86" i="48"/>
  <c r="BR86" i="48"/>
  <c r="BQ86" i="48"/>
  <c r="BQ92" i="48" s="1"/>
  <c r="BP86" i="48"/>
  <c r="BO86" i="48"/>
  <c r="BN86" i="48"/>
  <c r="BM86" i="48"/>
  <c r="BL86" i="48"/>
  <c r="BK86" i="48"/>
  <c r="AU86" i="48"/>
  <c r="AR86" i="48"/>
  <c r="AQ86" i="48"/>
  <c r="AO86" i="48"/>
  <c r="AN86" i="48"/>
  <c r="AM86" i="48"/>
  <c r="BP82" i="48"/>
  <c r="BO82" i="48"/>
  <c r="BN82" i="48"/>
  <c r="BM82" i="48"/>
  <c r="BL82" i="48"/>
  <c r="BK82" i="48"/>
  <c r="BJ82" i="48"/>
  <c r="BI82" i="48"/>
  <c r="BH82" i="48"/>
  <c r="BG82" i="48"/>
  <c r="BF82" i="48"/>
  <c r="BE82" i="48"/>
  <c r="BD82" i="48"/>
  <c r="BC82" i="48"/>
  <c r="BB82" i="48"/>
  <c r="BA82" i="48"/>
  <c r="AZ82" i="48"/>
  <c r="AY82" i="48"/>
  <c r="AX82" i="48"/>
  <c r="AW82" i="48"/>
  <c r="AV82" i="48"/>
  <c r="AU82" i="48"/>
  <c r="AT82" i="48"/>
  <c r="AS82" i="48"/>
  <c r="AR82" i="48"/>
  <c r="AQ82" i="48"/>
  <c r="AP82" i="48"/>
  <c r="AO82" i="48"/>
  <c r="AN82" i="48"/>
  <c r="AM82" i="48"/>
  <c r="BP80" i="48"/>
  <c r="BO80" i="48"/>
  <c r="BN80" i="48"/>
  <c r="BM80" i="48"/>
  <c r="BL80" i="48"/>
  <c r="BK80" i="48"/>
  <c r="BJ80" i="48"/>
  <c r="BI80" i="48"/>
  <c r="BH80" i="48"/>
  <c r="BG80" i="48"/>
  <c r="BF80" i="48"/>
  <c r="BE80" i="48"/>
  <c r="BD80" i="48"/>
  <c r="BC80" i="48"/>
  <c r="BB80" i="48"/>
  <c r="BA80" i="48"/>
  <c r="AZ80" i="48"/>
  <c r="AY80" i="48"/>
  <c r="AX80" i="48"/>
  <c r="AW80" i="48"/>
  <c r="AV80" i="48"/>
  <c r="AU80" i="48"/>
  <c r="AT80" i="48"/>
  <c r="AS80" i="48"/>
  <c r="AR80" i="48"/>
  <c r="AQ80" i="48"/>
  <c r="AP80" i="48"/>
  <c r="AO80" i="48"/>
  <c r="AN80" i="48"/>
  <c r="AM80" i="48"/>
  <c r="BP78" i="48"/>
  <c r="BO78" i="48"/>
  <c r="BN78" i="48"/>
  <c r="BM78" i="48"/>
  <c r="BL78" i="48"/>
  <c r="BK78" i="48"/>
  <c r="BJ78" i="48"/>
  <c r="BI78" i="48"/>
  <c r="BH78" i="48"/>
  <c r="BG78" i="48"/>
  <c r="BF78" i="48"/>
  <c r="BE78" i="48"/>
  <c r="BD78" i="48"/>
  <c r="BC78" i="48"/>
  <c r="BB78" i="48"/>
  <c r="BA78" i="48"/>
  <c r="AZ78" i="48"/>
  <c r="AY78" i="48"/>
  <c r="AX78" i="48"/>
  <c r="AW78" i="48"/>
  <c r="AV78" i="48"/>
  <c r="AU78" i="48"/>
  <c r="AT78" i="48"/>
  <c r="AS78" i="48"/>
  <c r="AR78" i="48"/>
  <c r="AQ78" i="48"/>
  <c r="AP78" i="48"/>
  <c r="AO78" i="48"/>
  <c r="AN78" i="48"/>
  <c r="AM78" i="48"/>
  <c r="BP74" i="48"/>
  <c r="BO74" i="48"/>
  <c r="BN74" i="48"/>
  <c r="BM74" i="48"/>
  <c r="BL74" i="48"/>
  <c r="BK74" i="48"/>
  <c r="BJ74" i="48"/>
  <c r="BI74" i="48"/>
  <c r="BH74" i="48"/>
  <c r="BG74" i="48"/>
  <c r="BF74" i="48"/>
  <c r="BE74" i="48"/>
  <c r="BD74" i="48"/>
  <c r="BC74" i="48"/>
  <c r="BB74" i="48"/>
  <c r="BA74" i="48"/>
  <c r="AZ74" i="48"/>
  <c r="AY74" i="48"/>
  <c r="AX74" i="48"/>
  <c r="AW74" i="48"/>
  <c r="AV74" i="48"/>
  <c r="AU74" i="48"/>
  <c r="AT74" i="48"/>
  <c r="AS74" i="48"/>
  <c r="AR74" i="48"/>
  <c r="AQ74" i="48"/>
  <c r="AP74" i="48"/>
  <c r="AO74" i="48"/>
  <c r="AN74" i="48"/>
  <c r="AM74" i="48"/>
  <c r="BP72" i="48"/>
  <c r="BO72" i="48"/>
  <c r="BN72" i="48"/>
  <c r="BM72" i="48"/>
  <c r="BL72" i="48"/>
  <c r="BK72" i="48"/>
  <c r="BJ72" i="48"/>
  <c r="BI72" i="48"/>
  <c r="BH72" i="48"/>
  <c r="BG72" i="48"/>
  <c r="BF72" i="48"/>
  <c r="BE72" i="48"/>
  <c r="BD72" i="48"/>
  <c r="BC72" i="48"/>
  <c r="BB72" i="48"/>
  <c r="BA72" i="48"/>
  <c r="AZ72" i="48"/>
  <c r="AY72" i="48"/>
  <c r="AX72" i="48"/>
  <c r="AW72" i="48"/>
  <c r="AV72" i="48"/>
  <c r="AU72" i="48"/>
  <c r="AT72" i="48"/>
  <c r="AS72" i="48"/>
  <c r="AR72" i="48"/>
  <c r="AQ72" i="48"/>
  <c r="AP72" i="48"/>
  <c r="AO72" i="48"/>
  <c r="AN72" i="48"/>
  <c r="AM72" i="48"/>
  <c r="BP70" i="48"/>
  <c r="BO70" i="48"/>
  <c r="BN70" i="48"/>
  <c r="BM70" i="48"/>
  <c r="BL70" i="48"/>
  <c r="BK70" i="48"/>
  <c r="BJ70" i="48"/>
  <c r="BI70" i="48"/>
  <c r="BH70" i="48"/>
  <c r="BG70" i="48"/>
  <c r="BF70" i="48"/>
  <c r="BE70" i="48"/>
  <c r="BD70" i="48"/>
  <c r="BC70" i="48"/>
  <c r="BB70" i="48"/>
  <c r="BA70" i="48"/>
  <c r="AZ70" i="48"/>
  <c r="AY70" i="48"/>
  <c r="AX70" i="48"/>
  <c r="AW70" i="48"/>
  <c r="AV70" i="48"/>
  <c r="AU70" i="48"/>
  <c r="AT70" i="48"/>
  <c r="AS70" i="48"/>
  <c r="AR70" i="48"/>
  <c r="AQ70" i="48"/>
  <c r="AP70" i="48"/>
  <c r="AO70" i="48"/>
  <c r="AN70" i="48"/>
  <c r="AM70" i="48"/>
  <c r="BP66" i="48"/>
  <c r="BO66" i="48"/>
  <c r="BN66" i="48"/>
  <c r="BM66" i="48"/>
  <c r="BL66" i="48"/>
  <c r="BK66" i="48"/>
  <c r="BJ66" i="48"/>
  <c r="BI66" i="48"/>
  <c r="BH66" i="48"/>
  <c r="BG66" i="48"/>
  <c r="BF66" i="48"/>
  <c r="BE66" i="48"/>
  <c r="BD66" i="48"/>
  <c r="BC66" i="48"/>
  <c r="BB66" i="48"/>
  <c r="BA66" i="48"/>
  <c r="AZ66" i="48"/>
  <c r="AY66" i="48"/>
  <c r="AX66" i="48"/>
  <c r="AW66" i="48"/>
  <c r="AV66" i="48"/>
  <c r="AU66" i="48"/>
  <c r="AT66" i="48"/>
  <c r="AS66" i="48"/>
  <c r="AR66" i="48"/>
  <c r="AQ66" i="48"/>
  <c r="AP66" i="48"/>
  <c r="AO66" i="48"/>
  <c r="AN66" i="48"/>
  <c r="AM66" i="48"/>
  <c r="BP64" i="48"/>
  <c r="BO64" i="48"/>
  <c r="BN64" i="48"/>
  <c r="BM64" i="48"/>
  <c r="BL64" i="48"/>
  <c r="BK64" i="48"/>
  <c r="BJ64" i="48"/>
  <c r="BI64" i="48"/>
  <c r="BH64" i="48"/>
  <c r="BG64" i="48"/>
  <c r="BF64" i="48"/>
  <c r="BE64" i="48"/>
  <c r="BD64" i="48"/>
  <c r="BC64" i="48"/>
  <c r="BB64" i="48"/>
  <c r="BA64" i="48"/>
  <c r="AZ64" i="48"/>
  <c r="AY64" i="48"/>
  <c r="AX64" i="48"/>
  <c r="AW64" i="48"/>
  <c r="AV64" i="48"/>
  <c r="AU64" i="48"/>
  <c r="AT64" i="48"/>
  <c r="AS64" i="48"/>
  <c r="AR64" i="48"/>
  <c r="AQ64" i="48"/>
  <c r="AP64" i="48"/>
  <c r="AO64" i="48"/>
  <c r="AN64" i="48"/>
  <c r="AM64" i="48"/>
  <c r="BP62" i="48"/>
  <c r="BO62" i="48"/>
  <c r="BN62" i="48"/>
  <c r="BM62" i="48"/>
  <c r="BL62" i="48"/>
  <c r="BK62" i="48"/>
  <c r="BJ62" i="48"/>
  <c r="BI62" i="48"/>
  <c r="BH62" i="48"/>
  <c r="BG62" i="48"/>
  <c r="BF62" i="48"/>
  <c r="BE62" i="48"/>
  <c r="BD62" i="48"/>
  <c r="BC62" i="48"/>
  <c r="BB62" i="48"/>
  <c r="BA62" i="48"/>
  <c r="AZ62" i="48"/>
  <c r="AY62" i="48"/>
  <c r="AX62" i="48"/>
  <c r="AW62" i="48"/>
  <c r="AV62" i="48"/>
  <c r="AU62" i="48"/>
  <c r="AT62" i="48"/>
  <c r="AS62" i="48"/>
  <c r="AR62" i="48"/>
  <c r="AQ62" i="48"/>
  <c r="AP62" i="48"/>
  <c r="AO62" i="48"/>
  <c r="AN62" i="48"/>
  <c r="AM62" i="48"/>
  <c r="BP60" i="48"/>
  <c r="BO60" i="48"/>
  <c r="BN60" i="48"/>
  <c r="BM60" i="48"/>
  <c r="BL60" i="48"/>
  <c r="BK60" i="48"/>
  <c r="BJ60" i="48"/>
  <c r="BI60" i="48"/>
  <c r="BH60" i="48"/>
  <c r="BG60" i="48"/>
  <c r="BF60" i="48"/>
  <c r="BE60" i="48"/>
  <c r="BD60" i="48"/>
  <c r="BC60" i="48"/>
  <c r="BB60" i="48"/>
  <c r="BA60" i="48"/>
  <c r="AZ60" i="48"/>
  <c r="AY60" i="48"/>
  <c r="AX60" i="48"/>
  <c r="AW60" i="48"/>
  <c r="AV60" i="48"/>
  <c r="AU60" i="48"/>
  <c r="AT60" i="48"/>
  <c r="AS60" i="48"/>
  <c r="AR60" i="48"/>
  <c r="AQ60" i="48"/>
  <c r="AP60" i="48"/>
  <c r="AO60" i="48"/>
  <c r="AN60" i="48"/>
  <c r="AM60" i="48"/>
  <c r="BP58" i="48"/>
  <c r="BO58" i="48"/>
  <c r="BN58" i="48"/>
  <c r="BM58" i="48"/>
  <c r="BL58" i="48"/>
  <c r="BK58" i="48"/>
  <c r="BJ58" i="48"/>
  <c r="BI58" i="48"/>
  <c r="BH58" i="48"/>
  <c r="BG58" i="48"/>
  <c r="BF58" i="48"/>
  <c r="BE58" i="48"/>
  <c r="BD58" i="48"/>
  <c r="BC58" i="48"/>
  <c r="BB58" i="48"/>
  <c r="BA58" i="48"/>
  <c r="AZ58" i="48"/>
  <c r="AY58" i="48"/>
  <c r="AX58" i="48"/>
  <c r="AW58" i="48"/>
  <c r="AV58" i="48"/>
  <c r="AU58" i="48"/>
  <c r="AT58" i="48"/>
  <c r="AS58" i="48"/>
  <c r="AR58" i="48"/>
  <c r="AQ58" i="48"/>
  <c r="AP58" i="48"/>
  <c r="AO58" i="48"/>
  <c r="AN58" i="48"/>
  <c r="AM58" i="48"/>
  <c r="BP56" i="48"/>
  <c r="BO56" i="48"/>
  <c r="BN56" i="48"/>
  <c r="BM56" i="48"/>
  <c r="BL56" i="48"/>
  <c r="BK56" i="48"/>
  <c r="BJ56" i="48"/>
  <c r="BI56" i="48"/>
  <c r="BH56" i="48"/>
  <c r="BG56" i="48"/>
  <c r="BF56" i="48"/>
  <c r="BE56" i="48"/>
  <c r="BD56" i="48"/>
  <c r="BC56" i="48"/>
  <c r="BB56" i="48"/>
  <c r="BA56" i="48"/>
  <c r="AZ56" i="48"/>
  <c r="AY56" i="48"/>
  <c r="AX56" i="48"/>
  <c r="AW56" i="48"/>
  <c r="AV56" i="48"/>
  <c r="AU56" i="48"/>
  <c r="AT56" i="48"/>
  <c r="AS56" i="48"/>
  <c r="AR56" i="48"/>
  <c r="AQ56" i="48"/>
  <c r="AP56" i="48"/>
  <c r="AO56" i="48"/>
  <c r="AN56" i="48"/>
  <c r="AM56" i="48"/>
  <c r="BP54" i="48"/>
  <c r="BO54" i="48"/>
  <c r="BN54" i="48"/>
  <c r="BM54" i="48"/>
  <c r="BL54" i="48"/>
  <c r="BK54" i="48"/>
  <c r="BJ54" i="48"/>
  <c r="BI54" i="48"/>
  <c r="BH54" i="48"/>
  <c r="BG54" i="48"/>
  <c r="BF54" i="48"/>
  <c r="BE54" i="48"/>
  <c r="BD54" i="48"/>
  <c r="BC54" i="48"/>
  <c r="BB54" i="48"/>
  <c r="BA54" i="48"/>
  <c r="AZ54" i="48"/>
  <c r="AY54" i="48"/>
  <c r="AX54" i="48"/>
  <c r="AW54" i="48"/>
  <c r="AV54" i="48"/>
  <c r="AU54" i="48"/>
  <c r="AT54" i="48"/>
  <c r="AS54" i="48"/>
  <c r="AR54" i="48"/>
  <c r="AQ54" i="48"/>
  <c r="AP54" i="48"/>
  <c r="AO54" i="48"/>
  <c r="AN54" i="48"/>
  <c r="AM54" i="48"/>
  <c r="BP52" i="48"/>
  <c r="BO52" i="48"/>
  <c r="BN52" i="48"/>
  <c r="BM52" i="48"/>
  <c r="BL52" i="48"/>
  <c r="BK52" i="48"/>
  <c r="BJ52" i="48"/>
  <c r="BI52" i="48"/>
  <c r="BH52" i="48"/>
  <c r="BG52" i="48"/>
  <c r="BF52" i="48"/>
  <c r="BE52" i="48"/>
  <c r="BD52" i="48"/>
  <c r="BC52" i="48"/>
  <c r="BB52" i="48"/>
  <c r="BA52" i="48"/>
  <c r="AZ52" i="48"/>
  <c r="AY52" i="48"/>
  <c r="AX52" i="48"/>
  <c r="AW52" i="48"/>
  <c r="AV52" i="48"/>
  <c r="AU52" i="48"/>
  <c r="AT52" i="48"/>
  <c r="AS52" i="48"/>
  <c r="AR52" i="48"/>
  <c r="AQ52" i="48"/>
  <c r="AP52" i="48"/>
  <c r="AO52" i="48"/>
  <c r="AN52" i="48"/>
  <c r="AM52" i="48"/>
  <c r="BP50" i="48"/>
  <c r="BO50" i="48"/>
  <c r="BN50" i="48"/>
  <c r="BM50" i="48"/>
  <c r="BL50" i="48"/>
  <c r="BK50" i="48"/>
  <c r="BJ50" i="48"/>
  <c r="BI50" i="48"/>
  <c r="BH50" i="48"/>
  <c r="BG50" i="48"/>
  <c r="BF50" i="48"/>
  <c r="BE50" i="48"/>
  <c r="BD50" i="48"/>
  <c r="BC50" i="48"/>
  <c r="BB50" i="48"/>
  <c r="BA50" i="48"/>
  <c r="AZ50" i="48"/>
  <c r="AY50" i="48"/>
  <c r="AX50" i="48"/>
  <c r="AW50" i="48"/>
  <c r="AV50" i="48"/>
  <c r="AU50" i="48"/>
  <c r="AT50" i="48"/>
  <c r="AS50" i="48"/>
  <c r="AR50" i="48"/>
  <c r="AQ50" i="48"/>
  <c r="AP50" i="48"/>
  <c r="AO50" i="48"/>
  <c r="AN50" i="48"/>
  <c r="AM50" i="48"/>
  <c r="BP48" i="48"/>
  <c r="BO48" i="48"/>
  <c r="BN48" i="48"/>
  <c r="BM48" i="48"/>
  <c r="BL48" i="48"/>
  <c r="BK48" i="48"/>
  <c r="BJ48" i="48"/>
  <c r="BI48" i="48"/>
  <c r="BH48" i="48"/>
  <c r="BG48" i="48"/>
  <c r="BF48" i="48"/>
  <c r="BE48" i="48"/>
  <c r="BD48" i="48"/>
  <c r="BC48" i="48"/>
  <c r="BB48" i="48"/>
  <c r="BA48" i="48"/>
  <c r="AZ48" i="48"/>
  <c r="AY48" i="48"/>
  <c r="AX48" i="48"/>
  <c r="AW48" i="48"/>
  <c r="AV48" i="48"/>
  <c r="AU48" i="48"/>
  <c r="AT48" i="48"/>
  <c r="AS48" i="48"/>
  <c r="AR48" i="48"/>
  <c r="AQ48" i="48"/>
  <c r="AP48" i="48"/>
  <c r="AO48" i="48"/>
  <c r="AN48" i="48"/>
  <c r="AM48" i="48"/>
  <c r="BP46" i="48"/>
  <c r="BO46" i="48"/>
  <c r="BN46" i="48"/>
  <c r="BM46" i="48"/>
  <c r="BL46" i="48"/>
  <c r="BK46" i="48"/>
  <c r="BJ46" i="48"/>
  <c r="BI46" i="48"/>
  <c r="BH46" i="48"/>
  <c r="BG46" i="48"/>
  <c r="BF46" i="48"/>
  <c r="BE46" i="48"/>
  <c r="BD46" i="48"/>
  <c r="BC46" i="48"/>
  <c r="BB46" i="48"/>
  <c r="BA46" i="48"/>
  <c r="AZ46" i="48"/>
  <c r="AY46" i="48"/>
  <c r="AX46" i="48"/>
  <c r="AW46" i="48"/>
  <c r="AV46" i="48"/>
  <c r="AU46" i="48"/>
  <c r="AT46" i="48"/>
  <c r="AS46" i="48"/>
  <c r="AR46" i="48"/>
  <c r="AQ46" i="48"/>
  <c r="AP46" i="48"/>
  <c r="AO46" i="48"/>
  <c r="AN46" i="48"/>
  <c r="AM46" i="48"/>
  <c r="BP44" i="48"/>
  <c r="BO44" i="48"/>
  <c r="BN44" i="48"/>
  <c r="BM44" i="48"/>
  <c r="BL44" i="48"/>
  <c r="BK44" i="48"/>
  <c r="BJ44" i="48"/>
  <c r="BI44" i="48"/>
  <c r="BH44" i="48"/>
  <c r="BG44" i="48"/>
  <c r="BF44" i="48"/>
  <c r="BE44" i="48"/>
  <c r="BD44" i="48"/>
  <c r="BC44" i="48"/>
  <c r="BB44" i="48"/>
  <c r="BA44" i="48"/>
  <c r="AZ44" i="48"/>
  <c r="AY44" i="48"/>
  <c r="AX44" i="48"/>
  <c r="AW44" i="48"/>
  <c r="AV44" i="48"/>
  <c r="AU44" i="48"/>
  <c r="AT44" i="48"/>
  <c r="AS44" i="48"/>
  <c r="AR44" i="48"/>
  <c r="AQ44" i="48"/>
  <c r="AP44" i="48"/>
  <c r="AO44" i="48"/>
  <c r="AN44" i="48"/>
  <c r="AM44" i="48"/>
  <c r="BP42" i="48"/>
  <c r="BO42" i="48"/>
  <c r="BN42" i="48"/>
  <c r="BM42" i="48"/>
  <c r="BL42" i="48"/>
  <c r="BK42" i="48"/>
  <c r="BJ42" i="48"/>
  <c r="BI42" i="48"/>
  <c r="BH42" i="48"/>
  <c r="BG42" i="48"/>
  <c r="BF42" i="48"/>
  <c r="BE42" i="48"/>
  <c r="BD42" i="48"/>
  <c r="BC42" i="48"/>
  <c r="BB42" i="48"/>
  <c r="BA42" i="48"/>
  <c r="AZ42" i="48"/>
  <c r="AY42" i="48"/>
  <c r="AX42" i="48"/>
  <c r="AW42" i="48"/>
  <c r="AV42" i="48"/>
  <c r="AU42" i="48"/>
  <c r="AT42" i="48"/>
  <c r="AS42" i="48"/>
  <c r="AR42" i="48"/>
  <c r="AQ42" i="48"/>
  <c r="AP42" i="48"/>
  <c r="AO42" i="48"/>
  <c r="AN42" i="48"/>
  <c r="AM42" i="48"/>
  <c r="BP40" i="48"/>
  <c r="BO40" i="48"/>
  <c r="BN40" i="48"/>
  <c r="BM40" i="48"/>
  <c r="BL40" i="48"/>
  <c r="BK40" i="48"/>
  <c r="BJ40" i="48"/>
  <c r="BI40" i="48"/>
  <c r="BH40" i="48"/>
  <c r="BG40" i="48"/>
  <c r="BF40" i="48"/>
  <c r="BE40" i="48"/>
  <c r="BD40" i="48"/>
  <c r="BC40" i="48"/>
  <c r="BB40" i="48"/>
  <c r="BA40" i="48"/>
  <c r="AZ40" i="48"/>
  <c r="AY40" i="48"/>
  <c r="AX40" i="48"/>
  <c r="AW40" i="48"/>
  <c r="AV40" i="48"/>
  <c r="AU40" i="48"/>
  <c r="AT40" i="48"/>
  <c r="AS40" i="48"/>
  <c r="AR40" i="48"/>
  <c r="AQ40" i="48"/>
  <c r="AP40" i="48"/>
  <c r="AO40" i="48"/>
  <c r="AN40" i="48"/>
  <c r="AM40" i="48"/>
  <c r="CH38" i="48"/>
  <c r="CG38" i="48"/>
  <c r="CF38" i="48"/>
  <c r="CE38" i="48"/>
  <c r="CD38" i="48"/>
  <c r="CC38" i="48"/>
  <c r="CB38" i="48"/>
  <c r="CA38" i="48"/>
  <c r="BL92" i="48" s="1"/>
  <c r="BZ38" i="48"/>
  <c r="BY38" i="48"/>
  <c r="BX38" i="48"/>
  <c r="BW38" i="48"/>
  <c r="BV38" i="48"/>
  <c r="BP38" i="48"/>
  <c r="BO38" i="48"/>
  <c r="BN38" i="48"/>
  <c r="BM38" i="48"/>
  <c r="BL38" i="48"/>
  <c r="BK38" i="48"/>
  <c r="BJ38" i="48"/>
  <c r="BI38" i="48"/>
  <c r="BH38" i="48"/>
  <c r="BG38" i="48"/>
  <c r="BF38" i="48"/>
  <c r="BE38" i="48"/>
  <c r="BD38" i="48"/>
  <c r="BC38" i="48"/>
  <c r="BB38" i="48"/>
  <c r="BA38" i="48"/>
  <c r="AZ38" i="48"/>
  <c r="AY38" i="48"/>
  <c r="AX38" i="48"/>
  <c r="AW38" i="48"/>
  <c r="AV38" i="48"/>
  <c r="AU38" i="48"/>
  <c r="AT38" i="48"/>
  <c r="AS38" i="48"/>
  <c r="AR38" i="48"/>
  <c r="AQ38" i="48"/>
  <c r="AP38" i="48"/>
  <c r="AO38" i="48"/>
  <c r="AN38" i="48"/>
  <c r="AM38" i="48"/>
  <c r="BP36" i="48"/>
  <c r="BO36" i="48"/>
  <c r="BN36" i="48"/>
  <c r="BM36" i="48"/>
  <c r="BL36" i="48"/>
  <c r="BK36" i="48"/>
  <c r="BJ36" i="48"/>
  <c r="BI36" i="48"/>
  <c r="BH36" i="48"/>
  <c r="BG36" i="48"/>
  <c r="BF36" i="48"/>
  <c r="BE36" i="48"/>
  <c r="BD36" i="48"/>
  <c r="BC36" i="48"/>
  <c r="BB36" i="48"/>
  <c r="BA36" i="48"/>
  <c r="AZ36" i="48"/>
  <c r="AY36" i="48"/>
  <c r="AX36" i="48"/>
  <c r="AW36" i="48"/>
  <c r="AV36" i="48"/>
  <c r="AU36" i="48"/>
  <c r="AT36" i="48"/>
  <c r="AS36" i="48"/>
  <c r="AR36" i="48"/>
  <c r="AQ36" i="48"/>
  <c r="AP36" i="48"/>
  <c r="AO36" i="48"/>
  <c r="AN36" i="48"/>
  <c r="AM36" i="48"/>
  <c r="BN34" i="48"/>
  <c r="BL34" i="48"/>
  <c r="BK34" i="48"/>
  <c r="BJ34" i="48"/>
  <c r="BF34" i="48"/>
  <c r="BD34" i="48"/>
  <c r="BC34" i="48"/>
  <c r="BB34" i="48"/>
  <c r="AX34" i="48"/>
  <c r="AV34" i="48"/>
  <c r="AU34" i="48"/>
  <c r="AT34" i="48"/>
  <c r="AP34" i="48"/>
  <c r="AO34" i="48"/>
  <c r="AN34" i="48"/>
  <c r="AM34" i="48"/>
  <c r="BP32" i="48"/>
  <c r="BO32" i="48"/>
  <c r="BN32" i="48"/>
  <c r="BM32" i="48"/>
  <c r="BL32" i="48"/>
  <c r="BK32" i="48"/>
  <c r="BJ32" i="48"/>
  <c r="BI32" i="48"/>
  <c r="BH32" i="48"/>
  <c r="BG32" i="48"/>
  <c r="BF32" i="48"/>
  <c r="BE32" i="48"/>
  <c r="BD32" i="48"/>
  <c r="BC32" i="48"/>
  <c r="BB32" i="48"/>
  <c r="BA32" i="48"/>
  <c r="AZ32" i="48"/>
  <c r="AY32" i="48"/>
  <c r="AX32" i="48"/>
  <c r="AW32" i="48"/>
  <c r="AV32" i="48"/>
  <c r="AU32" i="48"/>
  <c r="AT32" i="48"/>
  <c r="AS32" i="48"/>
  <c r="AR32" i="48"/>
  <c r="AQ32" i="48"/>
  <c r="AP32" i="48"/>
  <c r="AO32" i="48"/>
  <c r="AN32" i="48"/>
  <c r="AM32" i="48"/>
  <c r="BY30" i="48"/>
  <c r="BX30" i="48"/>
  <c r="BW30" i="48"/>
  <c r="BV30" i="48"/>
  <c r="BP30" i="48"/>
  <c r="BO30" i="48"/>
  <c r="BN30" i="48"/>
  <c r="BN92" i="48" s="1"/>
  <c r="BM30" i="48"/>
  <c r="BL30" i="48"/>
  <c r="BK30" i="48"/>
  <c r="BJ30" i="48"/>
  <c r="BI30" i="48"/>
  <c r="BH30" i="48"/>
  <c r="BG30" i="48"/>
  <c r="BF30" i="48"/>
  <c r="BF92" i="48" s="1"/>
  <c r="F193" i="48" s="1"/>
  <c r="BE30" i="48"/>
  <c r="BD30" i="48"/>
  <c r="BC30" i="48"/>
  <c r="BB30" i="48"/>
  <c r="BA30" i="48"/>
  <c r="AZ30" i="48"/>
  <c r="AY30" i="48"/>
  <c r="AX30" i="48"/>
  <c r="AX92" i="48" s="1"/>
  <c r="F204" i="48" s="1"/>
  <c r="AW30" i="48"/>
  <c r="AV30" i="48"/>
  <c r="AU30" i="48"/>
  <c r="AT30" i="48"/>
  <c r="AS30" i="48"/>
  <c r="AR30" i="48"/>
  <c r="AQ30" i="48"/>
  <c r="AP30" i="48"/>
  <c r="AO30" i="48"/>
  <c r="AN30" i="48"/>
  <c r="AM30" i="48"/>
  <c r="BV29" i="48"/>
  <c r="BY28" i="48"/>
  <c r="BX28" i="48"/>
  <c r="BW28" i="48"/>
  <c r="BV28" i="48"/>
  <c r="BP28" i="48"/>
  <c r="BO28" i="48"/>
  <c r="BN28" i="48"/>
  <c r="BM28" i="48"/>
  <c r="BL28" i="48"/>
  <c r="BK28" i="48"/>
  <c r="BJ28" i="48"/>
  <c r="BI28" i="48"/>
  <c r="BH28" i="48"/>
  <c r="BG28" i="48"/>
  <c r="BF28" i="48"/>
  <c r="BE28" i="48"/>
  <c r="BD28" i="48"/>
  <c r="BC28" i="48"/>
  <c r="BB28" i="48"/>
  <c r="BA28" i="48"/>
  <c r="AZ28" i="48"/>
  <c r="AY28" i="48"/>
  <c r="AX28" i="48"/>
  <c r="AW28" i="48"/>
  <c r="AV28" i="48"/>
  <c r="AU28" i="48"/>
  <c r="AT28" i="48"/>
  <c r="AS28" i="48"/>
  <c r="AR28" i="48"/>
  <c r="AQ28" i="48"/>
  <c r="AP28" i="48"/>
  <c r="AO28" i="48"/>
  <c r="AN28" i="48"/>
  <c r="AM28" i="48"/>
  <c r="BV27" i="48"/>
  <c r="BY26" i="48"/>
  <c r="BY32" i="48" s="1"/>
  <c r="AP92" i="48" s="1"/>
  <c r="U6" i="48" s="1"/>
  <c r="BX26" i="48"/>
  <c r="BX32" i="48" s="1"/>
  <c r="BW26" i="48"/>
  <c r="BW32" i="48" s="1"/>
  <c r="BV26" i="48"/>
  <c r="BV32" i="48" s="1"/>
  <c r="BP26" i="48"/>
  <c r="BO26" i="48"/>
  <c r="BN26" i="48"/>
  <c r="BM26" i="48"/>
  <c r="BL26" i="48"/>
  <c r="BK26" i="48"/>
  <c r="BJ26" i="48"/>
  <c r="BI26" i="48"/>
  <c r="BH26" i="48"/>
  <c r="BG26" i="48"/>
  <c r="BF26" i="48"/>
  <c r="BE26" i="48"/>
  <c r="BD26" i="48"/>
  <c r="BC26" i="48"/>
  <c r="BB26" i="48"/>
  <c r="BA26" i="48"/>
  <c r="AZ26" i="48"/>
  <c r="AY26" i="48"/>
  <c r="AX26" i="48"/>
  <c r="AW26" i="48"/>
  <c r="AV26" i="48"/>
  <c r="AU26" i="48"/>
  <c r="AT26" i="48"/>
  <c r="AS26" i="48"/>
  <c r="AR26" i="48"/>
  <c r="AQ26" i="48"/>
  <c r="AP26" i="48"/>
  <c r="AO26" i="48"/>
  <c r="AN26" i="48"/>
  <c r="AM26" i="48"/>
  <c r="BP24" i="48"/>
  <c r="BO24" i="48"/>
  <c r="BN24" i="48"/>
  <c r="BM24" i="48"/>
  <c r="BL24" i="48"/>
  <c r="BK24" i="48"/>
  <c r="BJ24" i="48"/>
  <c r="BI24" i="48"/>
  <c r="BH24" i="48"/>
  <c r="BG24" i="48"/>
  <c r="BF24" i="48"/>
  <c r="BE24" i="48"/>
  <c r="BD24" i="48"/>
  <c r="BC24" i="48"/>
  <c r="BB24" i="48"/>
  <c r="BA24" i="48"/>
  <c r="AZ24" i="48"/>
  <c r="AY24" i="48"/>
  <c r="AX24" i="48"/>
  <c r="AW24" i="48"/>
  <c r="AV24" i="48"/>
  <c r="AU24" i="48"/>
  <c r="AT24" i="48"/>
  <c r="AS24" i="48"/>
  <c r="AR24" i="48"/>
  <c r="AQ24" i="48"/>
  <c r="AP24" i="48"/>
  <c r="AO24" i="48"/>
  <c r="AN24" i="48"/>
  <c r="AM24" i="48"/>
  <c r="BP22" i="48"/>
  <c r="BO22" i="48"/>
  <c r="BN22" i="48"/>
  <c r="BM22" i="48"/>
  <c r="BL22" i="48"/>
  <c r="BK22" i="48"/>
  <c r="BJ22" i="48"/>
  <c r="BI22" i="48"/>
  <c r="BH22" i="48"/>
  <c r="BG22" i="48"/>
  <c r="BF22" i="48"/>
  <c r="BE22" i="48"/>
  <c r="BD22" i="48"/>
  <c r="BC22" i="48"/>
  <c r="BB22" i="48"/>
  <c r="BA22" i="48"/>
  <c r="AZ22" i="48"/>
  <c r="AY22" i="48"/>
  <c r="AX22" i="48"/>
  <c r="AW22" i="48"/>
  <c r="AV22" i="48"/>
  <c r="AU22" i="48"/>
  <c r="AT22" i="48"/>
  <c r="AS22" i="48"/>
  <c r="AR22" i="48"/>
  <c r="AQ22" i="48"/>
  <c r="AP22" i="48"/>
  <c r="AO22" i="48"/>
  <c r="AN22" i="48"/>
  <c r="AM22" i="48"/>
  <c r="BV20" i="48"/>
  <c r="BP20" i="48"/>
  <c r="BO20" i="48"/>
  <c r="BN20" i="48"/>
  <c r="BM20" i="48"/>
  <c r="BL20" i="48"/>
  <c r="BK20" i="48"/>
  <c r="BJ20" i="48"/>
  <c r="BI20" i="48"/>
  <c r="BH20" i="48"/>
  <c r="BG20" i="48"/>
  <c r="BF20" i="48"/>
  <c r="BE20" i="48"/>
  <c r="BD20" i="48"/>
  <c r="BC20" i="48"/>
  <c r="BB20" i="48"/>
  <c r="BA20" i="48"/>
  <c r="AZ20" i="48"/>
  <c r="AY20" i="48"/>
  <c r="AX20" i="48"/>
  <c r="AW20" i="48"/>
  <c r="AV20" i="48"/>
  <c r="AU20" i="48"/>
  <c r="AT20" i="48"/>
  <c r="AS20" i="48"/>
  <c r="AR20" i="48"/>
  <c r="AQ20" i="48"/>
  <c r="AP20" i="48"/>
  <c r="AO20" i="48"/>
  <c r="AN20" i="48"/>
  <c r="AM20" i="48"/>
  <c r="BP18" i="48"/>
  <c r="BO18" i="48"/>
  <c r="BN18" i="48"/>
  <c r="BM18" i="48"/>
  <c r="BL18" i="48"/>
  <c r="BK18" i="48"/>
  <c r="BJ18" i="48"/>
  <c r="BI18" i="48"/>
  <c r="BH18" i="48"/>
  <c r="BG18" i="48"/>
  <c r="BF18" i="48"/>
  <c r="BE18" i="48"/>
  <c r="BD18" i="48"/>
  <c r="BC18" i="48"/>
  <c r="BB18" i="48"/>
  <c r="BA18" i="48"/>
  <c r="AZ18" i="48"/>
  <c r="AY18" i="48"/>
  <c r="AX18" i="48"/>
  <c r="AW18" i="48"/>
  <c r="AV18" i="48"/>
  <c r="AU18" i="48"/>
  <c r="AT18" i="48"/>
  <c r="AS18" i="48"/>
  <c r="AR18" i="48"/>
  <c r="AQ18" i="48"/>
  <c r="AP18" i="48"/>
  <c r="AO18" i="48"/>
  <c r="AN18" i="48"/>
  <c r="AM18" i="48"/>
  <c r="BP16" i="48"/>
  <c r="BO16" i="48"/>
  <c r="BN16" i="48"/>
  <c r="BM16" i="48"/>
  <c r="BL16" i="48"/>
  <c r="BK16" i="48"/>
  <c r="BK92" i="48" s="1"/>
  <c r="BJ16" i="48"/>
  <c r="BJ92" i="48" s="1"/>
  <c r="F195" i="48" s="1"/>
  <c r="BI16" i="48"/>
  <c r="BH16" i="48"/>
  <c r="BG16" i="48"/>
  <c r="BF16" i="48"/>
  <c r="BE16" i="48"/>
  <c r="BD16" i="48"/>
  <c r="BD92" i="48" s="1"/>
  <c r="F203" i="48" s="1"/>
  <c r="BC16" i="48"/>
  <c r="BC92" i="48" s="1"/>
  <c r="F202" i="48" s="1"/>
  <c r="BB16" i="48"/>
  <c r="BB92" i="48" s="1"/>
  <c r="F192" i="48" s="1"/>
  <c r="BA16" i="48"/>
  <c r="AZ16" i="48"/>
  <c r="AY16" i="48"/>
  <c r="AX16" i="48"/>
  <c r="AW16" i="48"/>
  <c r="AV16" i="48"/>
  <c r="AV92" i="48" s="1"/>
  <c r="F206" i="48" s="1"/>
  <c r="AU16" i="48"/>
  <c r="AU92" i="48" s="1"/>
  <c r="AT16" i="48"/>
  <c r="AT92" i="48" s="1"/>
  <c r="U8" i="48" s="1"/>
  <c r="AP8" i="48" s="1"/>
  <c r="AS16" i="48"/>
  <c r="AR16" i="48"/>
  <c r="AQ16" i="48"/>
  <c r="AP16" i="48"/>
  <c r="AO16" i="48"/>
  <c r="AN16" i="48"/>
  <c r="AM16" i="48"/>
  <c r="D277" i="47"/>
  <c r="D276" i="47"/>
  <c r="D275" i="47"/>
  <c r="BI34" i="47" s="1"/>
  <c r="B275" i="47"/>
  <c r="Q273" i="47"/>
  <c r="O273" i="47"/>
  <c r="M273" i="47"/>
  <c r="AZ272" i="47"/>
  <c r="AY272" i="47"/>
  <c r="AW272" i="47"/>
  <c r="AV272" i="47"/>
  <c r="AN272" i="47"/>
  <c r="Q272" i="47"/>
  <c r="O272" i="47"/>
  <c r="M272" i="47"/>
  <c r="AZ271" i="47"/>
  <c r="AY271" i="47"/>
  <c r="AW271" i="47"/>
  <c r="AV271" i="47"/>
  <c r="Q271" i="47"/>
  <c r="O271" i="47"/>
  <c r="M271" i="47"/>
  <c r="AZ270" i="47"/>
  <c r="AY270" i="47"/>
  <c r="AW270" i="47"/>
  <c r="AV270" i="47"/>
  <c r="AN270" i="47"/>
  <c r="Q270" i="47"/>
  <c r="O270" i="47"/>
  <c r="M270" i="47"/>
  <c r="AZ269" i="47"/>
  <c r="AY269" i="47"/>
  <c r="AW269" i="47"/>
  <c r="AV269" i="47"/>
  <c r="Q269" i="47"/>
  <c r="O269" i="47"/>
  <c r="M269" i="47"/>
  <c r="AZ268" i="47"/>
  <c r="AY268" i="47"/>
  <c r="AW268" i="47"/>
  <c r="AV268" i="47"/>
  <c r="AN268" i="47"/>
  <c r="Q268" i="47"/>
  <c r="O268" i="47"/>
  <c r="M268" i="47"/>
  <c r="AZ267" i="47"/>
  <c r="AY267" i="47"/>
  <c r="AW267" i="47"/>
  <c r="AV267" i="47"/>
  <c r="Q267" i="47"/>
  <c r="O267" i="47"/>
  <c r="M267" i="47"/>
  <c r="AZ266" i="47"/>
  <c r="AY266" i="47"/>
  <c r="AW266" i="47"/>
  <c r="AV266" i="47"/>
  <c r="AN266" i="47"/>
  <c r="Q266" i="47"/>
  <c r="O266" i="47"/>
  <c r="M266" i="47"/>
  <c r="AZ265" i="47"/>
  <c r="AY265" i="47"/>
  <c r="AW265" i="47"/>
  <c r="AV265" i="47"/>
  <c r="Q265" i="47"/>
  <c r="O265" i="47"/>
  <c r="M265" i="47"/>
  <c r="AZ264" i="47"/>
  <c r="AY264" i="47"/>
  <c r="AW264" i="47"/>
  <c r="AV264" i="47"/>
  <c r="AN264" i="47"/>
  <c r="Q264" i="47"/>
  <c r="O264" i="47"/>
  <c r="M264" i="47"/>
  <c r="AZ263" i="47"/>
  <c r="AY263" i="47"/>
  <c r="AW263" i="47"/>
  <c r="AV263" i="47"/>
  <c r="Q263" i="47"/>
  <c r="O263" i="47"/>
  <c r="M263" i="47"/>
  <c r="AZ262" i="47"/>
  <c r="AY262" i="47"/>
  <c r="AW262" i="47"/>
  <c r="AV262" i="47"/>
  <c r="AN262" i="47"/>
  <c r="Q262" i="47"/>
  <c r="O262" i="47"/>
  <c r="M262" i="47"/>
  <c r="AZ261" i="47"/>
  <c r="AY261" i="47"/>
  <c r="AW261" i="47"/>
  <c r="AV261" i="47"/>
  <c r="Q261" i="47"/>
  <c r="O261" i="47"/>
  <c r="M261" i="47"/>
  <c r="AZ260" i="47"/>
  <c r="AW260" i="47"/>
  <c r="AV260" i="47"/>
  <c r="AN260" i="47"/>
  <c r="Q260" i="47"/>
  <c r="O260" i="47"/>
  <c r="M260" i="47"/>
  <c r="AZ259" i="47"/>
  <c r="AY259" i="47"/>
  <c r="AW259" i="47"/>
  <c r="AV259" i="47"/>
  <c r="Q259" i="47"/>
  <c r="O259" i="47"/>
  <c r="M259" i="47"/>
  <c r="AZ258" i="47"/>
  <c r="AW258" i="47"/>
  <c r="AV258" i="47"/>
  <c r="AN258" i="47"/>
  <c r="Q258" i="47"/>
  <c r="O258" i="47"/>
  <c r="M258" i="47"/>
  <c r="AZ257" i="47"/>
  <c r="Q257" i="47"/>
  <c r="O257" i="47"/>
  <c r="M257" i="47"/>
  <c r="AZ256" i="47"/>
  <c r="AN256" i="47"/>
  <c r="Q256" i="47"/>
  <c r="O256" i="47"/>
  <c r="M256" i="47"/>
  <c r="AZ255" i="47"/>
  <c r="Q255" i="47"/>
  <c r="O255" i="47"/>
  <c r="M255" i="47"/>
  <c r="AZ254" i="47"/>
  <c r="AY254" i="47"/>
  <c r="AW254" i="47"/>
  <c r="AN254" i="47"/>
  <c r="Q254" i="47"/>
  <c r="O254" i="47"/>
  <c r="M254" i="47"/>
  <c r="AZ253" i="47"/>
  <c r="AY253" i="47"/>
  <c r="AW253" i="47"/>
  <c r="AV253" i="47"/>
  <c r="Q253" i="47"/>
  <c r="O253" i="47"/>
  <c r="M253" i="47"/>
  <c r="AZ252" i="47"/>
  <c r="AY252" i="47"/>
  <c r="AW252" i="47"/>
  <c r="AV252" i="47"/>
  <c r="AN252" i="47"/>
  <c r="Q252" i="47"/>
  <c r="O252" i="47"/>
  <c r="M252" i="47"/>
  <c r="AZ251" i="47"/>
  <c r="AY251" i="47"/>
  <c r="AW251" i="47"/>
  <c r="AV251" i="47"/>
  <c r="Q251" i="47"/>
  <c r="O251" i="47"/>
  <c r="M251" i="47"/>
  <c r="AZ250" i="47"/>
  <c r="AY250" i="47"/>
  <c r="AW250" i="47"/>
  <c r="AV250" i="47"/>
  <c r="AN250" i="47"/>
  <c r="Q250" i="47"/>
  <c r="O250" i="47"/>
  <c r="M250" i="47"/>
  <c r="AZ249" i="47"/>
  <c r="AY249" i="47"/>
  <c r="AW249" i="47"/>
  <c r="AV249" i="47"/>
  <c r="Q249" i="47"/>
  <c r="O249" i="47"/>
  <c r="M249" i="47"/>
  <c r="AZ248" i="47"/>
  <c r="AY248" i="47"/>
  <c r="AW248" i="47"/>
  <c r="AV248" i="47"/>
  <c r="AN248" i="47"/>
  <c r="Q248" i="47"/>
  <c r="O248" i="47"/>
  <c r="M248" i="47"/>
  <c r="AZ247" i="47"/>
  <c r="AY247" i="47"/>
  <c r="AW247" i="47"/>
  <c r="AV247" i="47"/>
  <c r="Q247" i="47"/>
  <c r="O247" i="47"/>
  <c r="M247" i="47"/>
  <c r="AZ246" i="47"/>
  <c r="AY246" i="47"/>
  <c r="AW246" i="47"/>
  <c r="AV246" i="47"/>
  <c r="AN246" i="47"/>
  <c r="Q246" i="47"/>
  <c r="O246" i="47"/>
  <c r="M246" i="47"/>
  <c r="AZ245" i="47"/>
  <c r="AY245" i="47"/>
  <c r="AW245" i="47"/>
  <c r="AV245" i="47"/>
  <c r="Q245" i="47"/>
  <c r="O245" i="47"/>
  <c r="M245" i="47"/>
  <c r="AZ244" i="47"/>
  <c r="AY244" i="47"/>
  <c r="AW244" i="47"/>
  <c r="AV244" i="47"/>
  <c r="AN244" i="47"/>
  <c r="Q244" i="47"/>
  <c r="O244" i="47"/>
  <c r="M244" i="47"/>
  <c r="AZ243" i="47"/>
  <c r="AY243" i="47"/>
  <c r="AW243" i="47"/>
  <c r="AV243" i="47"/>
  <c r="Q243" i="47"/>
  <c r="O243" i="47"/>
  <c r="M243" i="47"/>
  <c r="AZ242" i="47"/>
  <c r="AY242" i="47"/>
  <c r="AW242" i="47"/>
  <c r="AV242" i="47"/>
  <c r="AN242" i="47"/>
  <c r="Q242" i="47"/>
  <c r="O242" i="47"/>
  <c r="M242" i="47"/>
  <c r="AZ241" i="47"/>
  <c r="AY241" i="47"/>
  <c r="AW241" i="47"/>
  <c r="AV241" i="47"/>
  <c r="Q241" i="47"/>
  <c r="O241" i="47"/>
  <c r="M241" i="47"/>
  <c r="AZ240" i="47"/>
  <c r="AY240" i="47"/>
  <c r="AW240" i="47"/>
  <c r="AV240" i="47"/>
  <c r="AN240" i="47"/>
  <c r="Q240" i="47"/>
  <c r="O240" i="47"/>
  <c r="M240" i="47"/>
  <c r="AZ239" i="47"/>
  <c r="AY239" i="47"/>
  <c r="AW239" i="47"/>
  <c r="AV239" i="47"/>
  <c r="Q239" i="47"/>
  <c r="O239" i="47"/>
  <c r="M239" i="47"/>
  <c r="AZ238" i="47"/>
  <c r="AY238" i="47"/>
  <c r="AW238" i="47"/>
  <c r="AV238" i="47"/>
  <c r="AN238" i="47"/>
  <c r="Q238" i="47"/>
  <c r="O238" i="47"/>
  <c r="M238" i="47"/>
  <c r="AZ237" i="47"/>
  <c r="AY237" i="47"/>
  <c r="AW237" i="47"/>
  <c r="AV237" i="47"/>
  <c r="Q237" i="47"/>
  <c r="O237" i="47"/>
  <c r="M237" i="47"/>
  <c r="AZ236" i="47"/>
  <c r="AY236" i="47"/>
  <c r="AW236" i="47"/>
  <c r="AV236" i="47"/>
  <c r="AN236" i="47"/>
  <c r="Q236" i="47"/>
  <c r="O236" i="47"/>
  <c r="M236" i="47"/>
  <c r="AZ235" i="47"/>
  <c r="AY235" i="47"/>
  <c r="AW235" i="47"/>
  <c r="AV235" i="47"/>
  <c r="Q235" i="47"/>
  <c r="O235" i="47"/>
  <c r="M235" i="47"/>
  <c r="AZ234" i="47"/>
  <c r="AY234" i="47"/>
  <c r="AW234" i="47"/>
  <c r="AV234" i="47"/>
  <c r="AN234" i="47"/>
  <c r="Q234" i="47"/>
  <c r="Q275" i="47" s="1"/>
  <c r="O234" i="47"/>
  <c r="O275" i="47" s="1"/>
  <c r="M234" i="47"/>
  <c r="AT234" i="47" s="1"/>
  <c r="H181" i="47"/>
  <c r="H180" i="47"/>
  <c r="AY260" i="47" s="1"/>
  <c r="H179" i="47"/>
  <c r="H178" i="47"/>
  <c r="AY258" i="47" s="1"/>
  <c r="H177" i="47"/>
  <c r="H176" i="47"/>
  <c r="AY257" i="47" s="1"/>
  <c r="H175" i="47"/>
  <c r="AY256" i="47" s="1"/>
  <c r="H174" i="47"/>
  <c r="H173" i="47"/>
  <c r="H172" i="47"/>
  <c r="AY255" i="47" s="1"/>
  <c r="H171" i="47"/>
  <c r="H170" i="47"/>
  <c r="AV254" i="47" s="1"/>
  <c r="H169" i="47"/>
  <c r="H168" i="47"/>
  <c r="H167" i="47"/>
  <c r="H166" i="47"/>
  <c r="H165" i="47"/>
  <c r="H164" i="47"/>
  <c r="H163" i="47"/>
  <c r="H162" i="47"/>
  <c r="H161" i="47"/>
  <c r="H160" i="47"/>
  <c r="H159" i="47"/>
  <c r="H158" i="47"/>
  <c r="H157" i="47"/>
  <c r="H156" i="47"/>
  <c r="H155" i="47"/>
  <c r="H154" i="47"/>
  <c r="H153" i="47"/>
  <c r="H152" i="47"/>
  <c r="H151" i="47"/>
  <c r="H150" i="47"/>
  <c r="H149" i="47"/>
  <c r="H148" i="47"/>
  <c r="H147" i="47"/>
  <c r="H146" i="47"/>
  <c r="H145" i="47"/>
  <c r="H144" i="47"/>
  <c r="H143" i="47"/>
  <c r="H142" i="47"/>
  <c r="H141" i="47"/>
  <c r="H140" i="47"/>
  <c r="H139" i="47"/>
  <c r="H138" i="47"/>
  <c r="H137" i="47"/>
  <c r="H136" i="47"/>
  <c r="H135" i="47"/>
  <c r="H134" i="47"/>
  <c r="H133" i="47"/>
  <c r="H132" i="47"/>
  <c r="H131" i="47"/>
  <c r="H130" i="47"/>
  <c r="H129" i="47"/>
  <c r="H128" i="47"/>
  <c r="H127" i="47"/>
  <c r="H126" i="47"/>
  <c r="H125" i="47"/>
  <c r="H124" i="47"/>
  <c r="H123" i="47"/>
  <c r="H122" i="47"/>
  <c r="H121" i="47"/>
  <c r="H120" i="47"/>
  <c r="H119" i="47"/>
  <c r="H118" i="47"/>
  <c r="H117" i="47"/>
  <c r="H116" i="47"/>
  <c r="H115" i="47"/>
  <c r="H114" i="47"/>
  <c r="H113" i="47"/>
  <c r="H112" i="47"/>
  <c r="H111" i="47"/>
  <c r="H110" i="47"/>
  <c r="H109" i="47"/>
  <c r="H108" i="47"/>
  <c r="H107" i="47"/>
  <c r="H106" i="47"/>
  <c r="H105" i="47"/>
  <c r="H104" i="47"/>
  <c r="H103" i="47"/>
  <c r="B188" i="47" s="1" a="1"/>
  <c r="B188" i="47" s="1"/>
  <c r="BU90" i="47"/>
  <c r="BT90" i="47"/>
  <c r="BS90" i="47"/>
  <c r="BS92" i="47" s="1"/>
  <c r="BR90" i="47"/>
  <c r="BQ90" i="47"/>
  <c r="BP90" i="47"/>
  <c r="BO90" i="47"/>
  <c r="BN90" i="47"/>
  <c r="BM90" i="47"/>
  <c r="BL90" i="47"/>
  <c r="BK90" i="47"/>
  <c r="AU90" i="47"/>
  <c r="AR90" i="47"/>
  <c r="AQ90" i="47"/>
  <c r="AO90" i="47"/>
  <c r="AN90" i="47"/>
  <c r="AM90" i="47"/>
  <c r="BQ89" i="47"/>
  <c r="BP89" i="47"/>
  <c r="BO89" i="47"/>
  <c r="BN89" i="47"/>
  <c r="BM89" i="47"/>
  <c r="BL89" i="47"/>
  <c r="BK89" i="47"/>
  <c r="AU89" i="47"/>
  <c r="AR89" i="47"/>
  <c r="AQ89" i="47"/>
  <c r="AO89" i="47"/>
  <c r="AN89" i="47"/>
  <c r="AM89" i="47"/>
  <c r="BU88" i="47"/>
  <c r="BT88" i="47"/>
  <c r="BS88" i="47"/>
  <c r="BR88" i="47"/>
  <c r="BQ88" i="47"/>
  <c r="BP88" i="47"/>
  <c r="BO88" i="47"/>
  <c r="BN88" i="47"/>
  <c r="BM88" i="47"/>
  <c r="BL88" i="47"/>
  <c r="BK88" i="47"/>
  <c r="AU88" i="47"/>
  <c r="AR88" i="47"/>
  <c r="AQ88" i="47"/>
  <c r="AO88" i="47"/>
  <c r="AN88" i="47"/>
  <c r="AM88" i="47"/>
  <c r="BQ87" i="47"/>
  <c r="BP87" i="47"/>
  <c r="BO87" i="47"/>
  <c r="BN87" i="47"/>
  <c r="BM87" i="47"/>
  <c r="BL87" i="47"/>
  <c r="BK87" i="47"/>
  <c r="AU87" i="47"/>
  <c r="AR87" i="47"/>
  <c r="AQ87" i="47"/>
  <c r="AO87" i="47"/>
  <c r="AN87" i="47"/>
  <c r="AM87" i="47"/>
  <c r="BU86" i="47"/>
  <c r="BU92" i="47" s="1"/>
  <c r="BT86" i="47"/>
  <c r="BT92" i="47" s="1"/>
  <c r="BS86" i="47"/>
  <c r="BR86" i="47"/>
  <c r="BR92" i="47" s="1"/>
  <c r="BQ86" i="47"/>
  <c r="BQ92" i="47" s="1"/>
  <c r="BP86" i="47"/>
  <c r="BO86" i="47"/>
  <c r="BN86" i="47"/>
  <c r="BM86" i="47"/>
  <c r="BL86" i="47"/>
  <c r="BK86" i="47"/>
  <c r="AU86" i="47"/>
  <c r="AR86" i="47"/>
  <c r="AQ86" i="47"/>
  <c r="AO86" i="47"/>
  <c r="AN86" i="47"/>
  <c r="AM86" i="47"/>
  <c r="BP82" i="47"/>
  <c r="BO82" i="47"/>
  <c r="BN82" i="47"/>
  <c r="BM82" i="47"/>
  <c r="BL82" i="47"/>
  <c r="BK82" i="47"/>
  <c r="BJ82" i="47"/>
  <c r="BI82" i="47"/>
  <c r="BH82" i="47"/>
  <c r="BG82" i="47"/>
  <c r="BF82" i="47"/>
  <c r="BE82" i="47"/>
  <c r="BD82" i="47"/>
  <c r="BC82" i="47"/>
  <c r="BB82" i="47"/>
  <c r="BA82" i="47"/>
  <c r="AZ82" i="47"/>
  <c r="AY82" i="47"/>
  <c r="AX82" i="47"/>
  <c r="AW82" i="47"/>
  <c r="AV82" i="47"/>
  <c r="AU82" i="47"/>
  <c r="AT82" i="47"/>
  <c r="AS82" i="47"/>
  <c r="AR82" i="47"/>
  <c r="AQ82" i="47"/>
  <c r="AP82" i="47"/>
  <c r="AO82" i="47"/>
  <c r="AN82" i="47"/>
  <c r="AM82" i="47"/>
  <c r="BP80" i="47"/>
  <c r="BO80" i="47"/>
  <c r="BN80" i="47"/>
  <c r="BM80" i="47"/>
  <c r="BL80" i="47"/>
  <c r="BK80" i="47"/>
  <c r="BJ80" i="47"/>
  <c r="BI80" i="47"/>
  <c r="BH80" i="47"/>
  <c r="BG80" i="47"/>
  <c r="BF80" i="47"/>
  <c r="BE80" i="47"/>
  <c r="BD80" i="47"/>
  <c r="BC80" i="47"/>
  <c r="BB80" i="47"/>
  <c r="BA80" i="47"/>
  <c r="AZ80" i="47"/>
  <c r="AY80" i="47"/>
  <c r="AX80" i="47"/>
  <c r="AW80" i="47"/>
  <c r="AV80" i="47"/>
  <c r="AU80" i="47"/>
  <c r="AT80" i="47"/>
  <c r="AS80" i="47"/>
  <c r="AR80" i="47"/>
  <c r="AQ80" i="47"/>
  <c r="AP80" i="47"/>
  <c r="AO80" i="47"/>
  <c r="AN80" i="47"/>
  <c r="AM80" i="47"/>
  <c r="BP78" i="47"/>
  <c r="BO78" i="47"/>
  <c r="BN78" i="47"/>
  <c r="BM78" i="47"/>
  <c r="BL78" i="47"/>
  <c r="BK78" i="47"/>
  <c r="BJ78" i="47"/>
  <c r="BI78" i="47"/>
  <c r="BH78" i="47"/>
  <c r="BG78" i="47"/>
  <c r="BF78" i="47"/>
  <c r="BE78" i="47"/>
  <c r="BD78" i="47"/>
  <c r="BC78" i="47"/>
  <c r="BB78" i="47"/>
  <c r="BA78" i="47"/>
  <c r="AZ78" i="47"/>
  <c r="AY78" i="47"/>
  <c r="AX78" i="47"/>
  <c r="AW78" i="47"/>
  <c r="AV78" i="47"/>
  <c r="AU78" i="47"/>
  <c r="AT78" i="47"/>
  <c r="AS78" i="47"/>
  <c r="AR78" i="47"/>
  <c r="AQ78" i="47"/>
  <c r="AP78" i="47"/>
  <c r="AO78" i="47"/>
  <c r="AN78" i="47"/>
  <c r="AM78" i="47"/>
  <c r="BP74" i="47"/>
  <c r="BO74" i="47"/>
  <c r="BN74" i="47"/>
  <c r="BM74" i="47"/>
  <c r="BL74" i="47"/>
  <c r="BK74" i="47"/>
  <c r="BJ74" i="47"/>
  <c r="BI74" i="47"/>
  <c r="BH74" i="47"/>
  <c r="BG74" i="47"/>
  <c r="BF74" i="47"/>
  <c r="BE74" i="47"/>
  <c r="BD74" i="47"/>
  <c r="BC74" i="47"/>
  <c r="BB74" i="47"/>
  <c r="BA74" i="47"/>
  <c r="AZ74" i="47"/>
  <c r="AY74" i="47"/>
  <c r="AX74" i="47"/>
  <c r="AW74" i="47"/>
  <c r="AV74" i="47"/>
  <c r="AU74" i="47"/>
  <c r="AT74" i="47"/>
  <c r="AS74" i="47"/>
  <c r="AR74" i="47"/>
  <c r="AQ74" i="47"/>
  <c r="AP74" i="47"/>
  <c r="AO74" i="47"/>
  <c r="AN74" i="47"/>
  <c r="AM74" i="47"/>
  <c r="BP72" i="47"/>
  <c r="BO72" i="47"/>
  <c r="BN72" i="47"/>
  <c r="BM72" i="47"/>
  <c r="BL72" i="47"/>
  <c r="BK72" i="47"/>
  <c r="BJ72" i="47"/>
  <c r="BI72" i="47"/>
  <c r="BH72" i="47"/>
  <c r="BG72" i="47"/>
  <c r="BF72" i="47"/>
  <c r="BE72" i="47"/>
  <c r="BD72" i="47"/>
  <c r="BC72" i="47"/>
  <c r="BB72" i="47"/>
  <c r="BA72" i="47"/>
  <c r="AZ72" i="47"/>
  <c r="AY72" i="47"/>
  <c r="AX72" i="47"/>
  <c r="AW72" i="47"/>
  <c r="AV72" i="47"/>
  <c r="AU72" i="47"/>
  <c r="AT72" i="47"/>
  <c r="AS72" i="47"/>
  <c r="AR72" i="47"/>
  <c r="AQ72" i="47"/>
  <c r="AP72" i="47"/>
  <c r="AO72" i="47"/>
  <c r="AN72" i="47"/>
  <c r="AM72" i="47"/>
  <c r="BP70" i="47"/>
  <c r="BO70" i="47"/>
  <c r="BN70" i="47"/>
  <c r="BM70" i="47"/>
  <c r="BL70" i="47"/>
  <c r="BK70" i="47"/>
  <c r="BJ70" i="47"/>
  <c r="BI70" i="47"/>
  <c r="BH70" i="47"/>
  <c r="BG70" i="47"/>
  <c r="BF70" i="47"/>
  <c r="BE70" i="47"/>
  <c r="BD70" i="47"/>
  <c r="BC70" i="47"/>
  <c r="BB70" i="47"/>
  <c r="BA70" i="47"/>
  <c r="AZ70" i="47"/>
  <c r="AY70" i="47"/>
  <c r="AX70" i="47"/>
  <c r="AW70" i="47"/>
  <c r="AV70" i="47"/>
  <c r="AU70" i="47"/>
  <c r="AT70" i="47"/>
  <c r="AS70" i="47"/>
  <c r="AR70" i="47"/>
  <c r="AQ70" i="47"/>
  <c r="AP70" i="47"/>
  <c r="AO70" i="47"/>
  <c r="AN70" i="47"/>
  <c r="AM70" i="47"/>
  <c r="BP66" i="47"/>
  <c r="BO66" i="47"/>
  <c r="BN66" i="47"/>
  <c r="BM66" i="47"/>
  <c r="BL66" i="47"/>
  <c r="BK66" i="47"/>
  <c r="BJ66" i="47"/>
  <c r="BI66" i="47"/>
  <c r="BH66" i="47"/>
  <c r="BG66" i="47"/>
  <c r="BF66" i="47"/>
  <c r="BE66" i="47"/>
  <c r="BD66" i="47"/>
  <c r="BC66" i="47"/>
  <c r="BB66" i="47"/>
  <c r="BA66" i="47"/>
  <c r="AZ66" i="47"/>
  <c r="AY66" i="47"/>
  <c r="AX66" i="47"/>
  <c r="AW66" i="47"/>
  <c r="AV66" i="47"/>
  <c r="AU66" i="47"/>
  <c r="AT66" i="47"/>
  <c r="AS66" i="47"/>
  <c r="AR66" i="47"/>
  <c r="AQ66" i="47"/>
  <c r="AP66" i="47"/>
  <c r="AO66" i="47"/>
  <c r="AN66" i="47"/>
  <c r="AM66" i="47"/>
  <c r="BP64" i="47"/>
  <c r="BO64" i="47"/>
  <c r="BN64" i="47"/>
  <c r="BM64" i="47"/>
  <c r="BL64" i="47"/>
  <c r="BK64" i="47"/>
  <c r="BJ64" i="47"/>
  <c r="BI64" i="47"/>
  <c r="BH64" i="47"/>
  <c r="BG64" i="47"/>
  <c r="BF64" i="47"/>
  <c r="BE64" i="47"/>
  <c r="BD64" i="47"/>
  <c r="BC64" i="47"/>
  <c r="BB64" i="47"/>
  <c r="BA64" i="47"/>
  <c r="AZ64" i="47"/>
  <c r="AY64" i="47"/>
  <c r="AX64" i="47"/>
  <c r="AW64" i="47"/>
  <c r="AV64" i="47"/>
  <c r="AU64" i="47"/>
  <c r="AT64" i="47"/>
  <c r="AS64" i="47"/>
  <c r="AR64" i="47"/>
  <c r="AQ64" i="47"/>
  <c r="AP64" i="47"/>
  <c r="AO64" i="47"/>
  <c r="AN64" i="47"/>
  <c r="AM64" i="47"/>
  <c r="BP62" i="47"/>
  <c r="BO62" i="47"/>
  <c r="BN62" i="47"/>
  <c r="BM62" i="47"/>
  <c r="BL62" i="47"/>
  <c r="BK62" i="47"/>
  <c r="BJ62" i="47"/>
  <c r="BI62" i="47"/>
  <c r="BH62" i="47"/>
  <c r="BG62" i="47"/>
  <c r="BF62" i="47"/>
  <c r="BE62" i="47"/>
  <c r="BD62" i="47"/>
  <c r="BC62" i="47"/>
  <c r="BB62" i="47"/>
  <c r="BA62" i="47"/>
  <c r="AZ62" i="47"/>
  <c r="AY62" i="47"/>
  <c r="AX62" i="47"/>
  <c r="AW62" i="47"/>
  <c r="AV62" i="47"/>
  <c r="AU62" i="47"/>
  <c r="AT62" i="47"/>
  <c r="AS62" i="47"/>
  <c r="AR62" i="47"/>
  <c r="AQ62" i="47"/>
  <c r="AP62" i="47"/>
  <c r="AO62" i="47"/>
  <c r="AN62" i="47"/>
  <c r="AM62" i="47"/>
  <c r="BP60" i="47"/>
  <c r="BO60" i="47"/>
  <c r="BN60" i="47"/>
  <c r="BM60" i="47"/>
  <c r="BL60" i="47"/>
  <c r="BK60" i="47"/>
  <c r="BJ60" i="47"/>
  <c r="BI60" i="47"/>
  <c r="BH60" i="47"/>
  <c r="BG60" i="47"/>
  <c r="BF60" i="47"/>
  <c r="BE60" i="47"/>
  <c r="BD60" i="47"/>
  <c r="BC60" i="47"/>
  <c r="BB60" i="47"/>
  <c r="BA60" i="47"/>
  <c r="AZ60" i="47"/>
  <c r="AY60" i="47"/>
  <c r="AX60" i="47"/>
  <c r="AW60" i="47"/>
  <c r="AV60" i="47"/>
  <c r="AU60" i="47"/>
  <c r="AT60" i="47"/>
  <c r="AS60" i="47"/>
  <c r="AR60" i="47"/>
  <c r="AQ60" i="47"/>
  <c r="AP60" i="47"/>
  <c r="AO60" i="47"/>
  <c r="AN60" i="47"/>
  <c r="AM60" i="47"/>
  <c r="BP58" i="47"/>
  <c r="BO58" i="47"/>
  <c r="BN58" i="47"/>
  <c r="BM58" i="47"/>
  <c r="BL58" i="47"/>
  <c r="BK58" i="47"/>
  <c r="BJ58" i="47"/>
  <c r="BI58" i="47"/>
  <c r="BH58" i="47"/>
  <c r="BG58" i="47"/>
  <c r="BF58" i="47"/>
  <c r="BE58" i="47"/>
  <c r="BD58" i="47"/>
  <c r="BC58" i="47"/>
  <c r="BB58" i="47"/>
  <c r="BA58" i="47"/>
  <c r="AZ58" i="47"/>
  <c r="AY58" i="47"/>
  <c r="AX58" i="47"/>
  <c r="AW58" i="47"/>
  <c r="AV58" i="47"/>
  <c r="AU58" i="47"/>
  <c r="AT58" i="47"/>
  <c r="AS58" i="47"/>
  <c r="AR58" i="47"/>
  <c r="AQ58" i="47"/>
  <c r="AP58" i="47"/>
  <c r="AO58" i="47"/>
  <c r="AN58" i="47"/>
  <c r="AM58" i="47"/>
  <c r="BP56" i="47"/>
  <c r="BO56" i="47"/>
  <c r="BN56" i="47"/>
  <c r="BM56" i="47"/>
  <c r="BL56" i="47"/>
  <c r="BK56" i="47"/>
  <c r="BJ56" i="47"/>
  <c r="BI56" i="47"/>
  <c r="BH56" i="47"/>
  <c r="BG56" i="47"/>
  <c r="BF56" i="47"/>
  <c r="BE56" i="47"/>
  <c r="BD56" i="47"/>
  <c r="BC56" i="47"/>
  <c r="BB56" i="47"/>
  <c r="BA56" i="47"/>
  <c r="AZ56" i="47"/>
  <c r="AY56" i="47"/>
  <c r="AX56" i="47"/>
  <c r="AW56" i="47"/>
  <c r="AV56" i="47"/>
  <c r="AU56" i="47"/>
  <c r="AT56" i="47"/>
  <c r="AS56" i="47"/>
  <c r="AR56" i="47"/>
  <c r="AQ56" i="47"/>
  <c r="AP56" i="47"/>
  <c r="AO56" i="47"/>
  <c r="AN56" i="47"/>
  <c r="AM56" i="47"/>
  <c r="BP54" i="47"/>
  <c r="BO54" i="47"/>
  <c r="BN54" i="47"/>
  <c r="BM54" i="47"/>
  <c r="BL54" i="47"/>
  <c r="BK54" i="47"/>
  <c r="BJ54" i="47"/>
  <c r="BI54" i="47"/>
  <c r="BH54" i="47"/>
  <c r="BG54" i="47"/>
  <c r="BF54" i="47"/>
  <c r="BE54" i="47"/>
  <c r="BD54" i="47"/>
  <c r="BC54" i="47"/>
  <c r="BB54" i="47"/>
  <c r="BA54" i="47"/>
  <c r="AZ54" i="47"/>
  <c r="AY54" i="47"/>
  <c r="AX54" i="47"/>
  <c r="AW54" i="47"/>
  <c r="AV54" i="47"/>
  <c r="AU54" i="47"/>
  <c r="AT54" i="47"/>
  <c r="AS54" i="47"/>
  <c r="AR54" i="47"/>
  <c r="AQ54" i="47"/>
  <c r="AP54" i="47"/>
  <c r="AO54" i="47"/>
  <c r="AN54" i="47"/>
  <c r="AM54" i="47"/>
  <c r="BP52" i="47"/>
  <c r="BO52" i="47"/>
  <c r="BN52" i="47"/>
  <c r="BM52" i="47"/>
  <c r="BL52" i="47"/>
  <c r="BK52" i="47"/>
  <c r="BJ52" i="47"/>
  <c r="BI52" i="47"/>
  <c r="BH52" i="47"/>
  <c r="BG52" i="47"/>
  <c r="BF52" i="47"/>
  <c r="BE52" i="47"/>
  <c r="BD52" i="47"/>
  <c r="BC52" i="47"/>
  <c r="BB52" i="47"/>
  <c r="BA52" i="47"/>
  <c r="AZ52" i="47"/>
  <c r="AY52" i="47"/>
  <c r="AX52" i="47"/>
  <c r="AW52" i="47"/>
  <c r="AV52" i="47"/>
  <c r="AU52" i="47"/>
  <c r="AT52" i="47"/>
  <c r="AS52" i="47"/>
  <c r="AR52" i="47"/>
  <c r="AQ52" i="47"/>
  <c r="AP52" i="47"/>
  <c r="AO52" i="47"/>
  <c r="AN52" i="47"/>
  <c r="AM52" i="47"/>
  <c r="BP50" i="47"/>
  <c r="BO50" i="47"/>
  <c r="BN50" i="47"/>
  <c r="BM50" i="47"/>
  <c r="BL50" i="47"/>
  <c r="BK50" i="47"/>
  <c r="BJ50" i="47"/>
  <c r="BI50" i="47"/>
  <c r="BH50" i="47"/>
  <c r="BG50" i="47"/>
  <c r="BF50" i="47"/>
  <c r="BE50" i="47"/>
  <c r="BD50" i="47"/>
  <c r="BC50" i="47"/>
  <c r="BB50" i="47"/>
  <c r="BA50" i="47"/>
  <c r="AZ50" i="47"/>
  <c r="AY50" i="47"/>
  <c r="AX50" i="47"/>
  <c r="AW50" i="47"/>
  <c r="AV50" i="47"/>
  <c r="AU50" i="47"/>
  <c r="AT50" i="47"/>
  <c r="AS50" i="47"/>
  <c r="AR50" i="47"/>
  <c r="AQ50" i="47"/>
  <c r="AP50" i="47"/>
  <c r="AO50" i="47"/>
  <c r="AN50" i="47"/>
  <c r="AM50" i="47"/>
  <c r="BP48" i="47"/>
  <c r="BO48" i="47"/>
  <c r="BN48" i="47"/>
  <c r="BM48" i="47"/>
  <c r="BL48" i="47"/>
  <c r="BK48" i="47"/>
  <c r="BJ48" i="47"/>
  <c r="BI48" i="47"/>
  <c r="BH48" i="47"/>
  <c r="BG48" i="47"/>
  <c r="BF48" i="47"/>
  <c r="BE48" i="47"/>
  <c r="BD48" i="47"/>
  <c r="BC48" i="47"/>
  <c r="BB48" i="47"/>
  <c r="BA48" i="47"/>
  <c r="AZ48" i="47"/>
  <c r="AY48" i="47"/>
  <c r="AX48" i="47"/>
  <c r="AW48" i="47"/>
  <c r="AV48" i="47"/>
  <c r="AU48" i="47"/>
  <c r="AT48" i="47"/>
  <c r="AS48" i="47"/>
  <c r="AR48" i="47"/>
  <c r="AQ48" i="47"/>
  <c r="AP48" i="47"/>
  <c r="AO48" i="47"/>
  <c r="AN48" i="47"/>
  <c r="AM48" i="47"/>
  <c r="BP46" i="47"/>
  <c r="BO46" i="47"/>
  <c r="BN46" i="47"/>
  <c r="BM46" i="47"/>
  <c r="BL46" i="47"/>
  <c r="BK46" i="47"/>
  <c r="BJ46" i="47"/>
  <c r="BI46" i="47"/>
  <c r="BH46" i="47"/>
  <c r="BG46" i="47"/>
  <c r="BF46" i="47"/>
  <c r="BE46" i="47"/>
  <c r="BD46" i="47"/>
  <c r="BC46" i="47"/>
  <c r="BB46" i="47"/>
  <c r="BA46" i="47"/>
  <c r="AZ46" i="47"/>
  <c r="AY46" i="47"/>
  <c r="AX46" i="47"/>
  <c r="AW46" i="47"/>
  <c r="AV46" i="47"/>
  <c r="AU46" i="47"/>
  <c r="AT46" i="47"/>
  <c r="AS46" i="47"/>
  <c r="AR46" i="47"/>
  <c r="AQ46" i="47"/>
  <c r="AP46" i="47"/>
  <c r="AO46" i="47"/>
  <c r="AN46" i="47"/>
  <c r="AM46" i="47"/>
  <c r="BP44" i="47"/>
  <c r="BO44" i="47"/>
  <c r="BN44" i="47"/>
  <c r="BM44" i="47"/>
  <c r="BL44" i="47"/>
  <c r="BK44" i="47"/>
  <c r="BJ44" i="47"/>
  <c r="BI44" i="47"/>
  <c r="BH44" i="47"/>
  <c r="BG44" i="47"/>
  <c r="BF44" i="47"/>
  <c r="BE44" i="47"/>
  <c r="BD44" i="47"/>
  <c r="BC44" i="47"/>
  <c r="BB44" i="47"/>
  <c r="BA44" i="47"/>
  <c r="AZ44" i="47"/>
  <c r="AY44" i="47"/>
  <c r="AX44" i="47"/>
  <c r="AW44" i="47"/>
  <c r="AV44" i="47"/>
  <c r="AU44" i="47"/>
  <c r="AT44" i="47"/>
  <c r="AS44" i="47"/>
  <c r="AR44" i="47"/>
  <c r="AQ44" i="47"/>
  <c r="AP44" i="47"/>
  <c r="AO44" i="47"/>
  <c r="AN44" i="47"/>
  <c r="AM44" i="47"/>
  <c r="BP42" i="47"/>
  <c r="BO42" i="47"/>
  <c r="BN42" i="47"/>
  <c r="BM42" i="47"/>
  <c r="BL42" i="47"/>
  <c r="BK42" i="47"/>
  <c r="BJ42" i="47"/>
  <c r="BI42" i="47"/>
  <c r="BH42" i="47"/>
  <c r="BG42" i="47"/>
  <c r="BF42" i="47"/>
  <c r="BE42" i="47"/>
  <c r="BD42" i="47"/>
  <c r="BC42" i="47"/>
  <c r="BB42" i="47"/>
  <c r="BA42" i="47"/>
  <c r="AZ42" i="47"/>
  <c r="AY42" i="47"/>
  <c r="AX42" i="47"/>
  <c r="AW42" i="47"/>
  <c r="AV42" i="47"/>
  <c r="AU42" i="47"/>
  <c r="AT42" i="47"/>
  <c r="AS42" i="47"/>
  <c r="AR42" i="47"/>
  <c r="AQ42" i="47"/>
  <c r="AP42" i="47"/>
  <c r="AO42" i="47"/>
  <c r="AN42" i="47"/>
  <c r="AM42" i="47"/>
  <c r="BP40" i="47"/>
  <c r="BO40" i="47"/>
  <c r="BN40" i="47"/>
  <c r="BM40" i="47"/>
  <c r="BL40" i="47"/>
  <c r="BK40" i="47"/>
  <c r="BJ40" i="47"/>
  <c r="BI40" i="47"/>
  <c r="BH40" i="47"/>
  <c r="BG40" i="47"/>
  <c r="BF40" i="47"/>
  <c r="BE40" i="47"/>
  <c r="BD40" i="47"/>
  <c r="BC40" i="47"/>
  <c r="BB40" i="47"/>
  <c r="BA40" i="47"/>
  <c r="AZ40" i="47"/>
  <c r="AY40" i="47"/>
  <c r="AX40" i="47"/>
  <c r="AW40" i="47"/>
  <c r="AV40" i="47"/>
  <c r="AU40" i="47"/>
  <c r="AT40" i="47"/>
  <c r="AS40" i="47"/>
  <c r="AR40" i="47"/>
  <c r="AQ40" i="47"/>
  <c r="AP40" i="47"/>
  <c r="AO40" i="47"/>
  <c r="AN40" i="47"/>
  <c r="AM40" i="47"/>
  <c r="CH38" i="47"/>
  <c r="CG38" i="47"/>
  <c r="CF38" i="47"/>
  <c r="CE38" i="47"/>
  <c r="CD38" i="47"/>
  <c r="CC38" i="47"/>
  <c r="CB38" i="47"/>
  <c r="CA38" i="47"/>
  <c r="BL92" i="47" s="1"/>
  <c r="BZ38" i="47"/>
  <c r="BY38" i="47"/>
  <c r="BX38" i="47"/>
  <c r="BW38" i="47"/>
  <c r="BV38" i="47"/>
  <c r="BP38" i="47"/>
  <c r="BO38" i="47"/>
  <c r="BN38" i="47"/>
  <c r="BM38" i="47"/>
  <c r="BL38" i="47"/>
  <c r="BK38" i="47"/>
  <c r="BJ38" i="47"/>
  <c r="BI38" i="47"/>
  <c r="BH38" i="47"/>
  <c r="BG38" i="47"/>
  <c r="BF38" i="47"/>
  <c r="BE38" i="47"/>
  <c r="BD38" i="47"/>
  <c r="BC38" i="47"/>
  <c r="BB38" i="47"/>
  <c r="BA38" i="47"/>
  <c r="AZ38" i="47"/>
  <c r="AY38" i="47"/>
  <c r="AX38" i="47"/>
  <c r="AW38" i="47"/>
  <c r="AV38" i="47"/>
  <c r="AU38" i="47"/>
  <c r="AT38" i="47"/>
  <c r="AS38" i="47"/>
  <c r="AR38" i="47"/>
  <c r="AQ38" i="47"/>
  <c r="AP38" i="47"/>
  <c r="AO38" i="47"/>
  <c r="AN38" i="47"/>
  <c r="AM38" i="47"/>
  <c r="BP36" i="47"/>
  <c r="BO36" i="47"/>
  <c r="BN36" i="47"/>
  <c r="BM36" i="47"/>
  <c r="BL36" i="47"/>
  <c r="BK36" i="47"/>
  <c r="BJ36" i="47"/>
  <c r="BI36" i="47"/>
  <c r="BH36" i="47"/>
  <c r="BG36" i="47"/>
  <c r="BF36" i="47"/>
  <c r="BE36" i="47"/>
  <c r="BD36" i="47"/>
  <c r="BC36" i="47"/>
  <c r="BB36" i="47"/>
  <c r="BA36" i="47"/>
  <c r="AZ36" i="47"/>
  <c r="AY36" i="47"/>
  <c r="AX36" i="47"/>
  <c r="AW36" i="47"/>
  <c r="AV36" i="47"/>
  <c r="AU36" i="47"/>
  <c r="AT36" i="47"/>
  <c r="AS36" i="47"/>
  <c r="AR36" i="47"/>
  <c r="AQ36" i="47"/>
  <c r="AP36" i="47"/>
  <c r="AO36" i="47"/>
  <c r="AN36" i="47"/>
  <c r="AM36" i="47"/>
  <c r="BO34" i="47"/>
  <c r="BN34" i="47"/>
  <c r="BL34" i="47"/>
  <c r="BK34" i="47"/>
  <c r="BJ34" i="47"/>
  <c r="BG34" i="47"/>
  <c r="BF34" i="47"/>
  <c r="BD34" i="47"/>
  <c r="BC34" i="47"/>
  <c r="BB34" i="47"/>
  <c r="AY34" i="47"/>
  <c r="AX34" i="47"/>
  <c r="AV34" i="47"/>
  <c r="AU34" i="47"/>
  <c r="AT34" i="47"/>
  <c r="AQ34" i="47"/>
  <c r="AP34" i="47"/>
  <c r="AO34" i="47"/>
  <c r="AN34" i="47"/>
  <c r="AM34" i="47"/>
  <c r="BP32" i="47"/>
  <c r="BO32" i="47"/>
  <c r="BN32" i="47"/>
  <c r="BM32" i="47"/>
  <c r="BL32" i="47"/>
  <c r="BK32" i="47"/>
  <c r="BJ32" i="47"/>
  <c r="BI32" i="47"/>
  <c r="BH32" i="47"/>
  <c r="BG32" i="47"/>
  <c r="BF32" i="47"/>
  <c r="BE32" i="47"/>
  <c r="BD32" i="47"/>
  <c r="BC32" i="47"/>
  <c r="BB32" i="47"/>
  <c r="BA32" i="47"/>
  <c r="AZ32" i="47"/>
  <c r="AY32" i="47"/>
  <c r="AX32" i="47"/>
  <c r="AW32" i="47"/>
  <c r="AV32" i="47"/>
  <c r="AU32" i="47"/>
  <c r="AT32" i="47"/>
  <c r="AS32" i="47"/>
  <c r="AR32" i="47"/>
  <c r="AQ32" i="47"/>
  <c r="AP32" i="47"/>
  <c r="AO32" i="47"/>
  <c r="AN32" i="47"/>
  <c r="AM32" i="47"/>
  <c r="BY30" i="47"/>
  <c r="BX30" i="47"/>
  <c r="BW30" i="47"/>
  <c r="BV30" i="47"/>
  <c r="BP30" i="47"/>
  <c r="BO30" i="47"/>
  <c r="BN30" i="47"/>
  <c r="BN92" i="47" s="1"/>
  <c r="BM30" i="47"/>
  <c r="BL30" i="47"/>
  <c r="BK30" i="47"/>
  <c r="BJ30" i="47"/>
  <c r="BI30" i="47"/>
  <c r="BH30" i="47"/>
  <c r="BG30" i="47"/>
  <c r="BF30" i="47"/>
  <c r="BF92" i="47" s="1"/>
  <c r="F193" i="47" s="1"/>
  <c r="BE30" i="47"/>
  <c r="BD30" i="47"/>
  <c r="BC30" i="47"/>
  <c r="BB30" i="47"/>
  <c r="BA30" i="47"/>
  <c r="AZ30" i="47"/>
  <c r="AY30" i="47"/>
  <c r="AX30" i="47"/>
  <c r="AX92" i="47" s="1"/>
  <c r="F204" i="47" s="1"/>
  <c r="AW30" i="47"/>
  <c r="AV30" i="47"/>
  <c r="AU30" i="47"/>
  <c r="AT30" i="47"/>
  <c r="AS30" i="47"/>
  <c r="AR30" i="47"/>
  <c r="AQ30" i="47"/>
  <c r="AP30" i="47"/>
  <c r="AO30" i="47"/>
  <c r="AN30" i="47"/>
  <c r="AM30" i="47"/>
  <c r="BV29" i="47"/>
  <c r="BY28" i="47"/>
  <c r="BX28" i="47"/>
  <c r="BW28" i="47"/>
  <c r="BV28" i="47"/>
  <c r="BP28" i="47"/>
  <c r="BO28" i="47"/>
  <c r="BN28" i="47"/>
  <c r="BM28" i="47"/>
  <c r="BL28" i="47"/>
  <c r="BK28" i="47"/>
  <c r="BJ28" i="47"/>
  <c r="BI28" i="47"/>
  <c r="BH28" i="47"/>
  <c r="BG28" i="47"/>
  <c r="BF28" i="47"/>
  <c r="BE28" i="47"/>
  <c r="BD28" i="47"/>
  <c r="BC28" i="47"/>
  <c r="BB28" i="47"/>
  <c r="BA28" i="47"/>
  <c r="AZ28" i="47"/>
  <c r="AY28" i="47"/>
  <c r="AX28" i="47"/>
  <c r="AW28" i="47"/>
  <c r="AV28" i="47"/>
  <c r="AU28" i="47"/>
  <c r="AT28" i="47"/>
  <c r="AS28" i="47"/>
  <c r="AR28" i="47"/>
  <c r="AQ28" i="47"/>
  <c r="AP28" i="47"/>
  <c r="AO28" i="47"/>
  <c r="AN28" i="47"/>
  <c r="AM28" i="47"/>
  <c r="BV27" i="47"/>
  <c r="BY26" i="47"/>
  <c r="BY32" i="47" s="1"/>
  <c r="AP92" i="47" s="1"/>
  <c r="U6" i="47" s="1"/>
  <c r="BX26" i="47"/>
  <c r="BX32" i="47" s="1"/>
  <c r="BW26" i="47"/>
  <c r="BW32" i="47" s="1"/>
  <c r="BV26" i="47"/>
  <c r="BV32" i="47" s="1"/>
  <c r="BP26" i="47"/>
  <c r="BO26" i="47"/>
  <c r="BN26" i="47"/>
  <c r="BM26" i="47"/>
  <c r="BL26" i="47"/>
  <c r="BK26" i="47"/>
  <c r="BJ26" i="47"/>
  <c r="BI26" i="47"/>
  <c r="BH26" i="47"/>
  <c r="BG26" i="47"/>
  <c r="BF26" i="47"/>
  <c r="BE26" i="47"/>
  <c r="BD26" i="47"/>
  <c r="BC26" i="47"/>
  <c r="BB26" i="47"/>
  <c r="BA26" i="47"/>
  <c r="AZ26" i="47"/>
  <c r="AY26" i="47"/>
  <c r="AX26" i="47"/>
  <c r="AW26" i="47"/>
  <c r="AV26" i="47"/>
  <c r="AU26" i="47"/>
  <c r="AT26" i="47"/>
  <c r="AS26" i="47"/>
  <c r="AR26" i="47"/>
  <c r="AQ26" i="47"/>
  <c r="AP26" i="47"/>
  <c r="AO26" i="47"/>
  <c r="AN26" i="47"/>
  <c r="AM26" i="47"/>
  <c r="BP24" i="47"/>
  <c r="BO24" i="47"/>
  <c r="BN24" i="47"/>
  <c r="BM24" i="47"/>
  <c r="BL24" i="47"/>
  <c r="BK24" i="47"/>
  <c r="BJ24" i="47"/>
  <c r="BI24" i="47"/>
  <c r="BH24" i="47"/>
  <c r="BG24" i="47"/>
  <c r="BF24" i="47"/>
  <c r="BE24" i="47"/>
  <c r="BD24" i="47"/>
  <c r="BC24" i="47"/>
  <c r="BB24" i="47"/>
  <c r="BA24" i="47"/>
  <c r="AZ24" i="47"/>
  <c r="AY24" i="47"/>
  <c r="AX24" i="47"/>
  <c r="AW24" i="47"/>
  <c r="AV24" i="47"/>
  <c r="AU24" i="47"/>
  <c r="AT24" i="47"/>
  <c r="AS24" i="47"/>
  <c r="AR24" i="47"/>
  <c r="AQ24" i="47"/>
  <c r="AP24" i="47"/>
  <c r="AO24" i="47"/>
  <c r="AN24" i="47"/>
  <c r="AM24" i="47"/>
  <c r="BP22" i="47"/>
  <c r="BO22" i="47"/>
  <c r="BN22" i="47"/>
  <c r="BM22" i="47"/>
  <c r="BL22" i="47"/>
  <c r="BK22" i="47"/>
  <c r="BJ22" i="47"/>
  <c r="BI22" i="47"/>
  <c r="BH22" i="47"/>
  <c r="BG22" i="47"/>
  <c r="BF22" i="47"/>
  <c r="BE22" i="47"/>
  <c r="BD22" i="47"/>
  <c r="BC22" i="47"/>
  <c r="BB22" i="47"/>
  <c r="BA22" i="47"/>
  <c r="AZ22" i="47"/>
  <c r="AY22" i="47"/>
  <c r="AX22" i="47"/>
  <c r="AW22" i="47"/>
  <c r="AV22" i="47"/>
  <c r="AU22" i="47"/>
  <c r="AT22" i="47"/>
  <c r="AS22" i="47"/>
  <c r="AR22" i="47"/>
  <c r="AQ22" i="47"/>
  <c r="AP22" i="47"/>
  <c r="AO22" i="47"/>
  <c r="AN22" i="47"/>
  <c r="AM22" i="47"/>
  <c r="BV20" i="47"/>
  <c r="BP20" i="47"/>
  <c r="BO20" i="47"/>
  <c r="BN20" i="47"/>
  <c r="BM20" i="47"/>
  <c r="BL20" i="47"/>
  <c r="BK20" i="47"/>
  <c r="BJ20" i="47"/>
  <c r="BI20" i="47"/>
  <c r="BH20" i="47"/>
  <c r="BG20" i="47"/>
  <c r="BF20" i="47"/>
  <c r="BE20" i="47"/>
  <c r="BD20" i="47"/>
  <c r="BC20" i="47"/>
  <c r="BB20" i="47"/>
  <c r="BA20" i="47"/>
  <c r="AZ20" i="47"/>
  <c r="AY20" i="47"/>
  <c r="AX20" i="47"/>
  <c r="AW20" i="47"/>
  <c r="AV20" i="47"/>
  <c r="AU20" i="47"/>
  <c r="AT20" i="47"/>
  <c r="AS20" i="47"/>
  <c r="AR20" i="47"/>
  <c r="AQ20" i="47"/>
  <c r="AP20" i="47"/>
  <c r="AO20" i="47"/>
  <c r="AN20" i="47"/>
  <c r="AM20" i="47"/>
  <c r="BP18" i="47"/>
  <c r="BO18" i="47"/>
  <c r="BO92" i="47" s="1"/>
  <c r="BN18" i="47"/>
  <c r="BM18" i="47"/>
  <c r="BL18" i="47"/>
  <c r="BK18" i="47"/>
  <c r="BJ18" i="47"/>
  <c r="BI18" i="47"/>
  <c r="BH18" i="47"/>
  <c r="BG18" i="47"/>
  <c r="BG92" i="47" s="1"/>
  <c r="F205" i="47" s="1"/>
  <c r="BF18" i="47"/>
  <c r="BE18" i="47"/>
  <c r="BD18" i="47"/>
  <c r="BC18" i="47"/>
  <c r="BB18" i="47"/>
  <c r="BA18" i="47"/>
  <c r="AZ18" i="47"/>
  <c r="AY18" i="47"/>
  <c r="AY92" i="47" s="1"/>
  <c r="F198" i="47" s="1"/>
  <c r="AX18" i="47"/>
  <c r="AW18" i="47"/>
  <c r="AV18" i="47"/>
  <c r="AU18" i="47"/>
  <c r="AT18" i="47"/>
  <c r="AS18" i="47"/>
  <c r="AR18" i="47"/>
  <c r="AQ18" i="47"/>
  <c r="AQ92" i="47" s="1"/>
  <c r="AA2" i="47" s="1"/>
  <c r="AP18" i="47"/>
  <c r="AO18" i="47"/>
  <c r="AN18" i="47"/>
  <c r="AM18" i="47"/>
  <c r="BP16" i="47"/>
  <c r="BO16" i="47"/>
  <c r="BN16" i="47"/>
  <c r="BM16" i="47"/>
  <c r="BL16" i="47"/>
  <c r="BK16" i="47"/>
  <c r="BK92" i="47" s="1"/>
  <c r="BJ16" i="47"/>
  <c r="BJ92" i="47" s="1"/>
  <c r="F195" i="47" s="1"/>
  <c r="BI16" i="47"/>
  <c r="BI92" i="47" s="1"/>
  <c r="F201" i="47" s="1"/>
  <c r="BH16" i="47"/>
  <c r="BG16" i="47"/>
  <c r="BF16" i="47"/>
  <c r="BE16" i="47"/>
  <c r="BD16" i="47"/>
  <c r="BD92" i="47" s="1"/>
  <c r="F203" i="47" s="1"/>
  <c r="BC16" i="47"/>
  <c r="BC92" i="47" s="1"/>
  <c r="F202" i="47" s="1"/>
  <c r="BB16" i="47"/>
  <c r="BB92" i="47" s="1"/>
  <c r="F192" i="47" s="1"/>
  <c r="BA16" i="47"/>
  <c r="AZ16" i="47"/>
  <c r="AY16" i="47"/>
  <c r="AX16" i="47"/>
  <c r="AW16" i="47"/>
  <c r="AV16" i="47"/>
  <c r="AV92" i="47" s="1"/>
  <c r="F206" i="47" s="1"/>
  <c r="AU16" i="47"/>
  <c r="AU92" i="47" s="1"/>
  <c r="AT16" i="47"/>
  <c r="AT92" i="47" s="1"/>
  <c r="U8" i="47" s="1"/>
  <c r="AP8" i="47" s="1"/>
  <c r="AS16" i="47"/>
  <c r="AR16" i="47"/>
  <c r="AQ16" i="47"/>
  <c r="AP16" i="47"/>
  <c r="AO16" i="47"/>
  <c r="AN16" i="47"/>
  <c r="AM16" i="47"/>
  <c r="D277" i="46"/>
  <c r="D276" i="46"/>
  <c r="Q275" i="46"/>
  <c r="D275" i="46"/>
  <c r="BI34" i="46" s="1"/>
  <c r="B275" i="46"/>
  <c r="Q273" i="46"/>
  <c r="O273" i="46"/>
  <c r="M273" i="46"/>
  <c r="AZ272" i="46"/>
  <c r="AY272" i="46"/>
  <c r="AW272" i="46"/>
  <c r="AV272" i="46"/>
  <c r="AN272" i="46"/>
  <c r="Q272" i="46"/>
  <c r="O272" i="46"/>
  <c r="M272" i="46"/>
  <c r="AZ271" i="46"/>
  <c r="AY271" i="46"/>
  <c r="AW271" i="46"/>
  <c r="AV271" i="46"/>
  <c r="Q271" i="46"/>
  <c r="O271" i="46"/>
  <c r="M271" i="46"/>
  <c r="AZ270" i="46"/>
  <c r="AY270" i="46"/>
  <c r="AW270" i="46"/>
  <c r="AV270" i="46"/>
  <c r="AN270" i="46"/>
  <c r="Q270" i="46"/>
  <c r="O270" i="46"/>
  <c r="M270" i="46"/>
  <c r="AZ269" i="46"/>
  <c r="AY269" i="46"/>
  <c r="AW269" i="46"/>
  <c r="AV269" i="46"/>
  <c r="Q269" i="46"/>
  <c r="O269" i="46"/>
  <c r="M269" i="46"/>
  <c r="AZ268" i="46"/>
  <c r="AY268" i="46"/>
  <c r="AW268" i="46"/>
  <c r="AV268" i="46"/>
  <c r="AN268" i="46"/>
  <c r="Q268" i="46"/>
  <c r="O268" i="46"/>
  <c r="M268" i="46"/>
  <c r="AZ267" i="46"/>
  <c r="AY267" i="46"/>
  <c r="AW267" i="46"/>
  <c r="AV267" i="46"/>
  <c r="Q267" i="46"/>
  <c r="O267" i="46"/>
  <c r="M267" i="46"/>
  <c r="AZ266" i="46"/>
  <c r="AY266" i="46"/>
  <c r="AW266" i="46"/>
  <c r="AV266" i="46"/>
  <c r="AN266" i="46"/>
  <c r="Q266" i="46"/>
  <c r="O266" i="46"/>
  <c r="M266" i="46"/>
  <c r="AZ265" i="46"/>
  <c r="AY265" i="46"/>
  <c r="AW265" i="46"/>
  <c r="AV265" i="46"/>
  <c r="Q265" i="46"/>
  <c r="O265" i="46"/>
  <c r="M265" i="46"/>
  <c r="AZ264" i="46"/>
  <c r="AY264" i="46"/>
  <c r="AW264" i="46"/>
  <c r="AV264" i="46"/>
  <c r="AN264" i="46"/>
  <c r="Q264" i="46"/>
  <c r="O264" i="46"/>
  <c r="M264" i="46"/>
  <c r="AZ263" i="46"/>
  <c r="AY263" i="46"/>
  <c r="AW263" i="46"/>
  <c r="AV263" i="46"/>
  <c r="Q263" i="46"/>
  <c r="O263" i="46"/>
  <c r="M263" i="46"/>
  <c r="AZ262" i="46"/>
  <c r="AY262" i="46"/>
  <c r="AW262" i="46"/>
  <c r="AV262" i="46"/>
  <c r="AN262" i="46"/>
  <c r="Q262" i="46"/>
  <c r="O262" i="46"/>
  <c r="M262" i="46"/>
  <c r="AZ261" i="46"/>
  <c r="AY261" i="46"/>
  <c r="AW261" i="46"/>
  <c r="Q261" i="46"/>
  <c r="O261" i="46"/>
  <c r="M261" i="46"/>
  <c r="AZ260" i="46"/>
  <c r="AW260" i="46"/>
  <c r="AV260" i="46"/>
  <c r="AN260" i="46"/>
  <c r="Q260" i="46"/>
  <c r="O260" i="46"/>
  <c r="M260" i="46"/>
  <c r="AZ259" i="46"/>
  <c r="AY259" i="46"/>
  <c r="AW259" i="46"/>
  <c r="AV259" i="46"/>
  <c r="Q259" i="46"/>
  <c r="O259" i="46"/>
  <c r="M259" i="46"/>
  <c r="AZ258" i="46"/>
  <c r="AV258" i="46"/>
  <c r="AN258" i="46"/>
  <c r="Q258" i="46"/>
  <c r="O258" i="46"/>
  <c r="M258" i="46"/>
  <c r="AZ257" i="46"/>
  <c r="Q257" i="46"/>
  <c r="O257" i="46"/>
  <c r="M257" i="46"/>
  <c r="AZ256" i="46"/>
  <c r="AN256" i="46"/>
  <c r="Q256" i="46"/>
  <c r="O256" i="46"/>
  <c r="M256" i="46"/>
  <c r="AZ255" i="46"/>
  <c r="Q255" i="46"/>
  <c r="O255" i="46"/>
  <c r="M255" i="46"/>
  <c r="AZ254" i="46"/>
  <c r="AY254" i="46"/>
  <c r="AN254" i="46"/>
  <c r="Q254" i="46"/>
  <c r="O254" i="46"/>
  <c r="M254" i="46"/>
  <c r="AZ253" i="46"/>
  <c r="AY253" i="46"/>
  <c r="AW253" i="46"/>
  <c r="AV253" i="46"/>
  <c r="Q253" i="46"/>
  <c r="O253" i="46"/>
  <c r="M253" i="46"/>
  <c r="AZ252" i="46"/>
  <c r="AY252" i="46"/>
  <c r="AW252" i="46"/>
  <c r="AV252" i="46"/>
  <c r="AN252" i="46"/>
  <c r="Q252" i="46"/>
  <c r="O252" i="46"/>
  <c r="M252" i="46"/>
  <c r="AZ251" i="46"/>
  <c r="AY251" i="46"/>
  <c r="AW251" i="46"/>
  <c r="AV251" i="46"/>
  <c r="Q251" i="46"/>
  <c r="O251" i="46"/>
  <c r="M251" i="46"/>
  <c r="AZ250" i="46"/>
  <c r="AY250" i="46"/>
  <c r="AW250" i="46"/>
  <c r="AV250" i="46"/>
  <c r="AN250" i="46"/>
  <c r="Q250" i="46"/>
  <c r="O250" i="46"/>
  <c r="M250" i="46"/>
  <c r="AZ249" i="46"/>
  <c r="AY249" i="46"/>
  <c r="AW249" i="46"/>
  <c r="AV249" i="46"/>
  <c r="Q249" i="46"/>
  <c r="O249" i="46"/>
  <c r="M249" i="46"/>
  <c r="AZ248" i="46"/>
  <c r="AY248" i="46"/>
  <c r="AW248" i="46"/>
  <c r="AV248" i="46"/>
  <c r="AN248" i="46"/>
  <c r="Q248" i="46"/>
  <c r="O248" i="46"/>
  <c r="M248" i="46"/>
  <c r="AZ247" i="46"/>
  <c r="AY247" i="46"/>
  <c r="AW247" i="46"/>
  <c r="AV247" i="46"/>
  <c r="Q247" i="46"/>
  <c r="O247" i="46"/>
  <c r="M247" i="46"/>
  <c r="AZ246" i="46"/>
  <c r="AY246" i="46"/>
  <c r="AW246" i="46"/>
  <c r="AV246" i="46"/>
  <c r="AN246" i="46"/>
  <c r="Q246" i="46"/>
  <c r="O246" i="46"/>
  <c r="M246" i="46"/>
  <c r="AZ245" i="46"/>
  <c r="AY245" i="46"/>
  <c r="AW245" i="46"/>
  <c r="AV245" i="46"/>
  <c r="Q245" i="46"/>
  <c r="O245" i="46"/>
  <c r="M245" i="46"/>
  <c r="AZ244" i="46"/>
  <c r="AY244" i="46"/>
  <c r="AW244" i="46"/>
  <c r="AV244" i="46"/>
  <c r="AN244" i="46"/>
  <c r="Q244" i="46"/>
  <c r="O244" i="46"/>
  <c r="M244" i="46"/>
  <c r="AZ243" i="46"/>
  <c r="AY243" i="46"/>
  <c r="AW243" i="46"/>
  <c r="AV243" i="46"/>
  <c r="Q243" i="46"/>
  <c r="O243" i="46"/>
  <c r="M243" i="46"/>
  <c r="AZ242" i="46"/>
  <c r="AY242" i="46"/>
  <c r="AW242" i="46"/>
  <c r="AV242" i="46"/>
  <c r="AN242" i="46"/>
  <c r="Q242" i="46"/>
  <c r="O242" i="46"/>
  <c r="M242" i="46"/>
  <c r="AZ241" i="46"/>
  <c r="AY241" i="46"/>
  <c r="AW241" i="46"/>
  <c r="AV241" i="46"/>
  <c r="Q241" i="46"/>
  <c r="O241" i="46"/>
  <c r="M241" i="46"/>
  <c r="AZ240" i="46"/>
  <c r="AY240" i="46"/>
  <c r="AW240" i="46"/>
  <c r="AV240" i="46"/>
  <c r="AN240" i="46"/>
  <c r="Q240" i="46"/>
  <c r="O240" i="46"/>
  <c r="M240" i="46"/>
  <c r="AZ239" i="46"/>
  <c r="AY239" i="46"/>
  <c r="AW239" i="46"/>
  <c r="AV239" i="46"/>
  <c r="Q239" i="46"/>
  <c r="O239" i="46"/>
  <c r="M239" i="46"/>
  <c r="AZ238" i="46"/>
  <c r="AY238" i="46"/>
  <c r="AW238" i="46"/>
  <c r="AV238" i="46"/>
  <c r="AN238" i="46"/>
  <c r="Q238" i="46"/>
  <c r="O238" i="46"/>
  <c r="M238" i="46"/>
  <c r="AZ237" i="46"/>
  <c r="AY237" i="46"/>
  <c r="AW237" i="46"/>
  <c r="AV237" i="46"/>
  <c r="Q237" i="46"/>
  <c r="O237" i="46"/>
  <c r="M237" i="46"/>
  <c r="AZ236" i="46"/>
  <c r="AY236" i="46"/>
  <c r="AW236" i="46"/>
  <c r="AV236" i="46"/>
  <c r="AN236" i="46"/>
  <c r="Q236" i="46"/>
  <c r="O236" i="46"/>
  <c r="M236" i="46"/>
  <c r="AZ235" i="46"/>
  <c r="AY235" i="46"/>
  <c r="AW235" i="46"/>
  <c r="AV235" i="46"/>
  <c r="Q235" i="46"/>
  <c r="O235" i="46"/>
  <c r="M235" i="46"/>
  <c r="AZ234" i="46"/>
  <c r="AY234" i="46"/>
  <c r="AW234" i="46"/>
  <c r="AV234" i="46"/>
  <c r="AN234" i="46"/>
  <c r="Q234" i="46"/>
  <c r="O234" i="46"/>
  <c r="O275" i="46" s="1"/>
  <c r="M234" i="46"/>
  <c r="AT234" i="46" s="1"/>
  <c r="H181" i="46"/>
  <c r="AV261" i="46" s="1"/>
  <c r="H180" i="46"/>
  <c r="AY260" i="46" s="1"/>
  <c r="H179" i="46"/>
  <c r="H178" i="46"/>
  <c r="AY258" i="46" s="1"/>
  <c r="H177" i="46"/>
  <c r="H176" i="46"/>
  <c r="AY257" i="46" s="1"/>
  <c r="H175" i="46"/>
  <c r="AY256" i="46" s="1"/>
  <c r="H174" i="46"/>
  <c r="H173" i="46"/>
  <c r="H172" i="46"/>
  <c r="AY255" i="46" s="1"/>
  <c r="H171" i="46"/>
  <c r="H170" i="46"/>
  <c r="AW254" i="46" s="1"/>
  <c r="H169" i="46"/>
  <c r="H168" i="46"/>
  <c r="H167" i="46"/>
  <c r="H166" i="46"/>
  <c r="H165" i="46"/>
  <c r="H164" i="46"/>
  <c r="H163" i="46"/>
  <c r="H162" i="46"/>
  <c r="H161" i="46"/>
  <c r="H160" i="46"/>
  <c r="H159" i="46"/>
  <c r="H158" i="46"/>
  <c r="H157" i="46"/>
  <c r="H156" i="46"/>
  <c r="H155" i="46"/>
  <c r="H154" i="46"/>
  <c r="H153" i="46"/>
  <c r="H152" i="46"/>
  <c r="H151" i="46"/>
  <c r="H150" i="46"/>
  <c r="H149" i="46"/>
  <c r="H148" i="46"/>
  <c r="H147" i="46"/>
  <c r="H146" i="46"/>
  <c r="H145" i="46"/>
  <c r="H144" i="46"/>
  <c r="H143" i="46"/>
  <c r="H142" i="46"/>
  <c r="H141" i="46"/>
  <c r="H140" i="46"/>
  <c r="H139" i="46"/>
  <c r="H138" i="46"/>
  <c r="H137" i="46"/>
  <c r="H136" i="46"/>
  <c r="H135" i="46"/>
  <c r="H134" i="46"/>
  <c r="H133" i="46"/>
  <c r="H132" i="46"/>
  <c r="H131" i="46"/>
  <c r="H130" i="46"/>
  <c r="H129" i="46"/>
  <c r="H128" i="46"/>
  <c r="H127" i="46"/>
  <c r="H126" i="46"/>
  <c r="H125" i="46"/>
  <c r="H124" i="46"/>
  <c r="H123" i="46"/>
  <c r="H122" i="46"/>
  <c r="H121" i="46"/>
  <c r="H120" i="46"/>
  <c r="H119" i="46"/>
  <c r="H118" i="46"/>
  <c r="H117" i="46"/>
  <c r="H116" i="46"/>
  <c r="H115" i="46"/>
  <c r="H114" i="46"/>
  <c r="H113" i="46"/>
  <c r="H112" i="46"/>
  <c r="H111" i="46"/>
  <c r="H110" i="46"/>
  <c r="H109" i="46"/>
  <c r="H108" i="46"/>
  <c r="H107" i="46"/>
  <c r="H106" i="46"/>
  <c r="H105" i="46"/>
  <c r="H104" i="46"/>
  <c r="H103" i="46"/>
  <c r="B188" i="46" s="1" a="1"/>
  <c r="B188" i="46" s="1"/>
  <c r="BS92" i="46"/>
  <c r="BU90" i="46"/>
  <c r="BT90" i="46"/>
  <c r="BS90" i="46"/>
  <c r="BR90" i="46"/>
  <c r="BQ90" i="46"/>
  <c r="BP90" i="46"/>
  <c r="BO90" i="46"/>
  <c r="BN90" i="46"/>
  <c r="BM90" i="46"/>
  <c r="BL90" i="46"/>
  <c r="BK90" i="46"/>
  <c r="AU90" i="46"/>
  <c r="AR90" i="46"/>
  <c r="AQ90" i="46"/>
  <c r="AO90" i="46"/>
  <c r="AN90" i="46"/>
  <c r="AM90" i="46"/>
  <c r="BQ89" i="46"/>
  <c r="BP89" i="46"/>
  <c r="BO89" i="46"/>
  <c r="BN89" i="46"/>
  <c r="BM89" i="46"/>
  <c r="BL89" i="46"/>
  <c r="BK89" i="46"/>
  <c r="AU89" i="46"/>
  <c r="AR89" i="46"/>
  <c r="AQ89" i="46"/>
  <c r="AO89" i="46"/>
  <c r="AN89" i="46"/>
  <c r="AM89" i="46"/>
  <c r="BU88" i="46"/>
  <c r="BT88" i="46"/>
  <c r="BS88" i="46"/>
  <c r="BR88" i="46"/>
  <c r="BQ88" i="46"/>
  <c r="BP88" i="46"/>
  <c r="BO88" i="46"/>
  <c r="BN88" i="46"/>
  <c r="BM88" i="46"/>
  <c r="BL88" i="46"/>
  <c r="BK88" i="46"/>
  <c r="AU88" i="46"/>
  <c r="AR88" i="46"/>
  <c r="AQ88" i="46"/>
  <c r="AO88" i="46"/>
  <c r="AN88" i="46"/>
  <c r="AM88" i="46"/>
  <c r="BQ87" i="46"/>
  <c r="BQ92" i="46" s="1"/>
  <c r="BP87" i="46"/>
  <c r="BO87" i="46"/>
  <c r="BN87" i="46"/>
  <c r="BM87" i="46"/>
  <c r="BL87" i="46"/>
  <c r="BK87" i="46"/>
  <c r="AU87" i="46"/>
  <c r="AR87" i="46"/>
  <c r="AQ87" i="46"/>
  <c r="AO87" i="46"/>
  <c r="AN87" i="46"/>
  <c r="AM87" i="46"/>
  <c r="BU86" i="46"/>
  <c r="BU92" i="46" s="1"/>
  <c r="BT86" i="46"/>
  <c r="BT92" i="46" s="1"/>
  <c r="BS86" i="46"/>
  <c r="BR86" i="46"/>
  <c r="BR92" i="46" s="1"/>
  <c r="BQ86" i="46"/>
  <c r="BP86" i="46"/>
  <c r="BO86" i="46"/>
  <c r="BN86" i="46"/>
  <c r="BM86" i="46"/>
  <c r="BL86" i="46"/>
  <c r="BK86" i="46"/>
  <c r="AU86" i="46"/>
  <c r="AR86" i="46"/>
  <c r="AQ86" i="46"/>
  <c r="AO86" i="46"/>
  <c r="AN86" i="46"/>
  <c r="AM86" i="46"/>
  <c r="BP82" i="46"/>
  <c r="BO82" i="46"/>
  <c r="BN82" i="46"/>
  <c r="BM82" i="46"/>
  <c r="BL82" i="46"/>
  <c r="BK82" i="46"/>
  <c r="BJ82" i="46"/>
  <c r="BI82" i="46"/>
  <c r="BH82" i="46"/>
  <c r="BG82" i="46"/>
  <c r="BF82" i="46"/>
  <c r="BE82" i="46"/>
  <c r="BD82" i="46"/>
  <c r="BC82" i="46"/>
  <c r="BB82" i="46"/>
  <c r="BA82" i="46"/>
  <c r="AZ82" i="46"/>
  <c r="AY82" i="46"/>
  <c r="AX82" i="46"/>
  <c r="AW82" i="46"/>
  <c r="AV82" i="46"/>
  <c r="AU82" i="46"/>
  <c r="AT82" i="46"/>
  <c r="AS82" i="46"/>
  <c r="AR82" i="46"/>
  <c r="AQ82" i="46"/>
  <c r="AP82" i="46"/>
  <c r="AO82" i="46"/>
  <c r="AN82" i="46"/>
  <c r="AM82" i="46"/>
  <c r="BP80" i="46"/>
  <c r="BO80" i="46"/>
  <c r="BN80" i="46"/>
  <c r="BM80" i="46"/>
  <c r="BL80" i="46"/>
  <c r="BK80" i="46"/>
  <c r="BJ80" i="46"/>
  <c r="BI80" i="46"/>
  <c r="BH80" i="46"/>
  <c r="BG80" i="46"/>
  <c r="BF80" i="46"/>
  <c r="BE80" i="46"/>
  <c r="BD80" i="46"/>
  <c r="BC80" i="46"/>
  <c r="BB80" i="46"/>
  <c r="BA80" i="46"/>
  <c r="AZ80" i="46"/>
  <c r="AY80" i="46"/>
  <c r="AX80" i="46"/>
  <c r="AW80" i="46"/>
  <c r="AV80" i="46"/>
  <c r="AU80" i="46"/>
  <c r="AT80" i="46"/>
  <c r="AS80" i="46"/>
  <c r="AR80" i="46"/>
  <c r="AQ80" i="46"/>
  <c r="AP80" i="46"/>
  <c r="AO80" i="46"/>
  <c r="AN80" i="46"/>
  <c r="AM80" i="46"/>
  <c r="BP78" i="46"/>
  <c r="BO78" i="46"/>
  <c r="BN78" i="46"/>
  <c r="BM78" i="46"/>
  <c r="BL78" i="46"/>
  <c r="BK78" i="46"/>
  <c r="BJ78" i="46"/>
  <c r="BI78" i="46"/>
  <c r="BH78" i="46"/>
  <c r="BG78" i="46"/>
  <c r="BF78" i="46"/>
  <c r="BE78" i="46"/>
  <c r="BD78" i="46"/>
  <c r="BC78" i="46"/>
  <c r="BB78" i="46"/>
  <c r="BA78" i="46"/>
  <c r="AZ78" i="46"/>
  <c r="AY78" i="46"/>
  <c r="AX78" i="46"/>
  <c r="AW78" i="46"/>
  <c r="AV78" i="46"/>
  <c r="AU78" i="46"/>
  <c r="AT78" i="46"/>
  <c r="AS78" i="46"/>
  <c r="AR78" i="46"/>
  <c r="AQ78" i="46"/>
  <c r="AP78" i="46"/>
  <c r="AO78" i="46"/>
  <c r="AN78" i="46"/>
  <c r="AM78" i="46"/>
  <c r="BP74" i="46"/>
  <c r="BO74" i="46"/>
  <c r="BN74" i="46"/>
  <c r="BM74" i="46"/>
  <c r="BL74" i="46"/>
  <c r="BK74" i="46"/>
  <c r="BJ74" i="46"/>
  <c r="BI74" i="46"/>
  <c r="BH74" i="46"/>
  <c r="BG74" i="46"/>
  <c r="BF74" i="46"/>
  <c r="BE74" i="46"/>
  <c r="BD74" i="46"/>
  <c r="BC74" i="46"/>
  <c r="BB74" i="46"/>
  <c r="BA74" i="46"/>
  <c r="AZ74" i="46"/>
  <c r="AY74" i="46"/>
  <c r="AX74" i="46"/>
  <c r="AW74" i="46"/>
  <c r="AV74" i="46"/>
  <c r="AU74" i="46"/>
  <c r="AT74" i="46"/>
  <c r="AS74" i="46"/>
  <c r="AR74" i="46"/>
  <c r="AQ74" i="46"/>
  <c r="AP74" i="46"/>
  <c r="AO74" i="46"/>
  <c r="AN74" i="46"/>
  <c r="AM74" i="46"/>
  <c r="BP72" i="46"/>
  <c r="BO72" i="46"/>
  <c r="BN72" i="46"/>
  <c r="BM72" i="46"/>
  <c r="BL72" i="46"/>
  <c r="BK72" i="46"/>
  <c r="BJ72" i="46"/>
  <c r="BI72" i="46"/>
  <c r="BH72" i="46"/>
  <c r="BG72" i="46"/>
  <c r="BF72" i="46"/>
  <c r="BE72" i="46"/>
  <c r="BD72" i="46"/>
  <c r="BC72" i="46"/>
  <c r="BB72" i="46"/>
  <c r="BA72" i="46"/>
  <c r="AZ72" i="46"/>
  <c r="AY72" i="46"/>
  <c r="AX72" i="46"/>
  <c r="AW72" i="46"/>
  <c r="AV72" i="46"/>
  <c r="AU72" i="46"/>
  <c r="AT72" i="46"/>
  <c r="AS72" i="46"/>
  <c r="AR72" i="46"/>
  <c r="AQ72" i="46"/>
  <c r="AP72" i="46"/>
  <c r="AO72" i="46"/>
  <c r="AN72" i="46"/>
  <c r="AM72" i="46"/>
  <c r="BP70" i="46"/>
  <c r="BO70" i="46"/>
  <c r="BN70" i="46"/>
  <c r="BM70" i="46"/>
  <c r="BL70" i="46"/>
  <c r="BK70" i="46"/>
  <c r="BJ70" i="46"/>
  <c r="BI70" i="46"/>
  <c r="BH70" i="46"/>
  <c r="BG70" i="46"/>
  <c r="BF70" i="46"/>
  <c r="BE70" i="46"/>
  <c r="BD70" i="46"/>
  <c r="BC70" i="46"/>
  <c r="BB70" i="46"/>
  <c r="BA70" i="46"/>
  <c r="AZ70" i="46"/>
  <c r="AY70" i="46"/>
  <c r="AX70" i="46"/>
  <c r="AW70" i="46"/>
  <c r="AV70" i="46"/>
  <c r="AU70" i="46"/>
  <c r="AT70" i="46"/>
  <c r="AS70" i="46"/>
  <c r="AR70" i="46"/>
  <c r="AQ70" i="46"/>
  <c r="AP70" i="46"/>
  <c r="AO70" i="46"/>
  <c r="AN70" i="46"/>
  <c r="AM70" i="46"/>
  <c r="BP66" i="46"/>
  <c r="BO66" i="46"/>
  <c r="BN66" i="46"/>
  <c r="BM66" i="46"/>
  <c r="BL66" i="46"/>
  <c r="BK66" i="46"/>
  <c r="BJ66" i="46"/>
  <c r="BI66" i="46"/>
  <c r="BH66" i="46"/>
  <c r="BG66" i="46"/>
  <c r="BF66" i="46"/>
  <c r="BE66" i="46"/>
  <c r="BD66" i="46"/>
  <c r="BC66" i="46"/>
  <c r="BB66" i="46"/>
  <c r="BA66" i="46"/>
  <c r="AZ66" i="46"/>
  <c r="AY66" i="46"/>
  <c r="AX66" i="46"/>
  <c r="AW66" i="46"/>
  <c r="AV66" i="46"/>
  <c r="AU66" i="46"/>
  <c r="AT66" i="46"/>
  <c r="AS66" i="46"/>
  <c r="AR66" i="46"/>
  <c r="AQ66" i="46"/>
  <c r="AP66" i="46"/>
  <c r="AO66" i="46"/>
  <c r="AN66" i="46"/>
  <c r="AM66" i="46"/>
  <c r="BP64" i="46"/>
  <c r="BO64" i="46"/>
  <c r="BN64" i="46"/>
  <c r="BM64" i="46"/>
  <c r="BL64" i="46"/>
  <c r="BK64" i="46"/>
  <c r="BJ64" i="46"/>
  <c r="BI64" i="46"/>
  <c r="BH64" i="46"/>
  <c r="BG64" i="46"/>
  <c r="BF64" i="46"/>
  <c r="BE64" i="46"/>
  <c r="BD64" i="46"/>
  <c r="BC64" i="46"/>
  <c r="BB64" i="46"/>
  <c r="BA64" i="46"/>
  <c r="AZ64" i="46"/>
  <c r="AY64" i="46"/>
  <c r="AX64" i="46"/>
  <c r="AW64" i="46"/>
  <c r="AV64" i="46"/>
  <c r="AU64" i="46"/>
  <c r="AT64" i="46"/>
  <c r="AS64" i="46"/>
  <c r="AR64" i="46"/>
  <c r="AQ64" i="46"/>
  <c r="AP64" i="46"/>
  <c r="AO64" i="46"/>
  <c r="AN64" i="46"/>
  <c r="AM64" i="46"/>
  <c r="BP62" i="46"/>
  <c r="BO62" i="46"/>
  <c r="BN62" i="46"/>
  <c r="BM62" i="46"/>
  <c r="BL62" i="46"/>
  <c r="BK62" i="46"/>
  <c r="BJ62" i="46"/>
  <c r="BI62" i="46"/>
  <c r="BH62" i="46"/>
  <c r="BG62" i="46"/>
  <c r="BF62" i="46"/>
  <c r="BE62" i="46"/>
  <c r="BD62" i="46"/>
  <c r="BC62" i="46"/>
  <c r="BB62" i="46"/>
  <c r="BA62" i="46"/>
  <c r="AZ62" i="46"/>
  <c r="AY62" i="46"/>
  <c r="AX62" i="46"/>
  <c r="AW62" i="46"/>
  <c r="AV62" i="46"/>
  <c r="AU62" i="46"/>
  <c r="AT62" i="46"/>
  <c r="AS62" i="46"/>
  <c r="AR62" i="46"/>
  <c r="AQ62" i="46"/>
  <c r="AP62" i="46"/>
  <c r="AO62" i="46"/>
  <c r="AN62" i="46"/>
  <c r="AM62" i="46"/>
  <c r="BP60" i="46"/>
  <c r="BO60" i="46"/>
  <c r="BN60" i="46"/>
  <c r="BM60" i="46"/>
  <c r="BL60" i="46"/>
  <c r="BK60" i="46"/>
  <c r="BJ60" i="46"/>
  <c r="BI60" i="46"/>
  <c r="BH60" i="46"/>
  <c r="BG60" i="46"/>
  <c r="BF60" i="46"/>
  <c r="BE60" i="46"/>
  <c r="BD60" i="46"/>
  <c r="BC60" i="46"/>
  <c r="BB60" i="46"/>
  <c r="BA60" i="46"/>
  <c r="AZ60" i="46"/>
  <c r="AY60" i="46"/>
  <c r="AX60" i="46"/>
  <c r="AW60" i="46"/>
  <c r="AV60" i="46"/>
  <c r="AU60" i="46"/>
  <c r="AT60" i="46"/>
  <c r="AS60" i="46"/>
  <c r="AR60" i="46"/>
  <c r="AQ60" i="46"/>
  <c r="AP60" i="46"/>
  <c r="AO60" i="46"/>
  <c r="AN60" i="46"/>
  <c r="AM60" i="46"/>
  <c r="BP58" i="46"/>
  <c r="BO58" i="46"/>
  <c r="BN58" i="46"/>
  <c r="BM58" i="46"/>
  <c r="BL58" i="46"/>
  <c r="BK58" i="46"/>
  <c r="BJ58" i="46"/>
  <c r="BI58" i="46"/>
  <c r="BH58" i="46"/>
  <c r="BG58" i="46"/>
  <c r="BF58" i="46"/>
  <c r="BE58" i="46"/>
  <c r="BD58" i="46"/>
  <c r="BC58" i="46"/>
  <c r="BB58" i="46"/>
  <c r="BA58" i="46"/>
  <c r="AZ58" i="46"/>
  <c r="AY58" i="46"/>
  <c r="AX58" i="46"/>
  <c r="AW58" i="46"/>
  <c r="AV58" i="46"/>
  <c r="AU58" i="46"/>
  <c r="AT58" i="46"/>
  <c r="AS58" i="46"/>
  <c r="AR58" i="46"/>
  <c r="AQ58" i="46"/>
  <c r="AP58" i="46"/>
  <c r="AO58" i="46"/>
  <c r="AN58" i="46"/>
  <c r="AM58" i="46"/>
  <c r="BP56" i="46"/>
  <c r="BO56" i="46"/>
  <c r="BN56" i="46"/>
  <c r="BM56" i="46"/>
  <c r="BL56" i="46"/>
  <c r="BK56" i="46"/>
  <c r="BJ56" i="46"/>
  <c r="BI56" i="46"/>
  <c r="BH56" i="46"/>
  <c r="BG56" i="46"/>
  <c r="BF56" i="46"/>
  <c r="BE56" i="46"/>
  <c r="BD56" i="46"/>
  <c r="BC56" i="46"/>
  <c r="BB56" i="46"/>
  <c r="BA56" i="46"/>
  <c r="AZ56" i="46"/>
  <c r="AY56" i="46"/>
  <c r="AX56" i="46"/>
  <c r="AW56" i="46"/>
  <c r="AV56" i="46"/>
  <c r="AU56" i="46"/>
  <c r="AT56" i="46"/>
  <c r="AS56" i="46"/>
  <c r="AR56" i="46"/>
  <c r="AQ56" i="46"/>
  <c r="AP56" i="46"/>
  <c r="AO56" i="46"/>
  <c r="AN56" i="46"/>
  <c r="AM56" i="46"/>
  <c r="BP54" i="46"/>
  <c r="BO54" i="46"/>
  <c r="BN54" i="46"/>
  <c r="BM54" i="46"/>
  <c r="BL54" i="46"/>
  <c r="BK54" i="46"/>
  <c r="BJ54" i="46"/>
  <c r="BI54" i="46"/>
  <c r="BH54" i="46"/>
  <c r="BG54" i="46"/>
  <c r="BF54" i="46"/>
  <c r="BE54" i="46"/>
  <c r="BD54" i="46"/>
  <c r="BC54" i="46"/>
  <c r="BB54" i="46"/>
  <c r="BA54" i="46"/>
  <c r="AZ54" i="46"/>
  <c r="AY54" i="46"/>
  <c r="AX54" i="46"/>
  <c r="AW54" i="46"/>
  <c r="AV54" i="46"/>
  <c r="AU54" i="46"/>
  <c r="AT54" i="46"/>
  <c r="AS54" i="46"/>
  <c r="AR54" i="46"/>
  <c r="AQ54" i="46"/>
  <c r="AP54" i="46"/>
  <c r="AO54" i="46"/>
  <c r="AN54" i="46"/>
  <c r="AM54" i="46"/>
  <c r="BP52" i="46"/>
  <c r="BO52" i="46"/>
  <c r="BN52" i="46"/>
  <c r="BM52" i="46"/>
  <c r="BL52" i="46"/>
  <c r="BK52" i="46"/>
  <c r="BJ52" i="46"/>
  <c r="BI52" i="46"/>
  <c r="BH52" i="46"/>
  <c r="BG52" i="46"/>
  <c r="BF52" i="46"/>
  <c r="BE52" i="46"/>
  <c r="BD52" i="46"/>
  <c r="BC52" i="46"/>
  <c r="BB52" i="46"/>
  <c r="BA52" i="46"/>
  <c r="AZ52" i="46"/>
  <c r="AY52" i="46"/>
  <c r="AX52" i="46"/>
  <c r="AW52" i="46"/>
  <c r="AV52" i="46"/>
  <c r="AU52" i="46"/>
  <c r="AT52" i="46"/>
  <c r="AS52" i="46"/>
  <c r="AR52" i="46"/>
  <c r="AQ52" i="46"/>
  <c r="AP52" i="46"/>
  <c r="AO52" i="46"/>
  <c r="AN52" i="46"/>
  <c r="AM52" i="46"/>
  <c r="BP50" i="46"/>
  <c r="BO50" i="46"/>
  <c r="BN50" i="46"/>
  <c r="BM50" i="46"/>
  <c r="BL50" i="46"/>
  <c r="BK50" i="46"/>
  <c r="BJ50" i="46"/>
  <c r="BI50" i="46"/>
  <c r="BH50" i="46"/>
  <c r="BG50" i="46"/>
  <c r="BF50" i="46"/>
  <c r="BE50" i="46"/>
  <c r="BD50" i="46"/>
  <c r="BC50" i="46"/>
  <c r="BB50" i="46"/>
  <c r="BA50" i="46"/>
  <c r="AZ50" i="46"/>
  <c r="AY50" i="46"/>
  <c r="AX50" i="46"/>
  <c r="AW50" i="46"/>
  <c r="AV50" i="46"/>
  <c r="AU50" i="46"/>
  <c r="AT50" i="46"/>
  <c r="AS50" i="46"/>
  <c r="AR50" i="46"/>
  <c r="AQ50" i="46"/>
  <c r="AP50" i="46"/>
  <c r="AO50" i="46"/>
  <c r="AN50" i="46"/>
  <c r="AM50" i="46"/>
  <c r="BP48" i="46"/>
  <c r="BO48" i="46"/>
  <c r="BN48" i="46"/>
  <c r="BM48" i="46"/>
  <c r="BL48" i="46"/>
  <c r="BK48" i="46"/>
  <c r="BJ48" i="46"/>
  <c r="BI48" i="46"/>
  <c r="BH48" i="46"/>
  <c r="BG48" i="46"/>
  <c r="BF48" i="46"/>
  <c r="BE48" i="46"/>
  <c r="BD48" i="46"/>
  <c r="BC48" i="46"/>
  <c r="BB48" i="46"/>
  <c r="BA48" i="46"/>
  <c r="AZ48" i="46"/>
  <c r="AY48" i="46"/>
  <c r="AX48" i="46"/>
  <c r="AW48" i="46"/>
  <c r="AV48" i="46"/>
  <c r="AU48" i="46"/>
  <c r="AT48" i="46"/>
  <c r="AS48" i="46"/>
  <c r="AR48" i="46"/>
  <c r="AQ48" i="46"/>
  <c r="AP48" i="46"/>
  <c r="AO48" i="46"/>
  <c r="AN48" i="46"/>
  <c r="AM48" i="46"/>
  <c r="BP46" i="46"/>
  <c r="BO46" i="46"/>
  <c r="BN46" i="46"/>
  <c r="BM46" i="46"/>
  <c r="BL46" i="46"/>
  <c r="BK46" i="46"/>
  <c r="BJ46" i="46"/>
  <c r="BI46" i="46"/>
  <c r="BH46" i="46"/>
  <c r="BG46" i="46"/>
  <c r="BF46" i="46"/>
  <c r="BE46" i="46"/>
  <c r="BD46" i="46"/>
  <c r="BC46" i="46"/>
  <c r="BB46" i="46"/>
  <c r="BA46" i="46"/>
  <c r="AZ46" i="46"/>
  <c r="AY46" i="46"/>
  <c r="AX46" i="46"/>
  <c r="AW46" i="46"/>
  <c r="AV46" i="46"/>
  <c r="AU46" i="46"/>
  <c r="AT46" i="46"/>
  <c r="AS46" i="46"/>
  <c r="AR46" i="46"/>
  <c r="AQ46" i="46"/>
  <c r="AP46" i="46"/>
  <c r="AO46" i="46"/>
  <c r="AN46" i="46"/>
  <c r="AM46" i="46"/>
  <c r="BP44" i="46"/>
  <c r="BO44" i="46"/>
  <c r="BN44" i="46"/>
  <c r="BM44" i="46"/>
  <c r="BL44" i="46"/>
  <c r="BK44" i="46"/>
  <c r="BJ44" i="46"/>
  <c r="BI44" i="46"/>
  <c r="BH44" i="46"/>
  <c r="BG44" i="46"/>
  <c r="BF44" i="46"/>
  <c r="BE44" i="46"/>
  <c r="BD44" i="46"/>
  <c r="BC44" i="46"/>
  <c r="BB44" i="46"/>
  <c r="BA44" i="46"/>
  <c r="AZ44" i="46"/>
  <c r="AY44" i="46"/>
  <c r="AX44" i="46"/>
  <c r="AW44" i="46"/>
  <c r="AV44" i="46"/>
  <c r="AU44" i="46"/>
  <c r="AT44" i="46"/>
  <c r="AS44" i="46"/>
  <c r="AR44" i="46"/>
  <c r="AQ44" i="46"/>
  <c r="AP44" i="46"/>
  <c r="AO44" i="46"/>
  <c r="AN44" i="46"/>
  <c r="AM44" i="46"/>
  <c r="BP42" i="46"/>
  <c r="BO42" i="46"/>
  <c r="BN42" i="46"/>
  <c r="BM42" i="46"/>
  <c r="BL42" i="46"/>
  <c r="BK42" i="46"/>
  <c r="BJ42" i="46"/>
  <c r="BI42" i="46"/>
  <c r="BH42" i="46"/>
  <c r="BG42" i="46"/>
  <c r="BF42" i="46"/>
  <c r="BE42" i="46"/>
  <c r="BD42" i="46"/>
  <c r="BC42" i="46"/>
  <c r="BB42" i="46"/>
  <c r="BA42" i="46"/>
  <c r="AZ42" i="46"/>
  <c r="AY42" i="46"/>
  <c r="AX42" i="46"/>
  <c r="AW42" i="46"/>
  <c r="AV42" i="46"/>
  <c r="AU42" i="46"/>
  <c r="AT42" i="46"/>
  <c r="AS42" i="46"/>
  <c r="AR42" i="46"/>
  <c r="AQ42" i="46"/>
  <c r="AP42" i="46"/>
  <c r="AO42" i="46"/>
  <c r="AN42" i="46"/>
  <c r="AM42" i="46"/>
  <c r="BP40" i="46"/>
  <c r="BO40" i="46"/>
  <c r="BN40" i="46"/>
  <c r="BM40" i="46"/>
  <c r="BL40" i="46"/>
  <c r="BK40" i="46"/>
  <c r="BJ40" i="46"/>
  <c r="BI40" i="46"/>
  <c r="BH40" i="46"/>
  <c r="BG40" i="46"/>
  <c r="BF40" i="46"/>
  <c r="BE40" i="46"/>
  <c r="BD40" i="46"/>
  <c r="BC40" i="46"/>
  <c r="BB40" i="46"/>
  <c r="BA40" i="46"/>
  <c r="AZ40" i="46"/>
  <c r="AY40" i="46"/>
  <c r="AX40" i="46"/>
  <c r="AW40" i="46"/>
  <c r="AV40" i="46"/>
  <c r="AU40" i="46"/>
  <c r="AT40" i="46"/>
  <c r="AS40" i="46"/>
  <c r="AR40" i="46"/>
  <c r="AQ40" i="46"/>
  <c r="AP40" i="46"/>
  <c r="AO40" i="46"/>
  <c r="AN40" i="46"/>
  <c r="AM40" i="46"/>
  <c r="CH38" i="46"/>
  <c r="CG38" i="46"/>
  <c r="CF38" i="46"/>
  <c r="CE38" i="46"/>
  <c r="CD38" i="46"/>
  <c r="CC38" i="46"/>
  <c r="CB38" i="46"/>
  <c r="CA38" i="46"/>
  <c r="BL92" i="46" s="1"/>
  <c r="BZ38" i="46"/>
  <c r="BY38" i="46"/>
  <c r="BX38" i="46"/>
  <c r="BW38" i="46"/>
  <c r="BV38" i="46"/>
  <c r="BP38" i="46"/>
  <c r="BO38" i="46"/>
  <c r="BN38" i="46"/>
  <c r="BM38" i="46"/>
  <c r="BL38" i="46"/>
  <c r="BK38" i="46"/>
  <c r="BJ38" i="46"/>
  <c r="BI38" i="46"/>
  <c r="BH38" i="46"/>
  <c r="BG38" i="46"/>
  <c r="BF38" i="46"/>
  <c r="BE38" i="46"/>
  <c r="BD38" i="46"/>
  <c r="BC38" i="46"/>
  <c r="BB38" i="46"/>
  <c r="BA38" i="46"/>
  <c r="AZ38" i="46"/>
  <c r="AY38" i="46"/>
  <c r="AX38" i="46"/>
  <c r="AW38" i="46"/>
  <c r="AV38" i="46"/>
  <c r="AU38" i="46"/>
  <c r="AT38" i="46"/>
  <c r="AS38" i="46"/>
  <c r="AR38" i="46"/>
  <c r="AQ38" i="46"/>
  <c r="AP38" i="46"/>
  <c r="AO38" i="46"/>
  <c r="AN38" i="46"/>
  <c r="AM38" i="46"/>
  <c r="BP36" i="46"/>
  <c r="BO36" i="46"/>
  <c r="BN36" i="46"/>
  <c r="BM36" i="46"/>
  <c r="BL36" i="46"/>
  <c r="BK36" i="46"/>
  <c r="BJ36" i="46"/>
  <c r="BI36" i="46"/>
  <c r="BH36" i="46"/>
  <c r="BG36" i="46"/>
  <c r="BF36" i="46"/>
  <c r="BE36" i="46"/>
  <c r="BD36" i="46"/>
  <c r="BC36" i="46"/>
  <c r="BB36" i="46"/>
  <c r="BA36" i="46"/>
  <c r="AZ36" i="46"/>
  <c r="AY36" i="46"/>
  <c r="AX36" i="46"/>
  <c r="AW36" i="46"/>
  <c r="AV36" i="46"/>
  <c r="AU36" i="46"/>
  <c r="AT36" i="46"/>
  <c r="AS36" i="46"/>
  <c r="AR36" i="46"/>
  <c r="AQ36" i="46"/>
  <c r="AP36" i="46"/>
  <c r="AO36" i="46"/>
  <c r="AN36" i="46"/>
  <c r="AM36" i="46"/>
  <c r="BO34" i="46"/>
  <c r="BM34" i="46"/>
  <c r="BL34" i="46"/>
  <c r="BK34" i="46"/>
  <c r="BJ34" i="46"/>
  <c r="BG34" i="46"/>
  <c r="BE34" i="46"/>
  <c r="BD34" i="46"/>
  <c r="BC34" i="46"/>
  <c r="BB34" i="46"/>
  <c r="AY34" i="46"/>
  <c r="AW34" i="46"/>
  <c r="AV34" i="46"/>
  <c r="AU34" i="46"/>
  <c r="AT34" i="46"/>
  <c r="AQ34" i="46"/>
  <c r="AP34" i="46"/>
  <c r="AO34" i="46"/>
  <c r="AN34" i="46"/>
  <c r="AM34" i="46"/>
  <c r="BP32" i="46"/>
  <c r="BO32" i="46"/>
  <c r="BN32" i="46"/>
  <c r="BM32" i="46"/>
  <c r="BL32" i="46"/>
  <c r="BK32" i="46"/>
  <c r="BJ32" i="46"/>
  <c r="BI32" i="46"/>
  <c r="BH32" i="46"/>
  <c r="BG32" i="46"/>
  <c r="BF32" i="46"/>
  <c r="BE32" i="46"/>
  <c r="BD32" i="46"/>
  <c r="BC32" i="46"/>
  <c r="BB32" i="46"/>
  <c r="BA32" i="46"/>
  <c r="AZ32" i="46"/>
  <c r="AY32" i="46"/>
  <c r="AX32" i="46"/>
  <c r="AW32" i="46"/>
  <c r="AV32" i="46"/>
  <c r="AU32" i="46"/>
  <c r="AT32" i="46"/>
  <c r="AS32" i="46"/>
  <c r="AR32" i="46"/>
  <c r="AQ32" i="46"/>
  <c r="AP32" i="46"/>
  <c r="AO32" i="46"/>
  <c r="AN32" i="46"/>
  <c r="AM32" i="46"/>
  <c r="BY30" i="46"/>
  <c r="BX30" i="46"/>
  <c r="BW30" i="46"/>
  <c r="BV30" i="46"/>
  <c r="BP30" i="46"/>
  <c r="BO30" i="46"/>
  <c r="BN30" i="46"/>
  <c r="BM30" i="46"/>
  <c r="BL30" i="46"/>
  <c r="BK30" i="46"/>
  <c r="BJ30" i="46"/>
  <c r="BI30" i="46"/>
  <c r="BH30" i="46"/>
  <c r="BG30" i="46"/>
  <c r="BF30" i="46"/>
  <c r="BE30" i="46"/>
  <c r="BD30" i="46"/>
  <c r="BC30" i="46"/>
  <c r="BB30" i="46"/>
  <c r="BA30" i="46"/>
  <c r="AZ30" i="46"/>
  <c r="AY30" i="46"/>
  <c r="AX30" i="46"/>
  <c r="AW30" i="46"/>
  <c r="AV30" i="46"/>
  <c r="AU30" i="46"/>
  <c r="AT30" i="46"/>
  <c r="AS30" i="46"/>
  <c r="AR30" i="46"/>
  <c r="AQ30" i="46"/>
  <c r="AP30" i="46"/>
  <c r="AO30" i="46"/>
  <c r="AN30" i="46"/>
  <c r="AM30" i="46"/>
  <c r="BV29" i="46"/>
  <c r="BY28" i="46"/>
  <c r="BX28" i="46"/>
  <c r="BW28" i="46"/>
  <c r="BV28" i="46"/>
  <c r="BP28" i="46"/>
  <c r="BO28" i="46"/>
  <c r="BN28" i="46"/>
  <c r="BM28" i="46"/>
  <c r="BL28" i="46"/>
  <c r="BK28" i="46"/>
  <c r="BJ28" i="46"/>
  <c r="BI28" i="46"/>
  <c r="BH28" i="46"/>
  <c r="BG28" i="46"/>
  <c r="BF28" i="46"/>
  <c r="BE28" i="46"/>
  <c r="BD28" i="46"/>
  <c r="BC28" i="46"/>
  <c r="BB28" i="46"/>
  <c r="BA28" i="46"/>
  <c r="AZ28" i="46"/>
  <c r="AY28" i="46"/>
  <c r="AX28" i="46"/>
  <c r="AW28" i="46"/>
  <c r="AV28" i="46"/>
  <c r="AU28" i="46"/>
  <c r="AT28" i="46"/>
  <c r="AS28" i="46"/>
  <c r="AR28" i="46"/>
  <c r="AQ28" i="46"/>
  <c r="AP28" i="46"/>
  <c r="AO28" i="46"/>
  <c r="AN28" i="46"/>
  <c r="AM28" i="46"/>
  <c r="BV27" i="46"/>
  <c r="BY26" i="46"/>
  <c r="BY32" i="46" s="1"/>
  <c r="AP92" i="46" s="1"/>
  <c r="U6" i="46" s="1"/>
  <c r="BX26" i="46"/>
  <c r="BX32" i="46" s="1"/>
  <c r="BW26" i="46"/>
  <c r="BW32" i="46" s="1"/>
  <c r="BV26" i="46"/>
  <c r="BV32" i="46" s="1"/>
  <c r="BP26" i="46"/>
  <c r="BO26" i="46"/>
  <c r="BN26" i="46"/>
  <c r="BM26" i="46"/>
  <c r="BL26" i="46"/>
  <c r="BK26" i="46"/>
  <c r="BJ26" i="46"/>
  <c r="BI26" i="46"/>
  <c r="BH26" i="46"/>
  <c r="BG26" i="46"/>
  <c r="BF26" i="46"/>
  <c r="BE26" i="46"/>
  <c r="BD26" i="46"/>
  <c r="BC26" i="46"/>
  <c r="BB26" i="46"/>
  <c r="BA26" i="46"/>
  <c r="AZ26" i="46"/>
  <c r="AY26" i="46"/>
  <c r="AX26" i="46"/>
  <c r="AW26" i="46"/>
  <c r="AV26" i="46"/>
  <c r="AU26" i="46"/>
  <c r="AT26" i="46"/>
  <c r="AS26" i="46"/>
  <c r="AR26" i="46"/>
  <c r="AQ26" i="46"/>
  <c r="AP26" i="46"/>
  <c r="AO26" i="46"/>
  <c r="AN26" i="46"/>
  <c r="AM26" i="46"/>
  <c r="BP24" i="46"/>
  <c r="BO24" i="46"/>
  <c r="BN24" i="46"/>
  <c r="BM24" i="46"/>
  <c r="BL24" i="46"/>
  <c r="BK24" i="46"/>
  <c r="BJ24" i="46"/>
  <c r="BI24" i="46"/>
  <c r="BH24" i="46"/>
  <c r="BG24" i="46"/>
  <c r="BF24" i="46"/>
  <c r="BE24" i="46"/>
  <c r="BD24" i="46"/>
  <c r="BC24" i="46"/>
  <c r="BB24" i="46"/>
  <c r="BA24" i="46"/>
  <c r="AZ24" i="46"/>
  <c r="AY24" i="46"/>
  <c r="AX24" i="46"/>
  <c r="AW24" i="46"/>
  <c r="AV24" i="46"/>
  <c r="AU24" i="46"/>
  <c r="AT24" i="46"/>
  <c r="AS24" i="46"/>
  <c r="AR24" i="46"/>
  <c r="AQ24" i="46"/>
  <c r="AP24" i="46"/>
  <c r="AO24" i="46"/>
  <c r="AN24" i="46"/>
  <c r="AM24" i="46"/>
  <c r="BP22" i="46"/>
  <c r="BO22" i="46"/>
  <c r="BN22" i="46"/>
  <c r="BM22" i="46"/>
  <c r="BL22" i="46"/>
  <c r="BK22" i="46"/>
  <c r="BJ22" i="46"/>
  <c r="BI22" i="46"/>
  <c r="BH22" i="46"/>
  <c r="BG22" i="46"/>
  <c r="BF22" i="46"/>
  <c r="BE22" i="46"/>
  <c r="BD22" i="46"/>
  <c r="BC22" i="46"/>
  <c r="BB22" i="46"/>
  <c r="BA22" i="46"/>
  <c r="AZ22" i="46"/>
  <c r="AY22" i="46"/>
  <c r="AX22" i="46"/>
  <c r="AW22" i="46"/>
  <c r="AV22" i="46"/>
  <c r="AU22" i="46"/>
  <c r="AT22" i="46"/>
  <c r="AS22" i="46"/>
  <c r="AR22" i="46"/>
  <c r="AQ22" i="46"/>
  <c r="AP22" i="46"/>
  <c r="AO22" i="46"/>
  <c r="AN22" i="46"/>
  <c r="AM22" i="46"/>
  <c r="BV20" i="46"/>
  <c r="BP20" i="46"/>
  <c r="BO20" i="46"/>
  <c r="BN20" i="46"/>
  <c r="BM20" i="46"/>
  <c r="BL20" i="46"/>
  <c r="BK20" i="46"/>
  <c r="BJ20" i="46"/>
  <c r="BI20" i="46"/>
  <c r="BH20" i="46"/>
  <c r="BG20" i="46"/>
  <c r="BF20" i="46"/>
  <c r="BE20" i="46"/>
  <c r="BD20" i="46"/>
  <c r="BC20" i="46"/>
  <c r="BB20" i="46"/>
  <c r="BA20" i="46"/>
  <c r="AZ20" i="46"/>
  <c r="AY20" i="46"/>
  <c r="AX20" i="46"/>
  <c r="AW20" i="46"/>
  <c r="AV20" i="46"/>
  <c r="AU20" i="46"/>
  <c r="AT20" i="46"/>
  <c r="AS20" i="46"/>
  <c r="AR20" i="46"/>
  <c r="AQ20" i="46"/>
  <c r="AP20" i="46"/>
  <c r="AO20" i="46"/>
  <c r="AN20" i="46"/>
  <c r="AM20" i="46"/>
  <c r="BP18" i="46"/>
  <c r="BO18" i="46"/>
  <c r="BO92" i="46" s="1"/>
  <c r="BN18" i="46"/>
  <c r="BM18" i="46"/>
  <c r="BL18" i="46"/>
  <c r="BK18" i="46"/>
  <c r="BJ18" i="46"/>
  <c r="BI18" i="46"/>
  <c r="BH18" i="46"/>
  <c r="BG18" i="46"/>
  <c r="BG92" i="46" s="1"/>
  <c r="F205" i="46" s="1"/>
  <c r="BF18" i="46"/>
  <c r="BE18" i="46"/>
  <c r="BD18" i="46"/>
  <c r="BC18" i="46"/>
  <c r="BB18" i="46"/>
  <c r="BA18" i="46"/>
  <c r="AZ18" i="46"/>
  <c r="AY18" i="46"/>
  <c r="AY92" i="46" s="1"/>
  <c r="F198" i="46" s="1"/>
  <c r="AX18" i="46"/>
  <c r="AW18" i="46"/>
  <c r="AV18" i="46"/>
  <c r="AU18" i="46"/>
  <c r="AT18" i="46"/>
  <c r="AS18" i="46"/>
  <c r="AR18" i="46"/>
  <c r="AQ18" i="46"/>
  <c r="AQ92" i="46" s="1"/>
  <c r="AA2" i="46" s="1"/>
  <c r="AP18" i="46"/>
  <c r="AO18" i="46"/>
  <c r="AN18" i="46"/>
  <c r="AM18" i="46"/>
  <c r="BP16" i="46"/>
  <c r="BO16" i="46"/>
  <c r="BN16" i="46"/>
  <c r="BM16" i="46"/>
  <c r="BL16" i="46"/>
  <c r="BK16" i="46"/>
  <c r="BK92" i="46" s="1"/>
  <c r="BJ16" i="46"/>
  <c r="BJ92" i="46" s="1"/>
  <c r="F195" i="46" s="1"/>
  <c r="BI16" i="46"/>
  <c r="BI92" i="46" s="1"/>
  <c r="F201" i="46" s="1"/>
  <c r="BH16" i="46"/>
  <c r="BG16" i="46"/>
  <c r="BF16" i="46"/>
  <c r="BE16" i="46"/>
  <c r="BE92" i="46" s="1"/>
  <c r="F196" i="46" s="1"/>
  <c r="BD16" i="46"/>
  <c r="BD92" i="46" s="1"/>
  <c r="F203" i="46" s="1"/>
  <c r="BC16" i="46"/>
  <c r="BC92" i="46" s="1"/>
  <c r="F202" i="46" s="1"/>
  <c r="BB16" i="46"/>
  <c r="BB92" i="46" s="1"/>
  <c r="F192" i="46" s="1"/>
  <c r="BA16" i="46"/>
  <c r="AZ16" i="46"/>
  <c r="AY16" i="46"/>
  <c r="AX16" i="46"/>
  <c r="AW16" i="46"/>
  <c r="AW92" i="46" s="1"/>
  <c r="F199" i="46" s="1"/>
  <c r="AV16" i="46"/>
  <c r="AV92" i="46" s="1"/>
  <c r="F206" i="46" s="1"/>
  <c r="AU16" i="46"/>
  <c r="AU92" i="46" s="1"/>
  <c r="AT16" i="46"/>
  <c r="AT92" i="46" s="1"/>
  <c r="U8" i="46" s="1"/>
  <c r="AP8" i="46" s="1"/>
  <c r="AS16" i="46"/>
  <c r="AR16" i="46"/>
  <c r="AQ16" i="46"/>
  <c r="AP16" i="46"/>
  <c r="AO16" i="46"/>
  <c r="AN16" i="46"/>
  <c r="AM16" i="46"/>
  <c r="D277" i="45"/>
  <c r="D276" i="45"/>
  <c r="D275" i="45"/>
  <c r="BI34" i="45" s="1"/>
  <c r="B275" i="45"/>
  <c r="Q273" i="45"/>
  <c r="O273" i="45"/>
  <c r="M273" i="45"/>
  <c r="AZ272" i="45"/>
  <c r="AY272" i="45"/>
  <c r="AW272" i="45"/>
  <c r="AV272" i="45"/>
  <c r="AN272" i="45"/>
  <c r="Q272" i="45"/>
  <c r="O272" i="45"/>
  <c r="M272" i="45"/>
  <c r="AZ271" i="45"/>
  <c r="AY271" i="45"/>
  <c r="AW271" i="45"/>
  <c r="AV271" i="45"/>
  <c r="Q271" i="45"/>
  <c r="O271" i="45"/>
  <c r="M271" i="45"/>
  <c r="AZ270" i="45"/>
  <c r="AY270" i="45"/>
  <c r="AW270" i="45"/>
  <c r="AV270" i="45"/>
  <c r="AN270" i="45"/>
  <c r="Q270" i="45"/>
  <c r="O270" i="45"/>
  <c r="M270" i="45"/>
  <c r="AZ269" i="45"/>
  <c r="AY269" i="45"/>
  <c r="AW269" i="45"/>
  <c r="AV269" i="45"/>
  <c r="Q269" i="45"/>
  <c r="O269" i="45"/>
  <c r="M269" i="45"/>
  <c r="AZ268" i="45"/>
  <c r="AY268" i="45"/>
  <c r="AW268" i="45"/>
  <c r="AV268" i="45"/>
  <c r="AN268" i="45"/>
  <c r="Q268" i="45"/>
  <c r="O268" i="45"/>
  <c r="M268" i="45"/>
  <c r="AZ267" i="45"/>
  <c r="AY267" i="45"/>
  <c r="AW267" i="45"/>
  <c r="AV267" i="45"/>
  <c r="Q267" i="45"/>
  <c r="O267" i="45"/>
  <c r="M267" i="45"/>
  <c r="AZ266" i="45"/>
  <c r="AY266" i="45"/>
  <c r="AW266" i="45"/>
  <c r="AV266" i="45"/>
  <c r="AN266" i="45"/>
  <c r="Q266" i="45"/>
  <c r="O266" i="45"/>
  <c r="M266" i="45"/>
  <c r="AZ265" i="45"/>
  <c r="AY265" i="45"/>
  <c r="AW265" i="45"/>
  <c r="AV265" i="45"/>
  <c r="Q265" i="45"/>
  <c r="O265" i="45"/>
  <c r="M265" i="45"/>
  <c r="AZ264" i="45"/>
  <c r="AY264" i="45"/>
  <c r="AW264" i="45"/>
  <c r="AV264" i="45"/>
  <c r="AN264" i="45"/>
  <c r="Q264" i="45"/>
  <c r="O264" i="45"/>
  <c r="M264" i="45"/>
  <c r="AZ263" i="45"/>
  <c r="AY263" i="45"/>
  <c r="AW263" i="45"/>
  <c r="AV263" i="45"/>
  <c r="Q263" i="45"/>
  <c r="O263" i="45"/>
  <c r="M263" i="45"/>
  <c r="AZ262" i="45"/>
  <c r="AY262" i="45"/>
  <c r="AW262" i="45"/>
  <c r="AV262" i="45"/>
  <c r="AN262" i="45"/>
  <c r="Q262" i="45"/>
  <c r="O262" i="45"/>
  <c r="M262" i="45"/>
  <c r="AZ261" i="45"/>
  <c r="AY261" i="45"/>
  <c r="AW261" i="45"/>
  <c r="Q261" i="45"/>
  <c r="O261" i="45"/>
  <c r="M261" i="45"/>
  <c r="AZ260" i="45"/>
  <c r="AY260" i="45"/>
  <c r="AW260" i="45"/>
  <c r="AV260" i="45"/>
  <c r="AN260" i="45"/>
  <c r="Q260" i="45"/>
  <c r="O260" i="45"/>
  <c r="M260" i="45"/>
  <c r="AZ259" i="45"/>
  <c r="AY259" i="45"/>
  <c r="AW259" i="45"/>
  <c r="AV259" i="45"/>
  <c r="Q259" i="45"/>
  <c r="O259" i="45"/>
  <c r="M259" i="45"/>
  <c r="AZ258" i="45"/>
  <c r="AW258" i="45"/>
  <c r="AV258" i="45"/>
  <c r="AN258" i="45"/>
  <c r="Q258" i="45"/>
  <c r="O258" i="45"/>
  <c r="M258" i="45"/>
  <c r="AZ257" i="45"/>
  <c r="Q257" i="45"/>
  <c r="O257" i="45"/>
  <c r="M257" i="45"/>
  <c r="AZ256" i="45"/>
  <c r="AN256" i="45"/>
  <c r="Q256" i="45"/>
  <c r="O256" i="45"/>
  <c r="M256" i="45"/>
  <c r="AZ255" i="45"/>
  <c r="AV255" i="45"/>
  <c r="Q255" i="45"/>
  <c r="O255" i="45"/>
  <c r="M255" i="45"/>
  <c r="AZ254" i="45"/>
  <c r="AY254" i="45"/>
  <c r="AN254" i="45"/>
  <c r="Q254" i="45"/>
  <c r="O254" i="45"/>
  <c r="M254" i="45"/>
  <c r="AZ253" i="45"/>
  <c r="AY253" i="45"/>
  <c r="AW253" i="45"/>
  <c r="AV253" i="45"/>
  <c r="Q253" i="45"/>
  <c r="O253" i="45"/>
  <c r="M253" i="45"/>
  <c r="AZ252" i="45"/>
  <c r="AY252" i="45"/>
  <c r="AW252" i="45"/>
  <c r="AV252" i="45"/>
  <c r="AN252" i="45"/>
  <c r="Q252" i="45"/>
  <c r="O252" i="45"/>
  <c r="M252" i="45"/>
  <c r="AZ251" i="45"/>
  <c r="AY251" i="45"/>
  <c r="AW251" i="45"/>
  <c r="AV251" i="45"/>
  <c r="Q251" i="45"/>
  <c r="O251" i="45"/>
  <c r="M251" i="45"/>
  <c r="AZ250" i="45"/>
  <c r="AY250" i="45"/>
  <c r="AW250" i="45"/>
  <c r="AV250" i="45"/>
  <c r="AN250" i="45"/>
  <c r="Q250" i="45"/>
  <c r="O250" i="45"/>
  <c r="M250" i="45"/>
  <c r="AZ249" i="45"/>
  <c r="AY249" i="45"/>
  <c r="AW249" i="45"/>
  <c r="AV249" i="45"/>
  <c r="Q249" i="45"/>
  <c r="O249" i="45"/>
  <c r="M249" i="45"/>
  <c r="AZ248" i="45"/>
  <c r="AY248" i="45"/>
  <c r="AW248" i="45"/>
  <c r="AV248" i="45"/>
  <c r="AN248" i="45"/>
  <c r="Q248" i="45"/>
  <c r="O248" i="45"/>
  <c r="M248" i="45"/>
  <c r="AZ247" i="45"/>
  <c r="AY247" i="45"/>
  <c r="AW247" i="45"/>
  <c r="AV247" i="45"/>
  <c r="Q247" i="45"/>
  <c r="O247" i="45"/>
  <c r="M247" i="45"/>
  <c r="AZ246" i="45"/>
  <c r="AY246" i="45"/>
  <c r="AW246" i="45"/>
  <c r="AV246" i="45"/>
  <c r="AN246" i="45"/>
  <c r="Q246" i="45"/>
  <c r="O246" i="45"/>
  <c r="M246" i="45"/>
  <c r="AZ245" i="45"/>
  <c r="AY245" i="45"/>
  <c r="AW245" i="45"/>
  <c r="AV245" i="45"/>
  <c r="Q245" i="45"/>
  <c r="O245" i="45"/>
  <c r="M245" i="45"/>
  <c r="AZ244" i="45"/>
  <c r="AY244" i="45"/>
  <c r="AW244" i="45"/>
  <c r="AV244" i="45"/>
  <c r="AN244" i="45"/>
  <c r="Q244" i="45"/>
  <c r="O244" i="45"/>
  <c r="M244" i="45"/>
  <c r="AZ243" i="45"/>
  <c r="AY243" i="45"/>
  <c r="AW243" i="45"/>
  <c r="AV243" i="45"/>
  <c r="Q243" i="45"/>
  <c r="O243" i="45"/>
  <c r="M243" i="45"/>
  <c r="AZ242" i="45"/>
  <c r="AY242" i="45"/>
  <c r="AW242" i="45"/>
  <c r="AV242" i="45"/>
  <c r="AN242" i="45"/>
  <c r="Q242" i="45"/>
  <c r="O242" i="45"/>
  <c r="M242" i="45"/>
  <c r="AZ241" i="45"/>
  <c r="AY241" i="45"/>
  <c r="AW241" i="45"/>
  <c r="AV241" i="45"/>
  <c r="Q241" i="45"/>
  <c r="O241" i="45"/>
  <c r="M241" i="45"/>
  <c r="AZ240" i="45"/>
  <c r="AY240" i="45"/>
  <c r="AW240" i="45"/>
  <c r="AV240" i="45"/>
  <c r="AN240" i="45"/>
  <c r="Q240" i="45"/>
  <c r="O240" i="45"/>
  <c r="M240" i="45"/>
  <c r="AZ239" i="45"/>
  <c r="AY239" i="45"/>
  <c r="AW239" i="45"/>
  <c r="AV239" i="45"/>
  <c r="Q239" i="45"/>
  <c r="O239" i="45"/>
  <c r="M239" i="45"/>
  <c r="AZ238" i="45"/>
  <c r="AY238" i="45"/>
  <c r="AW238" i="45"/>
  <c r="AV238" i="45"/>
  <c r="AN238" i="45"/>
  <c r="Q238" i="45"/>
  <c r="O238" i="45"/>
  <c r="M238" i="45"/>
  <c r="AZ237" i="45"/>
  <c r="AY237" i="45"/>
  <c r="AW237" i="45"/>
  <c r="AV237" i="45"/>
  <c r="Q237" i="45"/>
  <c r="O237" i="45"/>
  <c r="M237" i="45"/>
  <c r="AZ236" i="45"/>
  <c r="AY236" i="45"/>
  <c r="AW236" i="45"/>
  <c r="AV236" i="45"/>
  <c r="AN236" i="45"/>
  <c r="Q236" i="45"/>
  <c r="O236" i="45"/>
  <c r="M236" i="45"/>
  <c r="AZ235" i="45"/>
  <c r="AY235" i="45"/>
  <c r="AW235" i="45"/>
  <c r="AV235" i="45"/>
  <c r="Q235" i="45"/>
  <c r="O235" i="45"/>
  <c r="M235" i="45"/>
  <c r="AZ234" i="45"/>
  <c r="AY234" i="45"/>
  <c r="AW234" i="45"/>
  <c r="AV234" i="45"/>
  <c r="AN234" i="45"/>
  <c r="Q234" i="45"/>
  <c r="Q275" i="45" s="1"/>
  <c r="O234" i="45"/>
  <c r="O275" i="45" s="1"/>
  <c r="AN92" i="45" s="1"/>
  <c r="D8" i="45" s="1"/>
  <c r="M234" i="45"/>
  <c r="AT234" i="45" s="1"/>
  <c r="H181" i="45"/>
  <c r="AV261" i="45" s="1"/>
  <c r="H180" i="45"/>
  <c r="H179" i="45"/>
  <c r="H178" i="45"/>
  <c r="AY258" i="45" s="1"/>
  <c r="H177" i="45"/>
  <c r="H176" i="45"/>
  <c r="AV257" i="45" s="1"/>
  <c r="H175" i="45"/>
  <c r="AV256" i="45" s="1"/>
  <c r="H174" i="45"/>
  <c r="H173" i="45"/>
  <c r="H172" i="45"/>
  <c r="AY255" i="45" s="1"/>
  <c r="H171" i="45"/>
  <c r="H170" i="45"/>
  <c r="AW254" i="45" s="1"/>
  <c r="H169" i="45"/>
  <c r="H168" i="45"/>
  <c r="H167" i="45"/>
  <c r="H166" i="45"/>
  <c r="H165" i="45"/>
  <c r="H164" i="45"/>
  <c r="H163" i="45"/>
  <c r="H162" i="45"/>
  <c r="H161" i="45"/>
  <c r="H160" i="45"/>
  <c r="H159" i="45"/>
  <c r="H158" i="45"/>
  <c r="H157" i="45"/>
  <c r="H156" i="45"/>
  <c r="H155" i="45"/>
  <c r="H154" i="45"/>
  <c r="H153" i="45"/>
  <c r="H152" i="45"/>
  <c r="H151" i="45"/>
  <c r="H150" i="45"/>
  <c r="H149" i="45"/>
  <c r="H148" i="45"/>
  <c r="H147" i="45"/>
  <c r="H146" i="45"/>
  <c r="H145" i="45"/>
  <c r="H144" i="45"/>
  <c r="H143" i="45"/>
  <c r="H142" i="45"/>
  <c r="H141" i="45"/>
  <c r="H140" i="45"/>
  <c r="H139" i="45"/>
  <c r="H138" i="45"/>
  <c r="H137" i="45"/>
  <c r="H136" i="45"/>
  <c r="H135" i="45"/>
  <c r="H134" i="45"/>
  <c r="H133" i="45"/>
  <c r="H132" i="45"/>
  <c r="H131" i="45"/>
  <c r="H130" i="45"/>
  <c r="H129" i="45"/>
  <c r="H128" i="45"/>
  <c r="H127" i="45"/>
  <c r="H126" i="45"/>
  <c r="H125" i="45"/>
  <c r="H124" i="45"/>
  <c r="H123" i="45"/>
  <c r="H122" i="45"/>
  <c r="H121" i="45"/>
  <c r="H120" i="45"/>
  <c r="H119" i="45"/>
  <c r="H118" i="45"/>
  <c r="H117" i="45"/>
  <c r="H116" i="45"/>
  <c r="H115" i="45"/>
  <c r="H114" i="45"/>
  <c r="H113" i="45"/>
  <c r="H112" i="45"/>
  <c r="H111" i="45"/>
  <c r="H110" i="45"/>
  <c r="H109" i="45"/>
  <c r="H108" i="45"/>
  <c r="H107" i="45"/>
  <c r="H106" i="45"/>
  <c r="H105" i="45"/>
  <c r="H104" i="45"/>
  <c r="H103" i="45"/>
  <c r="B188" i="45" s="1" a="1"/>
  <c r="B188" i="45" s="1"/>
  <c r="BU90" i="45"/>
  <c r="BT90" i="45"/>
  <c r="BS90" i="45"/>
  <c r="BS92" i="45" s="1"/>
  <c r="BR90" i="45"/>
  <c r="BQ90" i="45"/>
  <c r="BP90" i="45"/>
  <c r="BO90" i="45"/>
  <c r="BN90" i="45"/>
  <c r="BM90" i="45"/>
  <c r="BL90" i="45"/>
  <c r="BK90" i="45"/>
  <c r="AU90" i="45"/>
  <c r="AR90" i="45"/>
  <c r="AQ90" i="45"/>
  <c r="AO90" i="45"/>
  <c r="AN90" i="45"/>
  <c r="AM90" i="45"/>
  <c r="BQ89" i="45"/>
  <c r="BP89" i="45"/>
  <c r="BO89" i="45"/>
  <c r="BN89" i="45"/>
  <c r="BM89" i="45"/>
  <c r="BL89" i="45"/>
  <c r="BK89" i="45"/>
  <c r="AU89" i="45"/>
  <c r="AR89" i="45"/>
  <c r="AQ89" i="45"/>
  <c r="AO89" i="45"/>
  <c r="AN89" i="45"/>
  <c r="AM89" i="45"/>
  <c r="BU88" i="45"/>
  <c r="BT88" i="45"/>
  <c r="BS88" i="45"/>
  <c r="BR88" i="45"/>
  <c r="BQ88" i="45"/>
  <c r="BP88" i="45"/>
  <c r="BO88" i="45"/>
  <c r="BN88" i="45"/>
  <c r="BM88" i="45"/>
  <c r="BL88" i="45"/>
  <c r="BK88" i="45"/>
  <c r="AU88" i="45"/>
  <c r="AR88" i="45"/>
  <c r="AQ88" i="45"/>
  <c r="AO88" i="45"/>
  <c r="AN88" i="45"/>
  <c r="AM88" i="45"/>
  <c r="BQ87" i="45"/>
  <c r="BQ92" i="45" s="1"/>
  <c r="BP87" i="45"/>
  <c r="BO87" i="45"/>
  <c r="BN87" i="45"/>
  <c r="BM87" i="45"/>
  <c r="BL87" i="45"/>
  <c r="BK87" i="45"/>
  <c r="AU87" i="45"/>
  <c r="AR87" i="45"/>
  <c r="AQ87" i="45"/>
  <c r="AO87" i="45"/>
  <c r="AN87" i="45"/>
  <c r="AM87" i="45"/>
  <c r="BU86" i="45"/>
  <c r="BU92" i="45" s="1"/>
  <c r="BT86" i="45"/>
  <c r="BT92" i="45" s="1"/>
  <c r="BS86" i="45"/>
  <c r="BR86" i="45"/>
  <c r="BR92" i="45" s="1"/>
  <c r="BQ86" i="45"/>
  <c r="BP86" i="45"/>
  <c r="BO86" i="45"/>
  <c r="BN86" i="45"/>
  <c r="BM86" i="45"/>
  <c r="BL86" i="45"/>
  <c r="BK86" i="45"/>
  <c r="AU86" i="45"/>
  <c r="AR86" i="45"/>
  <c r="AQ86" i="45"/>
  <c r="AO86" i="45"/>
  <c r="AN86" i="45"/>
  <c r="AM86" i="45"/>
  <c r="BP82" i="45"/>
  <c r="BO82" i="45"/>
  <c r="BN82" i="45"/>
  <c r="BM82" i="45"/>
  <c r="BL82" i="45"/>
  <c r="BK82" i="45"/>
  <c r="BJ82" i="45"/>
  <c r="BI82" i="45"/>
  <c r="BH82" i="45"/>
  <c r="BG82" i="45"/>
  <c r="BF82" i="45"/>
  <c r="BE82" i="45"/>
  <c r="BD82" i="45"/>
  <c r="BC82" i="45"/>
  <c r="BB82" i="45"/>
  <c r="BA82" i="45"/>
  <c r="AZ82" i="45"/>
  <c r="AY82" i="45"/>
  <c r="AX82" i="45"/>
  <c r="AW82" i="45"/>
  <c r="AV82" i="45"/>
  <c r="AU82" i="45"/>
  <c r="AT82" i="45"/>
  <c r="AS82" i="45"/>
  <c r="AR82" i="45"/>
  <c r="AQ82" i="45"/>
  <c r="AP82" i="45"/>
  <c r="AO82" i="45"/>
  <c r="AN82" i="45"/>
  <c r="AM82" i="45"/>
  <c r="BP80" i="45"/>
  <c r="BO80" i="45"/>
  <c r="BN80" i="45"/>
  <c r="BM80" i="45"/>
  <c r="BL80" i="45"/>
  <c r="BK80" i="45"/>
  <c r="BJ80" i="45"/>
  <c r="BI80" i="45"/>
  <c r="BH80" i="45"/>
  <c r="BG80" i="45"/>
  <c r="BF80" i="45"/>
  <c r="BE80" i="45"/>
  <c r="BD80" i="45"/>
  <c r="BC80" i="45"/>
  <c r="BB80" i="45"/>
  <c r="BA80" i="45"/>
  <c r="AZ80" i="45"/>
  <c r="AY80" i="45"/>
  <c r="AX80" i="45"/>
  <c r="AW80" i="45"/>
  <c r="AV80" i="45"/>
  <c r="AU80" i="45"/>
  <c r="AT80" i="45"/>
  <c r="AS80" i="45"/>
  <c r="AR80" i="45"/>
  <c r="AQ80" i="45"/>
  <c r="AP80" i="45"/>
  <c r="AO80" i="45"/>
  <c r="AN80" i="45"/>
  <c r="AM80" i="45"/>
  <c r="BP78" i="45"/>
  <c r="BO78" i="45"/>
  <c r="BN78" i="45"/>
  <c r="BM78" i="45"/>
  <c r="BL78" i="45"/>
  <c r="BK78" i="45"/>
  <c r="BJ78" i="45"/>
  <c r="BI78" i="45"/>
  <c r="BH78" i="45"/>
  <c r="BG78" i="45"/>
  <c r="BF78" i="45"/>
  <c r="BE78" i="45"/>
  <c r="BD78" i="45"/>
  <c r="BC78" i="45"/>
  <c r="BB78" i="45"/>
  <c r="BA78" i="45"/>
  <c r="AZ78" i="45"/>
  <c r="AY78" i="45"/>
  <c r="AX78" i="45"/>
  <c r="AW78" i="45"/>
  <c r="AV78" i="45"/>
  <c r="AU78" i="45"/>
  <c r="AT78" i="45"/>
  <c r="AS78" i="45"/>
  <c r="AR78" i="45"/>
  <c r="AQ78" i="45"/>
  <c r="AP78" i="45"/>
  <c r="AO78" i="45"/>
  <c r="AN78" i="45"/>
  <c r="AM78" i="45"/>
  <c r="BP74" i="45"/>
  <c r="BO74" i="45"/>
  <c r="BN74" i="45"/>
  <c r="BM74" i="45"/>
  <c r="BL74" i="45"/>
  <c r="BK74" i="45"/>
  <c r="BJ74" i="45"/>
  <c r="BI74" i="45"/>
  <c r="BH74" i="45"/>
  <c r="BG74" i="45"/>
  <c r="BF74" i="45"/>
  <c r="BE74" i="45"/>
  <c r="BD74" i="45"/>
  <c r="BC74" i="45"/>
  <c r="BB74" i="45"/>
  <c r="BA74" i="45"/>
  <c r="AZ74" i="45"/>
  <c r="AY74" i="45"/>
  <c r="AX74" i="45"/>
  <c r="AW74" i="45"/>
  <c r="AV74" i="45"/>
  <c r="AU74" i="45"/>
  <c r="AT74" i="45"/>
  <c r="AS74" i="45"/>
  <c r="AR74" i="45"/>
  <c r="AQ74" i="45"/>
  <c r="AP74" i="45"/>
  <c r="AO74" i="45"/>
  <c r="AN74" i="45"/>
  <c r="AM74" i="45"/>
  <c r="BP72" i="45"/>
  <c r="BO72" i="45"/>
  <c r="BN72" i="45"/>
  <c r="BM72" i="45"/>
  <c r="BL72" i="45"/>
  <c r="BK72" i="45"/>
  <c r="BJ72" i="45"/>
  <c r="BI72" i="45"/>
  <c r="BH72" i="45"/>
  <c r="BG72" i="45"/>
  <c r="BF72" i="45"/>
  <c r="BE72" i="45"/>
  <c r="BD72" i="45"/>
  <c r="BC72" i="45"/>
  <c r="BB72" i="45"/>
  <c r="BA72" i="45"/>
  <c r="AZ72" i="45"/>
  <c r="AY72" i="45"/>
  <c r="AX72" i="45"/>
  <c r="AW72" i="45"/>
  <c r="AV72" i="45"/>
  <c r="AU72" i="45"/>
  <c r="AT72" i="45"/>
  <c r="AS72" i="45"/>
  <c r="AR72" i="45"/>
  <c r="AQ72" i="45"/>
  <c r="AP72" i="45"/>
  <c r="AO72" i="45"/>
  <c r="AN72" i="45"/>
  <c r="AM72" i="45"/>
  <c r="BP70" i="45"/>
  <c r="BO70" i="45"/>
  <c r="BN70" i="45"/>
  <c r="BM70" i="45"/>
  <c r="BL70" i="45"/>
  <c r="BK70" i="45"/>
  <c r="BJ70" i="45"/>
  <c r="BI70" i="45"/>
  <c r="BH70" i="45"/>
  <c r="BG70" i="45"/>
  <c r="BF70" i="45"/>
  <c r="BE70" i="45"/>
  <c r="BD70" i="45"/>
  <c r="BC70" i="45"/>
  <c r="BB70" i="45"/>
  <c r="BA70" i="45"/>
  <c r="AZ70" i="45"/>
  <c r="AY70" i="45"/>
  <c r="AX70" i="45"/>
  <c r="AW70" i="45"/>
  <c r="AV70" i="45"/>
  <c r="AU70" i="45"/>
  <c r="AT70" i="45"/>
  <c r="AS70" i="45"/>
  <c r="AR70" i="45"/>
  <c r="AQ70" i="45"/>
  <c r="AP70" i="45"/>
  <c r="AO70" i="45"/>
  <c r="AN70" i="45"/>
  <c r="AM70" i="45"/>
  <c r="BP66" i="45"/>
  <c r="BO66" i="45"/>
  <c r="BN66" i="45"/>
  <c r="BM66" i="45"/>
  <c r="BL66" i="45"/>
  <c r="BK66" i="45"/>
  <c r="BJ66" i="45"/>
  <c r="BI66" i="45"/>
  <c r="BH66" i="45"/>
  <c r="BG66" i="45"/>
  <c r="BF66" i="45"/>
  <c r="BE66" i="45"/>
  <c r="BD66" i="45"/>
  <c r="BC66" i="45"/>
  <c r="BB66" i="45"/>
  <c r="BA66" i="45"/>
  <c r="AZ66" i="45"/>
  <c r="AY66" i="45"/>
  <c r="AX66" i="45"/>
  <c r="AW66" i="45"/>
  <c r="AV66" i="45"/>
  <c r="AU66" i="45"/>
  <c r="AT66" i="45"/>
  <c r="AS66" i="45"/>
  <c r="AR66" i="45"/>
  <c r="AQ66" i="45"/>
  <c r="AP66" i="45"/>
  <c r="AO66" i="45"/>
  <c r="AN66" i="45"/>
  <c r="AM66" i="45"/>
  <c r="BP64" i="45"/>
  <c r="BO64" i="45"/>
  <c r="BN64" i="45"/>
  <c r="BM64" i="45"/>
  <c r="BL64" i="45"/>
  <c r="BK64" i="45"/>
  <c r="BJ64" i="45"/>
  <c r="BI64" i="45"/>
  <c r="BH64" i="45"/>
  <c r="BG64" i="45"/>
  <c r="BF64" i="45"/>
  <c r="BE64" i="45"/>
  <c r="BD64" i="45"/>
  <c r="BC64" i="45"/>
  <c r="BB64" i="45"/>
  <c r="BA64" i="45"/>
  <c r="AZ64" i="45"/>
  <c r="AY64" i="45"/>
  <c r="AX64" i="45"/>
  <c r="AW64" i="45"/>
  <c r="AV64" i="45"/>
  <c r="AU64" i="45"/>
  <c r="AT64" i="45"/>
  <c r="AS64" i="45"/>
  <c r="AR64" i="45"/>
  <c r="AQ64" i="45"/>
  <c r="AP64" i="45"/>
  <c r="AO64" i="45"/>
  <c r="AN64" i="45"/>
  <c r="AM64" i="45"/>
  <c r="BP62" i="45"/>
  <c r="BO62" i="45"/>
  <c r="BN62" i="45"/>
  <c r="BM62" i="45"/>
  <c r="BL62" i="45"/>
  <c r="BK62" i="45"/>
  <c r="BJ62" i="45"/>
  <c r="BI62" i="45"/>
  <c r="BH62" i="45"/>
  <c r="BG62" i="45"/>
  <c r="BF62" i="45"/>
  <c r="BE62" i="45"/>
  <c r="BD62" i="45"/>
  <c r="BC62" i="45"/>
  <c r="BB62" i="45"/>
  <c r="BA62" i="45"/>
  <c r="AZ62" i="45"/>
  <c r="AY62" i="45"/>
  <c r="AX62" i="45"/>
  <c r="AW62" i="45"/>
  <c r="AV62" i="45"/>
  <c r="AU62" i="45"/>
  <c r="AT62" i="45"/>
  <c r="AS62" i="45"/>
  <c r="AR62" i="45"/>
  <c r="AQ62" i="45"/>
  <c r="AP62" i="45"/>
  <c r="AO62" i="45"/>
  <c r="AN62" i="45"/>
  <c r="AM62" i="45"/>
  <c r="BP60" i="45"/>
  <c r="BO60" i="45"/>
  <c r="BN60" i="45"/>
  <c r="BM60" i="45"/>
  <c r="BL60" i="45"/>
  <c r="BK60" i="45"/>
  <c r="BJ60" i="45"/>
  <c r="BI60" i="45"/>
  <c r="BH60" i="45"/>
  <c r="BG60" i="45"/>
  <c r="BF60" i="45"/>
  <c r="BE60" i="45"/>
  <c r="BD60" i="45"/>
  <c r="BC60" i="45"/>
  <c r="BB60" i="45"/>
  <c r="BA60" i="45"/>
  <c r="AZ60" i="45"/>
  <c r="AY60" i="45"/>
  <c r="AX60" i="45"/>
  <c r="AW60" i="45"/>
  <c r="AV60" i="45"/>
  <c r="AU60" i="45"/>
  <c r="AT60" i="45"/>
  <c r="AS60" i="45"/>
  <c r="AR60" i="45"/>
  <c r="AQ60" i="45"/>
  <c r="AP60" i="45"/>
  <c r="AO60" i="45"/>
  <c r="AN60" i="45"/>
  <c r="AM60" i="45"/>
  <c r="BP58" i="45"/>
  <c r="BO58" i="45"/>
  <c r="BN58" i="45"/>
  <c r="BM58" i="45"/>
  <c r="BL58" i="45"/>
  <c r="BK58" i="45"/>
  <c r="BJ58" i="45"/>
  <c r="BI58" i="45"/>
  <c r="BH58" i="45"/>
  <c r="BG58" i="45"/>
  <c r="BF58" i="45"/>
  <c r="BE58" i="45"/>
  <c r="BD58" i="45"/>
  <c r="BC58" i="45"/>
  <c r="BB58" i="45"/>
  <c r="BA58" i="45"/>
  <c r="AZ58" i="45"/>
  <c r="AY58" i="45"/>
  <c r="AX58" i="45"/>
  <c r="AW58" i="45"/>
  <c r="AV58" i="45"/>
  <c r="AU58" i="45"/>
  <c r="AT58" i="45"/>
  <c r="AS58" i="45"/>
  <c r="AR58" i="45"/>
  <c r="AQ58" i="45"/>
  <c r="AP58" i="45"/>
  <c r="AO58" i="45"/>
  <c r="AN58" i="45"/>
  <c r="AM58" i="45"/>
  <c r="BP56" i="45"/>
  <c r="BO56" i="45"/>
  <c r="BN56" i="45"/>
  <c r="BM56" i="45"/>
  <c r="BL56" i="45"/>
  <c r="BK56" i="45"/>
  <c r="BJ56" i="45"/>
  <c r="BI56" i="45"/>
  <c r="BH56" i="45"/>
  <c r="BG56" i="45"/>
  <c r="BF56" i="45"/>
  <c r="BE56" i="45"/>
  <c r="BD56" i="45"/>
  <c r="BC56" i="45"/>
  <c r="BB56" i="45"/>
  <c r="BA56" i="45"/>
  <c r="AZ56" i="45"/>
  <c r="AY56" i="45"/>
  <c r="AX56" i="45"/>
  <c r="AW56" i="45"/>
  <c r="AV56" i="45"/>
  <c r="AU56" i="45"/>
  <c r="AT56" i="45"/>
  <c r="AS56" i="45"/>
  <c r="AR56" i="45"/>
  <c r="AQ56" i="45"/>
  <c r="AP56" i="45"/>
  <c r="AO56" i="45"/>
  <c r="AN56" i="45"/>
  <c r="AM56" i="45"/>
  <c r="BP54" i="45"/>
  <c r="BO54" i="45"/>
  <c r="BN54" i="45"/>
  <c r="BM54" i="45"/>
  <c r="BL54" i="45"/>
  <c r="BK54" i="45"/>
  <c r="BJ54" i="45"/>
  <c r="BI54" i="45"/>
  <c r="BH54" i="45"/>
  <c r="BG54" i="45"/>
  <c r="BF54" i="45"/>
  <c r="BE54" i="45"/>
  <c r="BD54" i="45"/>
  <c r="BC54" i="45"/>
  <c r="BB54" i="45"/>
  <c r="BA54" i="45"/>
  <c r="AZ54" i="45"/>
  <c r="AY54" i="45"/>
  <c r="AX54" i="45"/>
  <c r="AW54" i="45"/>
  <c r="AV54" i="45"/>
  <c r="AU54" i="45"/>
  <c r="AT54" i="45"/>
  <c r="AS54" i="45"/>
  <c r="AR54" i="45"/>
  <c r="AQ54" i="45"/>
  <c r="AP54" i="45"/>
  <c r="AO54" i="45"/>
  <c r="AN54" i="45"/>
  <c r="AM54" i="45"/>
  <c r="BP52" i="45"/>
  <c r="BO52" i="45"/>
  <c r="BN52" i="45"/>
  <c r="BM52" i="45"/>
  <c r="BL52" i="45"/>
  <c r="BK52" i="45"/>
  <c r="BJ52" i="45"/>
  <c r="BI52" i="45"/>
  <c r="BH52" i="45"/>
  <c r="BG52" i="45"/>
  <c r="BF52" i="45"/>
  <c r="BE52" i="45"/>
  <c r="BD52" i="45"/>
  <c r="BC52" i="45"/>
  <c r="BB52" i="45"/>
  <c r="BA52" i="45"/>
  <c r="AZ52" i="45"/>
  <c r="AY52" i="45"/>
  <c r="AX52" i="45"/>
  <c r="AW52" i="45"/>
  <c r="AV52" i="45"/>
  <c r="AU52" i="45"/>
  <c r="AT52" i="45"/>
  <c r="AS52" i="45"/>
  <c r="AR52" i="45"/>
  <c r="AQ52" i="45"/>
  <c r="AP52" i="45"/>
  <c r="AO52" i="45"/>
  <c r="AN52" i="45"/>
  <c r="AM52" i="45"/>
  <c r="BP50" i="45"/>
  <c r="BO50" i="45"/>
  <c r="BN50" i="45"/>
  <c r="BM50" i="45"/>
  <c r="BL50" i="45"/>
  <c r="BK50" i="45"/>
  <c r="BJ50" i="45"/>
  <c r="BI50" i="45"/>
  <c r="BH50" i="45"/>
  <c r="BG50" i="45"/>
  <c r="BF50" i="45"/>
  <c r="BE50" i="45"/>
  <c r="BD50" i="45"/>
  <c r="BC50" i="45"/>
  <c r="BB50" i="45"/>
  <c r="BA50" i="45"/>
  <c r="AZ50" i="45"/>
  <c r="AY50" i="45"/>
  <c r="AX50" i="45"/>
  <c r="AW50" i="45"/>
  <c r="AV50" i="45"/>
  <c r="AU50" i="45"/>
  <c r="AT50" i="45"/>
  <c r="AS50" i="45"/>
  <c r="AR50" i="45"/>
  <c r="AQ50" i="45"/>
  <c r="AP50" i="45"/>
  <c r="AO50" i="45"/>
  <c r="AN50" i="45"/>
  <c r="AM50" i="45"/>
  <c r="BP48" i="45"/>
  <c r="BO48" i="45"/>
  <c r="BN48" i="45"/>
  <c r="BM48" i="45"/>
  <c r="BL48" i="45"/>
  <c r="BK48" i="45"/>
  <c r="BJ48" i="45"/>
  <c r="BI48" i="45"/>
  <c r="BH48" i="45"/>
  <c r="BG48" i="45"/>
  <c r="BF48" i="45"/>
  <c r="BE48" i="45"/>
  <c r="BD48" i="45"/>
  <c r="BC48" i="45"/>
  <c r="BB48" i="45"/>
  <c r="BA48" i="45"/>
  <c r="AZ48" i="45"/>
  <c r="AY48" i="45"/>
  <c r="AX48" i="45"/>
  <c r="AW48" i="45"/>
  <c r="AV48" i="45"/>
  <c r="AU48" i="45"/>
  <c r="AT48" i="45"/>
  <c r="AS48" i="45"/>
  <c r="AR48" i="45"/>
  <c r="AQ48" i="45"/>
  <c r="AP48" i="45"/>
  <c r="AO48" i="45"/>
  <c r="AN48" i="45"/>
  <c r="AM48" i="45"/>
  <c r="BP46" i="45"/>
  <c r="BO46" i="45"/>
  <c r="BN46" i="45"/>
  <c r="BM46" i="45"/>
  <c r="BL46" i="45"/>
  <c r="BK46" i="45"/>
  <c r="BJ46" i="45"/>
  <c r="BI46" i="45"/>
  <c r="BH46" i="45"/>
  <c r="BG46" i="45"/>
  <c r="BF46" i="45"/>
  <c r="BE46" i="45"/>
  <c r="BD46" i="45"/>
  <c r="BC46" i="45"/>
  <c r="BB46" i="45"/>
  <c r="BA46" i="45"/>
  <c r="AZ46" i="45"/>
  <c r="AY46" i="45"/>
  <c r="AX46" i="45"/>
  <c r="AW46" i="45"/>
  <c r="AV46" i="45"/>
  <c r="AU46" i="45"/>
  <c r="AT46" i="45"/>
  <c r="AS46" i="45"/>
  <c r="AR46" i="45"/>
  <c r="AQ46" i="45"/>
  <c r="AP46" i="45"/>
  <c r="AO46" i="45"/>
  <c r="AN46" i="45"/>
  <c r="AM46" i="45"/>
  <c r="BP44" i="45"/>
  <c r="BO44" i="45"/>
  <c r="BN44" i="45"/>
  <c r="BM44" i="45"/>
  <c r="BL44" i="45"/>
  <c r="BK44" i="45"/>
  <c r="BJ44" i="45"/>
  <c r="BI44" i="45"/>
  <c r="BH44" i="45"/>
  <c r="BG44" i="45"/>
  <c r="BF44" i="45"/>
  <c r="BE44" i="45"/>
  <c r="BD44" i="45"/>
  <c r="BC44" i="45"/>
  <c r="BB44" i="45"/>
  <c r="BA44" i="45"/>
  <c r="AZ44" i="45"/>
  <c r="AY44" i="45"/>
  <c r="AX44" i="45"/>
  <c r="AW44" i="45"/>
  <c r="AV44" i="45"/>
  <c r="AU44" i="45"/>
  <c r="AT44" i="45"/>
  <c r="AS44" i="45"/>
  <c r="AR44" i="45"/>
  <c r="AQ44" i="45"/>
  <c r="AP44" i="45"/>
  <c r="AO44" i="45"/>
  <c r="AN44" i="45"/>
  <c r="AM44" i="45"/>
  <c r="BP42" i="45"/>
  <c r="BO42" i="45"/>
  <c r="BN42" i="45"/>
  <c r="BM42" i="45"/>
  <c r="BL42" i="45"/>
  <c r="BK42" i="45"/>
  <c r="BJ42" i="45"/>
  <c r="BI42" i="45"/>
  <c r="BH42" i="45"/>
  <c r="BG42" i="45"/>
  <c r="BF42" i="45"/>
  <c r="BE42" i="45"/>
  <c r="BD42" i="45"/>
  <c r="BC42" i="45"/>
  <c r="BB42" i="45"/>
  <c r="BA42" i="45"/>
  <c r="AZ42" i="45"/>
  <c r="AY42" i="45"/>
  <c r="AX42" i="45"/>
  <c r="AW42" i="45"/>
  <c r="AV42" i="45"/>
  <c r="AU42" i="45"/>
  <c r="AT42" i="45"/>
  <c r="AS42" i="45"/>
  <c r="AR42" i="45"/>
  <c r="AQ42" i="45"/>
  <c r="AP42" i="45"/>
  <c r="AO42" i="45"/>
  <c r="AN42" i="45"/>
  <c r="AM42" i="45"/>
  <c r="BP40" i="45"/>
  <c r="BO40" i="45"/>
  <c r="BN40" i="45"/>
  <c r="BM40" i="45"/>
  <c r="BL40" i="45"/>
  <c r="BK40" i="45"/>
  <c r="BJ40" i="45"/>
  <c r="BI40" i="45"/>
  <c r="BH40" i="45"/>
  <c r="BG40" i="45"/>
  <c r="BF40" i="45"/>
  <c r="BE40" i="45"/>
  <c r="BD40" i="45"/>
  <c r="BC40" i="45"/>
  <c r="BB40" i="45"/>
  <c r="BA40" i="45"/>
  <c r="AZ40" i="45"/>
  <c r="AY40" i="45"/>
  <c r="AX40" i="45"/>
  <c r="AW40" i="45"/>
  <c r="AV40" i="45"/>
  <c r="AU40" i="45"/>
  <c r="AT40" i="45"/>
  <c r="AS40" i="45"/>
  <c r="AR40" i="45"/>
  <c r="AQ40" i="45"/>
  <c r="AP40" i="45"/>
  <c r="AO40" i="45"/>
  <c r="AN40" i="45"/>
  <c r="AM40" i="45"/>
  <c r="CH38" i="45"/>
  <c r="CG38" i="45"/>
  <c r="CF38" i="45"/>
  <c r="CE38" i="45"/>
  <c r="CD38" i="45"/>
  <c r="CC38" i="45"/>
  <c r="CB38" i="45"/>
  <c r="CA38" i="45"/>
  <c r="BL92" i="45" s="1"/>
  <c r="BZ38" i="45"/>
  <c r="BY38" i="45"/>
  <c r="BX38" i="45"/>
  <c r="BW38" i="45"/>
  <c r="BV38" i="45"/>
  <c r="BP38" i="45"/>
  <c r="BO38" i="45"/>
  <c r="BN38" i="45"/>
  <c r="BM38" i="45"/>
  <c r="BL38" i="45"/>
  <c r="BK38" i="45"/>
  <c r="BJ38" i="45"/>
  <c r="BI38" i="45"/>
  <c r="BH38" i="45"/>
  <c r="BG38" i="45"/>
  <c r="BF38" i="45"/>
  <c r="BE38" i="45"/>
  <c r="BD38" i="45"/>
  <c r="BC38" i="45"/>
  <c r="BB38" i="45"/>
  <c r="BA38" i="45"/>
  <c r="AZ38" i="45"/>
  <c r="AY38" i="45"/>
  <c r="AX38" i="45"/>
  <c r="AW38" i="45"/>
  <c r="AV38" i="45"/>
  <c r="AU38" i="45"/>
  <c r="AT38" i="45"/>
  <c r="AS38" i="45"/>
  <c r="AR38" i="45"/>
  <c r="AQ38" i="45"/>
  <c r="AP38" i="45"/>
  <c r="AO38" i="45"/>
  <c r="AN38" i="45"/>
  <c r="AM38" i="45"/>
  <c r="BP36" i="45"/>
  <c r="BO36" i="45"/>
  <c r="BN36" i="45"/>
  <c r="BM36" i="45"/>
  <c r="BL36" i="45"/>
  <c r="BK36" i="45"/>
  <c r="BJ36" i="45"/>
  <c r="BI36" i="45"/>
  <c r="BH36" i="45"/>
  <c r="BG36" i="45"/>
  <c r="BF36" i="45"/>
  <c r="BE36" i="45"/>
  <c r="BD36" i="45"/>
  <c r="BC36" i="45"/>
  <c r="BB36" i="45"/>
  <c r="BA36" i="45"/>
  <c r="AZ36" i="45"/>
  <c r="AY36" i="45"/>
  <c r="AX36" i="45"/>
  <c r="AW36" i="45"/>
  <c r="AV36" i="45"/>
  <c r="AU36" i="45"/>
  <c r="AT36" i="45"/>
  <c r="AS36" i="45"/>
  <c r="AR36" i="45"/>
  <c r="AQ36" i="45"/>
  <c r="AP36" i="45"/>
  <c r="AO36" i="45"/>
  <c r="AN36" i="45"/>
  <c r="AM36" i="45"/>
  <c r="BL34" i="45"/>
  <c r="BK34" i="45"/>
  <c r="BJ34" i="45"/>
  <c r="BD34" i="45"/>
  <c r="BC34" i="45"/>
  <c r="BB34" i="45"/>
  <c r="AV34" i="45"/>
  <c r="AU34" i="45"/>
  <c r="AT34" i="45"/>
  <c r="AP34" i="45"/>
  <c r="AO34" i="45"/>
  <c r="AN34" i="45"/>
  <c r="AM34" i="45"/>
  <c r="BP32" i="45"/>
  <c r="BO32" i="45"/>
  <c r="BN32" i="45"/>
  <c r="BM32" i="45"/>
  <c r="BL32" i="45"/>
  <c r="BK32" i="45"/>
  <c r="BJ32" i="45"/>
  <c r="BI32" i="45"/>
  <c r="BH32" i="45"/>
  <c r="BG32" i="45"/>
  <c r="BF32" i="45"/>
  <c r="BE32" i="45"/>
  <c r="BD32" i="45"/>
  <c r="BC32" i="45"/>
  <c r="BB32" i="45"/>
  <c r="BA32" i="45"/>
  <c r="AZ32" i="45"/>
  <c r="AY32" i="45"/>
  <c r="AX32" i="45"/>
  <c r="AW32" i="45"/>
  <c r="AV32" i="45"/>
  <c r="AU32" i="45"/>
  <c r="AT32" i="45"/>
  <c r="AS32" i="45"/>
  <c r="AR32" i="45"/>
  <c r="AQ32" i="45"/>
  <c r="AP32" i="45"/>
  <c r="AO32" i="45"/>
  <c r="AN32" i="45"/>
  <c r="AM32" i="45"/>
  <c r="BY30" i="45"/>
  <c r="BX30" i="45"/>
  <c r="BW30" i="45"/>
  <c r="BV30" i="45"/>
  <c r="BP30" i="45"/>
  <c r="BO30" i="45"/>
  <c r="BN30" i="45"/>
  <c r="BM30" i="45"/>
  <c r="BL30" i="45"/>
  <c r="BK30" i="45"/>
  <c r="BJ30" i="45"/>
  <c r="BI30" i="45"/>
  <c r="BH30" i="45"/>
  <c r="BG30" i="45"/>
  <c r="BF30" i="45"/>
  <c r="BE30" i="45"/>
  <c r="BD30" i="45"/>
  <c r="BC30" i="45"/>
  <c r="BB30" i="45"/>
  <c r="BA30" i="45"/>
  <c r="AZ30" i="45"/>
  <c r="AY30" i="45"/>
  <c r="AX30" i="45"/>
  <c r="AW30" i="45"/>
  <c r="AV30" i="45"/>
  <c r="AU30" i="45"/>
  <c r="AT30" i="45"/>
  <c r="AS30" i="45"/>
  <c r="AR30" i="45"/>
  <c r="AQ30" i="45"/>
  <c r="AP30" i="45"/>
  <c r="AO30" i="45"/>
  <c r="AN30" i="45"/>
  <c r="AM30" i="45"/>
  <c r="BV29" i="45"/>
  <c r="BY28" i="45"/>
  <c r="BX28" i="45"/>
  <c r="BW28" i="45"/>
  <c r="BV28" i="45"/>
  <c r="BP28" i="45"/>
  <c r="BO28" i="45"/>
  <c r="BN28" i="45"/>
  <c r="BM28" i="45"/>
  <c r="BL28" i="45"/>
  <c r="BK28" i="45"/>
  <c r="BJ28" i="45"/>
  <c r="BI28" i="45"/>
  <c r="BH28" i="45"/>
  <c r="BG28" i="45"/>
  <c r="BF28" i="45"/>
  <c r="BE28" i="45"/>
  <c r="BD28" i="45"/>
  <c r="BC28" i="45"/>
  <c r="BB28" i="45"/>
  <c r="BA28" i="45"/>
  <c r="AZ28" i="45"/>
  <c r="AY28" i="45"/>
  <c r="AX28" i="45"/>
  <c r="AW28" i="45"/>
  <c r="AV28" i="45"/>
  <c r="AU28" i="45"/>
  <c r="AT28" i="45"/>
  <c r="AS28" i="45"/>
  <c r="AR28" i="45"/>
  <c r="AQ28" i="45"/>
  <c r="AP28" i="45"/>
  <c r="AO28" i="45"/>
  <c r="AN28" i="45"/>
  <c r="AM28" i="45"/>
  <c r="BV27" i="45"/>
  <c r="BY26" i="45"/>
  <c r="BY32" i="45" s="1"/>
  <c r="AP92" i="45" s="1"/>
  <c r="U6" i="45" s="1"/>
  <c r="BX26" i="45"/>
  <c r="BX32" i="45" s="1"/>
  <c r="BW26" i="45"/>
  <c r="BW32" i="45" s="1"/>
  <c r="BV26" i="45"/>
  <c r="BV32" i="45" s="1"/>
  <c r="BP26" i="45"/>
  <c r="BO26" i="45"/>
  <c r="BN26" i="45"/>
  <c r="BM26" i="45"/>
  <c r="BL26" i="45"/>
  <c r="BK26" i="45"/>
  <c r="BJ26" i="45"/>
  <c r="BI26" i="45"/>
  <c r="BH26" i="45"/>
  <c r="BG26" i="45"/>
  <c r="BF26" i="45"/>
  <c r="BE26" i="45"/>
  <c r="BD26" i="45"/>
  <c r="BC26" i="45"/>
  <c r="BB26" i="45"/>
  <c r="BA26" i="45"/>
  <c r="AZ26" i="45"/>
  <c r="AY26" i="45"/>
  <c r="AX26" i="45"/>
  <c r="AW26" i="45"/>
  <c r="AV26" i="45"/>
  <c r="AU26" i="45"/>
  <c r="AT26" i="45"/>
  <c r="AS26" i="45"/>
  <c r="AR26" i="45"/>
  <c r="AQ26" i="45"/>
  <c r="AP26" i="45"/>
  <c r="AO26" i="45"/>
  <c r="AN26" i="45"/>
  <c r="AM26" i="45"/>
  <c r="BP24" i="45"/>
  <c r="BO24" i="45"/>
  <c r="BN24" i="45"/>
  <c r="BM24" i="45"/>
  <c r="BL24" i="45"/>
  <c r="BK24" i="45"/>
  <c r="BJ24" i="45"/>
  <c r="BI24" i="45"/>
  <c r="BH24" i="45"/>
  <c r="BG24" i="45"/>
  <c r="BF24" i="45"/>
  <c r="BE24" i="45"/>
  <c r="BD24" i="45"/>
  <c r="BC24" i="45"/>
  <c r="BB24" i="45"/>
  <c r="BA24" i="45"/>
  <c r="AZ24" i="45"/>
  <c r="AY24" i="45"/>
  <c r="AX24" i="45"/>
  <c r="AW24" i="45"/>
  <c r="AV24" i="45"/>
  <c r="AU24" i="45"/>
  <c r="AT24" i="45"/>
  <c r="AS24" i="45"/>
  <c r="AR24" i="45"/>
  <c r="AQ24" i="45"/>
  <c r="AP24" i="45"/>
  <c r="AO24" i="45"/>
  <c r="AN24" i="45"/>
  <c r="AM24" i="45"/>
  <c r="BP22" i="45"/>
  <c r="BO22" i="45"/>
  <c r="BN22" i="45"/>
  <c r="BM22" i="45"/>
  <c r="BL22" i="45"/>
  <c r="BK22" i="45"/>
  <c r="BJ22" i="45"/>
  <c r="BI22" i="45"/>
  <c r="BH22" i="45"/>
  <c r="BG22" i="45"/>
  <c r="BF22" i="45"/>
  <c r="BE22" i="45"/>
  <c r="BD22" i="45"/>
  <c r="BC22" i="45"/>
  <c r="BB22" i="45"/>
  <c r="BA22" i="45"/>
  <c r="AZ22" i="45"/>
  <c r="AY22" i="45"/>
  <c r="AX22" i="45"/>
  <c r="AW22" i="45"/>
  <c r="AV22" i="45"/>
  <c r="AU22" i="45"/>
  <c r="AT22" i="45"/>
  <c r="AS22" i="45"/>
  <c r="AR22" i="45"/>
  <c r="AQ22" i="45"/>
  <c r="AP22" i="45"/>
  <c r="AO22" i="45"/>
  <c r="AN22" i="45"/>
  <c r="AM22" i="45"/>
  <c r="BV20" i="45"/>
  <c r="BP20" i="45"/>
  <c r="BO20" i="45"/>
  <c r="BN20" i="45"/>
  <c r="BM20" i="45"/>
  <c r="BL20" i="45"/>
  <c r="BK20" i="45"/>
  <c r="BJ20" i="45"/>
  <c r="BI20" i="45"/>
  <c r="BH20" i="45"/>
  <c r="BG20" i="45"/>
  <c r="BF20" i="45"/>
  <c r="BE20" i="45"/>
  <c r="BD20" i="45"/>
  <c r="BC20" i="45"/>
  <c r="BB20" i="45"/>
  <c r="BA20" i="45"/>
  <c r="AZ20" i="45"/>
  <c r="AY20" i="45"/>
  <c r="AX20" i="45"/>
  <c r="AW20" i="45"/>
  <c r="AV20" i="45"/>
  <c r="AU20" i="45"/>
  <c r="AT20" i="45"/>
  <c r="AS20" i="45"/>
  <c r="AR20" i="45"/>
  <c r="AQ20" i="45"/>
  <c r="AP20" i="45"/>
  <c r="AO20" i="45"/>
  <c r="AN20" i="45"/>
  <c r="AM20" i="45"/>
  <c r="BP18" i="45"/>
  <c r="BO18" i="45"/>
  <c r="BN18" i="45"/>
  <c r="BM18" i="45"/>
  <c r="BL18" i="45"/>
  <c r="BK18" i="45"/>
  <c r="BJ18" i="45"/>
  <c r="BI18" i="45"/>
  <c r="BH18" i="45"/>
  <c r="BG18" i="45"/>
  <c r="BF18" i="45"/>
  <c r="BE18" i="45"/>
  <c r="BD18" i="45"/>
  <c r="BC18" i="45"/>
  <c r="BB18" i="45"/>
  <c r="BA18" i="45"/>
  <c r="AZ18" i="45"/>
  <c r="AY18" i="45"/>
  <c r="AX18" i="45"/>
  <c r="AW18" i="45"/>
  <c r="AV18" i="45"/>
  <c r="AU18" i="45"/>
  <c r="AT18" i="45"/>
  <c r="AS18" i="45"/>
  <c r="AR18" i="45"/>
  <c r="AQ18" i="45"/>
  <c r="AP18" i="45"/>
  <c r="AO18" i="45"/>
  <c r="AN18" i="45"/>
  <c r="AM18" i="45"/>
  <c r="BP16" i="45"/>
  <c r="BO16" i="45"/>
  <c r="BN16" i="45"/>
  <c r="BM16" i="45"/>
  <c r="BL16" i="45"/>
  <c r="BK16" i="45"/>
  <c r="BK92" i="45" s="1"/>
  <c r="BJ16" i="45"/>
  <c r="BJ92" i="45" s="1"/>
  <c r="F195" i="45" s="1"/>
  <c r="BI16" i="45"/>
  <c r="BH16" i="45"/>
  <c r="BG16" i="45"/>
  <c r="BF16" i="45"/>
  <c r="BE16" i="45"/>
  <c r="BD16" i="45"/>
  <c r="BD92" i="45" s="1"/>
  <c r="F203" i="45" s="1"/>
  <c r="BC16" i="45"/>
  <c r="BC92" i="45" s="1"/>
  <c r="F202" i="45" s="1"/>
  <c r="BB16" i="45"/>
  <c r="BB92" i="45" s="1"/>
  <c r="F192" i="45" s="1"/>
  <c r="BA16" i="45"/>
  <c r="AZ16" i="45"/>
  <c r="AY16" i="45"/>
  <c r="AX16" i="45"/>
  <c r="AW16" i="45"/>
  <c r="AV16" i="45"/>
  <c r="AV92" i="45" s="1"/>
  <c r="F206" i="45" s="1"/>
  <c r="AU16" i="45"/>
  <c r="AU92" i="45" s="1"/>
  <c r="AT16" i="45"/>
  <c r="AT92" i="45" s="1"/>
  <c r="U8" i="45" s="1"/>
  <c r="AP8" i="45" s="1"/>
  <c r="AS16" i="45"/>
  <c r="AR16" i="45"/>
  <c r="AQ16" i="45"/>
  <c r="AP16" i="45"/>
  <c r="AO16" i="45"/>
  <c r="AN16" i="45"/>
  <c r="AM16" i="45"/>
  <c r="D277" i="44"/>
  <c r="D276" i="44"/>
  <c r="BD50" i="44" s="1"/>
  <c r="D275" i="44"/>
  <c r="BI34" i="44" s="1"/>
  <c r="B275" i="44"/>
  <c r="Q273" i="44"/>
  <c r="O273" i="44"/>
  <c r="M273" i="44"/>
  <c r="AZ272" i="44"/>
  <c r="AY272" i="44"/>
  <c r="AW272" i="44"/>
  <c r="AV272" i="44"/>
  <c r="AN272" i="44"/>
  <c r="Q272" i="44"/>
  <c r="O272" i="44"/>
  <c r="M272" i="44"/>
  <c r="AZ271" i="44"/>
  <c r="AY271" i="44"/>
  <c r="AW271" i="44"/>
  <c r="AV271" i="44"/>
  <c r="Q271" i="44"/>
  <c r="O271" i="44"/>
  <c r="M271" i="44"/>
  <c r="AZ270" i="44"/>
  <c r="AY270" i="44"/>
  <c r="AW270" i="44"/>
  <c r="AV270" i="44"/>
  <c r="AN270" i="44"/>
  <c r="Q270" i="44"/>
  <c r="O270" i="44"/>
  <c r="M270" i="44"/>
  <c r="AZ269" i="44"/>
  <c r="AY269" i="44"/>
  <c r="AW269" i="44"/>
  <c r="AV269" i="44"/>
  <c r="Q269" i="44"/>
  <c r="O269" i="44"/>
  <c r="M269" i="44"/>
  <c r="AZ268" i="44"/>
  <c r="AY268" i="44"/>
  <c r="AW268" i="44"/>
  <c r="AV268" i="44"/>
  <c r="AN268" i="44"/>
  <c r="Q268" i="44"/>
  <c r="O268" i="44"/>
  <c r="M268" i="44"/>
  <c r="AZ267" i="44"/>
  <c r="AY267" i="44"/>
  <c r="AW267" i="44"/>
  <c r="AV267" i="44"/>
  <c r="Q267" i="44"/>
  <c r="O267" i="44"/>
  <c r="M267" i="44"/>
  <c r="AZ266" i="44"/>
  <c r="AY266" i="44"/>
  <c r="AW266" i="44"/>
  <c r="AV266" i="44"/>
  <c r="AN266" i="44"/>
  <c r="Q266" i="44"/>
  <c r="O266" i="44"/>
  <c r="M266" i="44"/>
  <c r="AZ265" i="44"/>
  <c r="AY265" i="44"/>
  <c r="AW265" i="44"/>
  <c r="AV265" i="44"/>
  <c r="Q265" i="44"/>
  <c r="O265" i="44"/>
  <c r="M265" i="44"/>
  <c r="AZ264" i="44"/>
  <c r="AY264" i="44"/>
  <c r="AW264" i="44"/>
  <c r="AV264" i="44"/>
  <c r="AN264" i="44"/>
  <c r="Q264" i="44"/>
  <c r="O264" i="44"/>
  <c r="M264" i="44"/>
  <c r="AZ263" i="44"/>
  <c r="AY263" i="44"/>
  <c r="AW263" i="44"/>
  <c r="AV263" i="44"/>
  <c r="Q263" i="44"/>
  <c r="O263" i="44"/>
  <c r="M263" i="44"/>
  <c r="AZ262" i="44"/>
  <c r="AY262" i="44"/>
  <c r="AW262" i="44"/>
  <c r="AV262" i="44"/>
  <c r="AN262" i="44"/>
  <c r="Q262" i="44"/>
  <c r="O262" i="44"/>
  <c r="M262" i="44"/>
  <c r="AZ261" i="44"/>
  <c r="AY261" i="44"/>
  <c r="AW261" i="44"/>
  <c r="Q261" i="44"/>
  <c r="O261" i="44"/>
  <c r="M261" i="44"/>
  <c r="AZ260" i="44"/>
  <c r="AW260" i="44"/>
  <c r="AN260" i="44"/>
  <c r="Q260" i="44"/>
  <c r="O260" i="44"/>
  <c r="M260" i="44"/>
  <c r="AZ259" i="44"/>
  <c r="AY259" i="44"/>
  <c r="AW259" i="44"/>
  <c r="AV259" i="44"/>
  <c r="Q259" i="44"/>
  <c r="O259" i="44"/>
  <c r="M259" i="44"/>
  <c r="AZ258" i="44"/>
  <c r="AW258" i="44"/>
  <c r="AV258" i="44"/>
  <c r="AN258" i="44"/>
  <c r="Q258" i="44"/>
  <c r="O258" i="44"/>
  <c r="M258" i="44"/>
  <c r="AZ257" i="44"/>
  <c r="Q257" i="44"/>
  <c r="O257" i="44"/>
  <c r="M257" i="44"/>
  <c r="AZ256" i="44"/>
  <c r="AV256" i="44"/>
  <c r="AN256" i="44"/>
  <c r="Q256" i="44"/>
  <c r="O256" i="44"/>
  <c r="M256" i="44"/>
  <c r="AZ255" i="44"/>
  <c r="Q255" i="44"/>
  <c r="O255" i="44"/>
  <c r="M255" i="44"/>
  <c r="AZ254" i="44"/>
  <c r="AY254" i="44"/>
  <c r="AN254" i="44"/>
  <c r="Q254" i="44"/>
  <c r="O254" i="44"/>
  <c r="M254" i="44"/>
  <c r="AZ253" i="44"/>
  <c r="AY253" i="44"/>
  <c r="AW253" i="44"/>
  <c r="AV253" i="44"/>
  <c r="Q253" i="44"/>
  <c r="O253" i="44"/>
  <c r="M253" i="44"/>
  <c r="AZ252" i="44"/>
  <c r="AY252" i="44"/>
  <c r="AW252" i="44"/>
  <c r="AV252" i="44"/>
  <c r="AN252" i="44"/>
  <c r="Q252" i="44"/>
  <c r="O252" i="44"/>
  <c r="M252" i="44"/>
  <c r="AZ251" i="44"/>
  <c r="AY251" i="44"/>
  <c r="AW251" i="44"/>
  <c r="AV251" i="44"/>
  <c r="Q251" i="44"/>
  <c r="O251" i="44"/>
  <c r="M251" i="44"/>
  <c r="AZ250" i="44"/>
  <c r="AY250" i="44"/>
  <c r="AW250" i="44"/>
  <c r="AV250" i="44"/>
  <c r="AN250" i="44"/>
  <c r="Q250" i="44"/>
  <c r="O250" i="44"/>
  <c r="M250" i="44"/>
  <c r="AZ249" i="44"/>
  <c r="AY249" i="44"/>
  <c r="AW249" i="44"/>
  <c r="AV249" i="44"/>
  <c r="Q249" i="44"/>
  <c r="O249" i="44"/>
  <c r="M249" i="44"/>
  <c r="AZ248" i="44"/>
  <c r="AY248" i="44"/>
  <c r="AW248" i="44"/>
  <c r="AV248" i="44"/>
  <c r="AN248" i="44"/>
  <c r="Q248" i="44"/>
  <c r="O248" i="44"/>
  <c r="M248" i="44"/>
  <c r="AZ247" i="44"/>
  <c r="AY247" i="44"/>
  <c r="AW247" i="44"/>
  <c r="AV247" i="44"/>
  <c r="Q247" i="44"/>
  <c r="O247" i="44"/>
  <c r="M247" i="44"/>
  <c r="AZ246" i="44"/>
  <c r="AY246" i="44"/>
  <c r="AW246" i="44"/>
  <c r="AV246" i="44"/>
  <c r="AN246" i="44"/>
  <c r="Q246" i="44"/>
  <c r="O246" i="44"/>
  <c r="M246" i="44"/>
  <c r="AZ245" i="44"/>
  <c r="AY245" i="44"/>
  <c r="AW245" i="44"/>
  <c r="AV245" i="44"/>
  <c r="Q245" i="44"/>
  <c r="O245" i="44"/>
  <c r="M245" i="44"/>
  <c r="AZ244" i="44"/>
  <c r="AY244" i="44"/>
  <c r="AW244" i="44"/>
  <c r="AV244" i="44"/>
  <c r="AN244" i="44"/>
  <c r="Q244" i="44"/>
  <c r="O244" i="44"/>
  <c r="M244" i="44"/>
  <c r="AZ243" i="44"/>
  <c r="AY243" i="44"/>
  <c r="AW243" i="44"/>
  <c r="AV243" i="44"/>
  <c r="Q243" i="44"/>
  <c r="O243" i="44"/>
  <c r="M243" i="44"/>
  <c r="AZ242" i="44"/>
  <c r="AY242" i="44"/>
  <c r="AW242" i="44"/>
  <c r="AV242" i="44"/>
  <c r="AN242" i="44"/>
  <c r="Q242" i="44"/>
  <c r="O242" i="44"/>
  <c r="M242" i="44"/>
  <c r="AZ241" i="44"/>
  <c r="AY241" i="44"/>
  <c r="AW241" i="44"/>
  <c r="AV241" i="44"/>
  <c r="Q241" i="44"/>
  <c r="O241" i="44"/>
  <c r="M241" i="44"/>
  <c r="AZ240" i="44"/>
  <c r="AY240" i="44"/>
  <c r="AW240" i="44"/>
  <c r="AV240" i="44"/>
  <c r="AN240" i="44"/>
  <c r="Q240" i="44"/>
  <c r="O240" i="44"/>
  <c r="M240" i="44"/>
  <c r="AZ239" i="44"/>
  <c r="AY239" i="44"/>
  <c r="AW239" i="44"/>
  <c r="AV239" i="44"/>
  <c r="Q239" i="44"/>
  <c r="O239" i="44"/>
  <c r="M239" i="44"/>
  <c r="AZ238" i="44"/>
  <c r="AY238" i="44"/>
  <c r="AW238" i="44"/>
  <c r="AV238" i="44"/>
  <c r="AN238" i="44"/>
  <c r="Q238" i="44"/>
  <c r="Q275" i="44" s="1"/>
  <c r="O238" i="44"/>
  <c r="M238" i="44"/>
  <c r="AZ237" i="44"/>
  <c r="AY237" i="44"/>
  <c r="AW237" i="44"/>
  <c r="AV237" i="44"/>
  <c r="Q237" i="44"/>
  <c r="O237" i="44"/>
  <c r="M237" i="44"/>
  <c r="AZ236" i="44"/>
  <c r="AY236" i="44"/>
  <c r="AW236" i="44"/>
  <c r="AV236" i="44"/>
  <c r="AN236" i="44"/>
  <c r="Q236" i="44"/>
  <c r="O236" i="44"/>
  <c r="M236" i="44"/>
  <c r="AZ235" i="44"/>
  <c r="AY235" i="44"/>
  <c r="AW235" i="44"/>
  <c r="AV235" i="44"/>
  <c r="Q235" i="44"/>
  <c r="O235" i="44"/>
  <c r="M235" i="44"/>
  <c r="AZ234" i="44"/>
  <c r="AY234" i="44"/>
  <c r="AW234" i="44"/>
  <c r="AV234" i="44"/>
  <c r="AN234" i="44"/>
  <c r="Q234" i="44"/>
  <c r="O234" i="44"/>
  <c r="O275" i="44" s="1"/>
  <c r="AN92" i="44" s="1"/>
  <c r="D8" i="44" s="1"/>
  <c r="M234" i="44"/>
  <c r="AT234" i="44" s="1"/>
  <c r="H181" i="44"/>
  <c r="AV261" i="44" s="1"/>
  <c r="H180" i="44"/>
  <c r="AY260" i="44" s="1"/>
  <c r="H179" i="44"/>
  <c r="H178" i="44"/>
  <c r="AY258" i="44" s="1"/>
  <c r="H177" i="44"/>
  <c r="H176" i="44"/>
  <c r="AW257" i="44" s="1"/>
  <c r="H175" i="44"/>
  <c r="AY256" i="44" s="1"/>
  <c r="H174" i="44"/>
  <c r="H173" i="44"/>
  <c r="H172" i="44"/>
  <c r="AY255" i="44" s="1"/>
  <c r="H171" i="44"/>
  <c r="H170" i="44"/>
  <c r="AW254" i="44" s="1"/>
  <c r="H169" i="44"/>
  <c r="H168" i="44"/>
  <c r="H167" i="44"/>
  <c r="H166" i="44"/>
  <c r="H165" i="44"/>
  <c r="H164" i="44"/>
  <c r="H163" i="44"/>
  <c r="H162" i="44"/>
  <c r="H161" i="44"/>
  <c r="H160" i="44"/>
  <c r="H158" i="44"/>
  <c r="H157" i="44"/>
  <c r="H156" i="44"/>
  <c r="H155" i="44"/>
  <c r="H154" i="44"/>
  <c r="H153" i="44"/>
  <c r="H152" i="44"/>
  <c r="H151" i="44"/>
  <c r="H150" i="44"/>
  <c r="H149" i="44"/>
  <c r="H148" i="44"/>
  <c r="H147" i="44"/>
  <c r="H146" i="44"/>
  <c r="H145" i="44"/>
  <c r="H144" i="44"/>
  <c r="H143" i="44"/>
  <c r="H142" i="44"/>
  <c r="H141" i="44"/>
  <c r="H140" i="44"/>
  <c r="H139" i="44"/>
  <c r="H138" i="44"/>
  <c r="H137" i="44"/>
  <c r="H136" i="44"/>
  <c r="H135" i="44"/>
  <c r="H134" i="44"/>
  <c r="H133" i="44"/>
  <c r="H132" i="44"/>
  <c r="H131" i="44"/>
  <c r="H130" i="44"/>
  <c r="H129" i="44"/>
  <c r="H128" i="44"/>
  <c r="H127" i="44"/>
  <c r="H126" i="44"/>
  <c r="H125" i="44"/>
  <c r="H124" i="44"/>
  <c r="H123" i="44"/>
  <c r="H122" i="44"/>
  <c r="H121" i="44"/>
  <c r="H120" i="44"/>
  <c r="H119" i="44"/>
  <c r="H118" i="44"/>
  <c r="H117" i="44"/>
  <c r="H116" i="44"/>
  <c r="H115" i="44"/>
  <c r="H114" i="44"/>
  <c r="H113" i="44"/>
  <c r="H112" i="44"/>
  <c r="H111" i="44"/>
  <c r="H110" i="44"/>
  <c r="H109" i="44"/>
  <c r="H108" i="44"/>
  <c r="H107" i="44"/>
  <c r="H106" i="44"/>
  <c r="H105" i="44"/>
  <c r="H104" i="44"/>
  <c r="H103" i="44"/>
  <c r="BS92" i="44"/>
  <c r="BU90" i="44"/>
  <c r="BT90" i="44"/>
  <c r="BS90" i="44"/>
  <c r="BR90" i="44"/>
  <c r="BQ90" i="44"/>
  <c r="BP90" i="44"/>
  <c r="BO90" i="44"/>
  <c r="BN90" i="44"/>
  <c r="BM90" i="44"/>
  <c r="BL90" i="44"/>
  <c r="BK90" i="44"/>
  <c r="AU90" i="44"/>
  <c r="AR90" i="44"/>
  <c r="AQ90" i="44"/>
  <c r="AO90" i="44"/>
  <c r="AN90" i="44"/>
  <c r="AM90" i="44"/>
  <c r="BQ89" i="44"/>
  <c r="BP89" i="44"/>
  <c r="BO89" i="44"/>
  <c r="BN89" i="44"/>
  <c r="BM89" i="44"/>
  <c r="BL89" i="44"/>
  <c r="BK89" i="44"/>
  <c r="AU89" i="44"/>
  <c r="AR89" i="44"/>
  <c r="AQ89" i="44"/>
  <c r="AO89" i="44"/>
  <c r="AN89" i="44"/>
  <c r="AM89" i="44"/>
  <c r="BU88" i="44"/>
  <c r="BT88" i="44"/>
  <c r="BT92" i="44" s="1"/>
  <c r="BS88" i="44"/>
  <c r="BR88" i="44"/>
  <c r="BQ88" i="44"/>
  <c r="BP88" i="44"/>
  <c r="BO88" i="44"/>
  <c r="BN88" i="44"/>
  <c r="BM88" i="44"/>
  <c r="BL88" i="44"/>
  <c r="BK88" i="44"/>
  <c r="AU88" i="44"/>
  <c r="AR88" i="44"/>
  <c r="AQ88" i="44"/>
  <c r="AO88" i="44"/>
  <c r="AN88" i="44"/>
  <c r="AM88" i="44"/>
  <c r="BQ87" i="44"/>
  <c r="BP87" i="44"/>
  <c r="BO87" i="44"/>
  <c r="BN87" i="44"/>
  <c r="BM87" i="44"/>
  <c r="BL87" i="44"/>
  <c r="BK87" i="44"/>
  <c r="AU87" i="44"/>
  <c r="AR87" i="44"/>
  <c r="AQ87" i="44"/>
  <c r="AO87" i="44"/>
  <c r="AN87" i="44"/>
  <c r="AM87" i="44"/>
  <c r="BU86" i="44"/>
  <c r="BU92" i="44" s="1"/>
  <c r="BT86" i="44"/>
  <c r="BS86" i="44"/>
  <c r="BR86" i="44"/>
  <c r="BR92" i="44" s="1"/>
  <c r="BQ86" i="44"/>
  <c r="BQ92" i="44" s="1"/>
  <c r="BP86" i="44"/>
  <c r="BO86" i="44"/>
  <c r="BN86" i="44"/>
  <c r="BM86" i="44"/>
  <c r="BL86" i="44"/>
  <c r="BK86" i="44"/>
  <c r="AU86" i="44"/>
  <c r="AR86" i="44"/>
  <c r="AQ86" i="44"/>
  <c r="AO86" i="44"/>
  <c r="AN86" i="44"/>
  <c r="AM86" i="44"/>
  <c r="BP82" i="44"/>
  <c r="BO82" i="44"/>
  <c r="BN82" i="44"/>
  <c r="BM82" i="44"/>
  <c r="BL82" i="44"/>
  <c r="BK82" i="44"/>
  <c r="BJ82" i="44"/>
  <c r="BI82" i="44"/>
  <c r="BH82" i="44"/>
  <c r="BG82" i="44"/>
  <c r="BF82" i="44"/>
  <c r="BE82" i="44"/>
  <c r="BD82" i="44"/>
  <c r="BC82" i="44"/>
  <c r="BB82" i="44"/>
  <c r="BA82" i="44"/>
  <c r="AZ82" i="44"/>
  <c r="AY82" i="44"/>
  <c r="AX82" i="44"/>
  <c r="AW82" i="44"/>
  <c r="AV82" i="44"/>
  <c r="AU82" i="44"/>
  <c r="AT82" i="44"/>
  <c r="AS82" i="44"/>
  <c r="AR82" i="44"/>
  <c r="AQ82" i="44"/>
  <c r="AP82" i="44"/>
  <c r="AO82" i="44"/>
  <c r="AN82" i="44"/>
  <c r="AM82" i="44"/>
  <c r="BP80" i="44"/>
  <c r="BO80" i="44"/>
  <c r="BN80" i="44"/>
  <c r="BM80" i="44"/>
  <c r="BL80" i="44"/>
  <c r="BK80" i="44"/>
  <c r="BJ80" i="44"/>
  <c r="BI80" i="44"/>
  <c r="BH80" i="44"/>
  <c r="BG80" i="44"/>
  <c r="BF80" i="44"/>
  <c r="BE80" i="44"/>
  <c r="BD80" i="44"/>
  <c r="BC80" i="44"/>
  <c r="BB80" i="44"/>
  <c r="BA80" i="44"/>
  <c r="AZ80" i="44"/>
  <c r="AY80" i="44"/>
  <c r="AX80" i="44"/>
  <c r="AW80" i="44"/>
  <c r="AV80" i="44"/>
  <c r="AU80" i="44"/>
  <c r="AT80" i="44"/>
  <c r="AS80" i="44"/>
  <c r="AR80" i="44"/>
  <c r="AQ80" i="44"/>
  <c r="AP80" i="44"/>
  <c r="AO80" i="44"/>
  <c r="AN80" i="44"/>
  <c r="AM80" i="44"/>
  <c r="BP78" i="44"/>
  <c r="BO78" i="44"/>
  <c r="BN78" i="44"/>
  <c r="BM78" i="44"/>
  <c r="BL78" i="44"/>
  <c r="BK78" i="44"/>
  <c r="BJ78" i="44"/>
  <c r="BI78" i="44"/>
  <c r="BH78" i="44"/>
  <c r="BG78" i="44"/>
  <c r="BF78" i="44"/>
  <c r="BE78" i="44"/>
  <c r="BD78" i="44"/>
  <c r="BC78" i="44"/>
  <c r="BB78" i="44"/>
  <c r="BA78" i="44"/>
  <c r="AZ78" i="44"/>
  <c r="AY78" i="44"/>
  <c r="AX78" i="44"/>
  <c r="AW78" i="44"/>
  <c r="AV78" i="44"/>
  <c r="AU78" i="44"/>
  <c r="AT78" i="44"/>
  <c r="AS78" i="44"/>
  <c r="AR78" i="44"/>
  <c r="AQ78" i="44"/>
  <c r="AP78" i="44"/>
  <c r="AO78" i="44"/>
  <c r="AN78" i="44"/>
  <c r="AM78" i="44"/>
  <c r="BP74" i="44"/>
  <c r="BO74" i="44"/>
  <c r="BN74" i="44"/>
  <c r="BM74" i="44"/>
  <c r="BL74" i="44"/>
  <c r="BK74" i="44"/>
  <c r="BJ74" i="44"/>
  <c r="BI74" i="44"/>
  <c r="BH74" i="44"/>
  <c r="BG74" i="44"/>
  <c r="BF74" i="44"/>
  <c r="BE74" i="44"/>
  <c r="BD74" i="44"/>
  <c r="BC74" i="44"/>
  <c r="BB74" i="44"/>
  <c r="BA74" i="44"/>
  <c r="AZ74" i="44"/>
  <c r="AY74" i="44"/>
  <c r="AX74" i="44"/>
  <c r="AW74" i="44"/>
  <c r="AV74" i="44"/>
  <c r="AU74" i="44"/>
  <c r="AT74" i="44"/>
  <c r="AS74" i="44"/>
  <c r="AR74" i="44"/>
  <c r="AQ74" i="44"/>
  <c r="AP74" i="44"/>
  <c r="AO74" i="44"/>
  <c r="AN74" i="44"/>
  <c r="AM74" i="44"/>
  <c r="BP72" i="44"/>
  <c r="BO72" i="44"/>
  <c r="BN72" i="44"/>
  <c r="BM72" i="44"/>
  <c r="BL72" i="44"/>
  <c r="BK72" i="44"/>
  <c r="BJ72" i="44"/>
  <c r="BI72" i="44"/>
  <c r="BH72" i="44"/>
  <c r="BG72" i="44"/>
  <c r="BF72" i="44"/>
  <c r="BE72" i="44"/>
  <c r="BD72" i="44"/>
  <c r="BC72" i="44"/>
  <c r="BB72" i="44"/>
  <c r="BA72" i="44"/>
  <c r="AZ72" i="44"/>
  <c r="AY72" i="44"/>
  <c r="AX72" i="44"/>
  <c r="AW72" i="44"/>
  <c r="AV72" i="44"/>
  <c r="AU72" i="44"/>
  <c r="AT72" i="44"/>
  <c r="AS72" i="44"/>
  <c r="AR72" i="44"/>
  <c r="AQ72" i="44"/>
  <c r="AP72" i="44"/>
  <c r="AO72" i="44"/>
  <c r="AN72" i="44"/>
  <c r="AM72" i="44"/>
  <c r="BP70" i="44"/>
  <c r="BO70" i="44"/>
  <c r="BN70" i="44"/>
  <c r="BM70" i="44"/>
  <c r="BL70" i="44"/>
  <c r="BK70" i="44"/>
  <c r="BJ70" i="44"/>
  <c r="BI70" i="44"/>
  <c r="BH70" i="44"/>
  <c r="BG70" i="44"/>
  <c r="BF70" i="44"/>
  <c r="BE70" i="44"/>
  <c r="BD70" i="44"/>
  <c r="BC70" i="44"/>
  <c r="BB70" i="44"/>
  <c r="BA70" i="44"/>
  <c r="AZ70" i="44"/>
  <c r="AY70" i="44"/>
  <c r="AX70" i="44"/>
  <c r="AW70" i="44"/>
  <c r="AV70" i="44"/>
  <c r="AU70" i="44"/>
  <c r="AT70" i="44"/>
  <c r="AS70" i="44"/>
  <c r="AR70" i="44"/>
  <c r="AQ70" i="44"/>
  <c r="AP70" i="44"/>
  <c r="AO70" i="44"/>
  <c r="AN70" i="44"/>
  <c r="AM70" i="44"/>
  <c r="BP66" i="44"/>
  <c r="BO66" i="44"/>
  <c r="BN66" i="44"/>
  <c r="BM66" i="44"/>
  <c r="BL66" i="44"/>
  <c r="BK66" i="44"/>
  <c r="BJ66" i="44"/>
  <c r="BI66" i="44"/>
  <c r="BH66" i="44"/>
  <c r="BG66" i="44"/>
  <c r="BF66" i="44"/>
  <c r="BE66" i="44"/>
  <c r="BD66" i="44"/>
  <c r="BC66" i="44"/>
  <c r="BB66" i="44"/>
  <c r="BA66" i="44"/>
  <c r="AZ66" i="44"/>
  <c r="AY66" i="44"/>
  <c r="AX66" i="44"/>
  <c r="AW66" i="44"/>
  <c r="AV66" i="44"/>
  <c r="AU66" i="44"/>
  <c r="AT66" i="44"/>
  <c r="AS66" i="44"/>
  <c r="AR66" i="44"/>
  <c r="AQ66" i="44"/>
  <c r="AP66" i="44"/>
  <c r="AO66" i="44"/>
  <c r="AN66" i="44"/>
  <c r="AM66" i="44"/>
  <c r="BP64" i="44"/>
  <c r="BO64" i="44"/>
  <c r="BN64" i="44"/>
  <c r="BM64" i="44"/>
  <c r="BL64" i="44"/>
  <c r="BK64" i="44"/>
  <c r="BJ64" i="44"/>
  <c r="BI64" i="44"/>
  <c r="BH64" i="44"/>
  <c r="BG64" i="44"/>
  <c r="BF64" i="44"/>
  <c r="BE64" i="44"/>
  <c r="BD64" i="44"/>
  <c r="BC64" i="44"/>
  <c r="BB64" i="44"/>
  <c r="BA64" i="44"/>
  <c r="AZ64" i="44"/>
  <c r="AY64" i="44"/>
  <c r="AX64" i="44"/>
  <c r="AW64" i="44"/>
  <c r="AV64" i="44"/>
  <c r="AU64" i="44"/>
  <c r="AT64" i="44"/>
  <c r="AS64" i="44"/>
  <c r="AR64" i="44"/>
  <c r="AQ64" i="44"/>
  <c r="AP64" i="44"/>
  <c r="AO64" i="44"/>
  <c r="AN64" i="44"/>
  <c r="AM64" i="44"/>
  <c r="BP62" i="44"/>
  <c r="BO62" i="44"/>
  <c r="BN62" i="44"/>
  <c r="BM62" i="44"/>
  <c r="BL62" i="44"/>
  <c r="BK62" i="44"/>
  <c r="BJ62" i="44"/>
  <c r="BI62" i="44"/>
  <c r="BH62" i="44"/>
  <c r="BG62" i="44"/>
  <c r="BF62" i="44"/>
  <c r="BE62" i="44"/>
  <c r="BD62" i="44"/>
  <c r="BC62" i="44"/>
  <c r="BB62" i="44"/>
  <c r="BA62" i="44"/>
  <c r="AZ62" i="44"/>
  <c r="AY62" i="44"/>
  <c r="AX62" i="44"/>
  <c r="AW62" i="44"/>
  <c r="AV62" i="44"/>
  <c r="AU62" i="44"/>
  <c r="AT62" i="44"/>
  <c r="AS62" i="44"/>
  <c r="AR62" i="44"/>
  <c r="AQ62" i="44"/>
  <c r="AP62" i="44"/>
  <c r="AO62" i="44"/>
  <c r="AN62" i="44"/>
  <c r="AM62" i="44"/>
  <c r="BP60" i="44"/>
  <c r="BO60" i="44"/>
  <c r="BN60" i="44"/>
  <c r="BM60" i="44"/>
  <c r="BL60" i="44"/>
  <c r="BK60" i="44"/>
  <c r="BJ60" i="44"/>
  <c r="BI60" i="44"/>
  <c r="BH60" i="44"/>
  <c r="BG60" i="44"/>
  <c r="BF60" i="44"/>
  <c r="BE60" i="44"/>
  <c r="BD60" i="44"/>
  <c r="BC60" i="44"/>
  <c r="BB60" i="44"/>
  <c r="BA60" i="44"/>
  <c r="AZ60" i="44"/>
  <c r="AY60" i="44"/>
  <c r="AX60" i="44"/>
  <c r="AW60" i="44"/>
  <c r="AV60" i="44"/>
  <c r="AU60" i="44"/>
  <c r="AT60" i="44"/>
  <c r="AS60" i="44"/>
  <c r="AR60" i="44"/>
  <c r="AQ60" i="44"/>
  <c r="AP60" i="44"/>
  <c r="AO60" i="44"/>
  <c r="AN60" i="44"/>
  <c r="AM60" i="44"/>
  <c r="BP58" i="44"/>
  <c r="BO58" i="44"/>
  <c r="BN58" i="44"/>
  <c r="BM58" i="44"/>
  <c r="BL58" i="44"/>
  <c r="BK58" i="44"/>
  <c r="BJ58" i="44"/>
  <c r="BI58" i="44"/>
  <c r="BH58" i="44"/>
  <c r="BG58" i="44"/>
  <c r="BF58" i="44"/>
  <c r="BE58" i="44"/>
  <c r="BD58" i="44"/>
  <c r="BC58" i="44"/>
  <c r="BB58" i="44"/>
  <c r="BA58" i="44"/>
  <c r="AZ58" i="44"/>
  <c r="AY58" i="44"/>
  <c r="AX58" i="44"/>
  <c r="AW58" i="44"/>
  <c r="AV58" i="44"/>
  <c r="AU58" i="44"/>
  <c r="AT58" i="44"/>
  <c r="AS58" i="44"/>
  <c r="AR58" i="44"/>
  <c r="AQ58" i="44"/>
  <c r="AP58" i="44"/>
  <c r="AO58" i="44"/>
  <c r="AN58" i="44"/>
  <c r="AM58" i="44"/>
  <c r="BP56" i="44"/>
  <c r="BO56" i="44"/>
  <c r="BN56" i="44"/>
  <c r="BM56" i="44"/>
  <c r="BL56" i="44"/>
  <c r="BK56" i="44"/>
  <c r="BJ56" i="44"/>
  <c r="BI56" i="44"/>
  <c r="BH56" i="44"/>
  <c r="BG56" i="44"/>
  <c r="BF56" i="44"/>
  <c r="BE56" i="44"/>
  <c r="BD56" i="44"/>
  <c r="BC56" i="44"/>
  <c r="BB56" i="44"/>
  <c r="BA56" i="44"/>
  <c r="AZ56" i="44"/>
  <c r="AY56" i="44"/>
  <c r="AX56" i="44"/>
  <c r="AW56" i="44"/>
  <c r="AV56" i="44"/>
  <c r="AU56" i="44"/>
  <c r="AT56" i="44"/>
  <c r="AS56" i="44"/>
  <c r="AR56" i="44"/>
  <c r="AQ56" i="44"/>
  <c r="AP56" i="44"/>
  <c r="AO56" i="44"/>
  <c r="AN56" i="44"/>
  <c r="AM56" i="44"/>
  <c r="BP54" i="44"/>
  <c r="BO54" i="44"/>
  <c r="BN54" i="44"/>
  <c r="BM54" i="44"/>
  <c r="BL54" i="44"/>
  <c r="BK54" i="44"/>
  <c r="BJ54" i="44"/>
  <c r="BI54" i="44"/>
  <c r="BH54" i="44"/>
  <c r="BG54" i="44"/>
  <c r="BF54" i="44"/>
  <c r="BE54" i="44"/>
  <c r="BD54" i="44"/>
  <c r="BC54" i="44"/>
  <c r="BB54" i="44"/>
  <c r="BA54" i="44"/>
  <c r="AZ54" i="44"/>
  <c r="AY54" i="44"/>
  <c r="AX54" i="44"/>
  <c r="AW54" i="44"/>
  <c r="AV54" i="44"/>
  <c r="AU54" i="44"/>
  <c r="AT54" i="44"/>
  <c r="AS54" i="44"/>
  <c r="AR54" i="44"/>
  <c r="AQ54" i="44"/>
  <c r="AP54" i="44"/>
  <c r="AO54" i="44"/>
  <c r="AN54" i="44"/>
  <c r="AM54" i="44"/>
  <c r="BP52" i="44"/>
  <c r="BO52" i="44"/>
  <c r="BN52" i="44"/>
  <c r="BM52" i="44"/>
  <c r="BL52" i="44"/>
  <c r="BK52" i="44"/>
  <c r="BJ52" i="44"/>
  <c r="BI52" i="44"/>
  <c r="BH52" i="44"/>
  <c r="BG52" i="44"/>
  <c r="BF52" i="44"/>
  <c r="BE52" i="44"/>
  <c r="BD52" i="44"/>
  <c r="BC52" i="44"/>
  <c r="BB52" i="44"/>
  <c r="BA52" i="44"/>
  <c r="AZ52" i="44"/>
  <c r="AY52" i="44"/>
  <c r="AX52" i="44"/>
  <c r="AW52" i="44"/>
  <c r="AV52" i="44"/>
  <c r="AU52" i="44"/>
  <c r="AT52" i="44"/>
  <c r="AS52" i="44"/>
  <c r="AR52" i="44"/>
  <c r="AQ52" i="44"/>
  <c r="AP52" i="44"/>
  <c r="AO52" i="44"/>
  <c r="AN52" i="44"/>
  <c r="AM52" i="44"/>
  <c r="BP50" i="44"/>
  <c r="BO50" i="44"/>
  <c r="BN50" i="44"/>
  <c r="BM50" i="44"/>
  <c r="BL50" i="44"/>
  <c r="BK50" i="44"/>
  <c r="BJ50" i="44"/>
  <c r="BG50" i="44"/>
  <c r="BF50" i="44"/>
  <c r="BE50" i="44"/>
  <c r="BC50" i="44"/>
  <c r="BB50" i="44"/>
  <c r="AY50" i="44"/>
  <c r="AX50" i="44"/>
  <c r="AW50" i="44"/>
  <c r="AU50" i="44"/>
  <c r="AT50" i="44"/>
  <c r="AS50" i="44"/>
  <c r="AQ50" i="44"/>
  <c r="AP50" i="44"/>
  <c r="AO50" i="44"/>
  <c r="AN50" i="44"/>
  <c r="AM50" i="44"/>
  <c r="BP48" i="44"/>
  <c r="BO48" i="44"/>
  <c r="BN48" i="44"/>
  <c r="BM48" i="44"/>
  <c r="BL48" i="44"/>
  <c r="BK48" i="44"/>
  <c r="BJ48" i="44"/>
  <c r="BI48" i="44"/>
  <c r="BH48" i="44"/>
  <c r="BG48" i="44"/>
  <c r="BF48" i="44"/>
  <c r="BE48" i="44"/>
  <c r="BD48" i="44"/>
  <c r="BC48" i="44"/>
  <c r="BB48" i="44"/>
  <c r="BA48" i="44"/>
  <c r="AZ48" i="44"/>
  <c r="AY48" i="44"/>
  <c r="AX48" i="44"/>
  <c r="AW48" i="44"/>
  <c r="AV48" i="44"/>
  <c r="AU48" i="44"/>
  <c r="AT48" i="44"/>
  <c r="AS48" i="44"/>
  <c r="AR48" i="44"/>
  <c r="AQ48" i="44"/>
  <c r="AP48" i="44"/>
  <c r="AO48" i="44"/>
  <c r="AN48" i="44"/>
  <c r="AM48" i="44"/>
  <c r="BO46" i="44"/>
  <c r="BN46" i="44"/>
  <c r="BK46" i="44"/>
  <c r="BJ46" i="44"/>
  <c r="BI46" i="44"/>
  <c r="BG46" i="44"/>
  <c r="BF46" i="44"/>
  <c r="BC46" i="44"/>
  <c r="BB46" i="44"/>
  <c r="BA46" i="44"/>
  <c r="AY46" i="44"/>
  <c r="AX46" i="44"/>
  <c r="AU46" i="44"/>
  <c r="AT46" i="44"/>
  <c r="AS46" i="44"/>
  <c r="AQ46" i="44"/>
  <c r="AP46" i="44"/>
  <c r="AO46" i="44"/>
  <c r="AN46" i="44"/>
  <c r="AM46" i="44"/>
  <c r="BP44" i="44"/>
  <c r="BO44" i="44"/>
  <c r="BN44" i="44"/>
  <c r="BM44" i="44"/>
  <c r="BL44" i="44"/>
  <c r="BK44" i="44"/>
  <c r="BJ44" i="44"/>
  <c r="BI44" i="44"/>
  <c r="BH44" i="44"/>
  <c r="BG44" i="44"/>
  <c r="BF44" i="44"/>
  <c r="BE44" i="44"/>
  <c r="BD44" i="44"/>
  <c r="BC44" i="44"/>
  <c r="BB44" i="44"/>
  <c r="BA44" i="44"/>
  <c r="AZ44" i="44"/>
  <c r="AY44" i="44"/>
  <c r="AX44" i="44"/>
  <c r="AW44" i="44"/>
  <c r="AV44" i="44"/>
  <c r="AU44" i="44"/>
  <c r="AT44" i="44"/>
  <c r="AS44" i="44"/>
  <c r="AR44" i="44"/>
  <c r="AQ44" i="44"/>
  <c r="AP44" i="44"/>
  <c r="AO44" i="44"/>
  <c r="AN44" i="44"/>
  <c r="AM44" i="44"/>
  <c r="BP42" i="44"/>
  <c r="BO42" i="44"/>
  <c r="BN42" i="44"/>
  <c r="BM42" i="44"/>
  <c r="BL42" i="44"/>
  <c r="BK42" i="44"/>
  <c r="BJ42" i="44"/>
  <c r="BI42" i="44"/>
  <c r="BH42" i="44"/>
  <c r="BG42" i="44"/>
  <c r="BF42" i="44"/>
  <c r="BE42" i="44"/>
  <c r="BD42" i="44"/>
  <c r="BC42" i="44"/>
  <c r="BB42" i="44"/>
  <c r="BA42" i="44"/>
  <c r="AZ42" i="44"/>
  <c r="AY42" i="44"/>
  <c r="AX42" i="44"/>
  <c r="AW42" i="44"/>
  <c r="AV42" i="44"/>
  <c r="AU42" i="44"/>
  <c r="AT42" i="44"/>
  <c r="AS42" i="44"/>
  <c r="AR42" i="44"/>
  <c r="AQ42" i="44"/>
  <c r="AP42" i="44"/>
  <c r="AO42" i="44"/>
  <c r="AN42" i="44"/>
  <c r="AM42" i="44"/>
  <c r="BP40" i="44"/>
  <c r="BO40" i="44"/>
  <c r="BN40" i="44"/>
  <c r="BM40" i="44"/>
  <c r="BL40" i="44"/>
  <c r="BK40" i="44"/>
  <c r="BJ40" i="44"/>
  <c r="BI40" i="44"/>
  <c r="BH40" i="44"/>
  <c r="BG40" i="44"/>
  <c r="BF40" i="44"/>
  <c r="BE40" i="44"/>
  <c r="BD40" i="44"/>
  <c r="BC40" i="44"/>
  <c r="BB40" i="44"/>
  <c r="BA40" i="44"/>
  <c r="AZ40" i="44"/>
  <c r="AY40" i="44"/>
  <c r="AX40" i="44"/>
  <c r="AW40" i="44"/>
  <c r="AV40" i="44"/>
  <c r="AU40" i="44"/>
  <c r="AT40" i="44"/>
  <c r="AS40" i="44"/>
  <c r="AR40" i="44"/>
  <c r="AQ40" i="44"/>
  <c r="AP40" i="44"/>
  <c r="AO40" i="44"/>
  <c r="AN40" i="44"/>
  <c r="AM40" i="44"/>
  <c r="CH38" i="44"/>
  <c r="CG38" i="44"/>
  <c r="CF38" i="44"/>
  <c r="CE38" i="44"/>
  <c r="CD38" i="44"/>
  <c r="CC38" i="44"/>
  <c r="CB38" i="44"/>
  <c r="CA38" i="44"/>
  <c r="BZ38" i="44"/>
  <c r="BY38" i="44"/>
  <c r="BX38" i="44"/>
  <c r="BW38" i="44"/>
  <c r="BV38" i="44"/>
  <c r="BP38" i="44"/>
  <c r="BO38" i="44"/>
  <c r="BN38" i="44"/>
  <c r="BM38" i="44"/>
  <c r="BL38" i="44"/>
  <c r="BK38" i="44"/>
  <c r="BJ38" i="44"/>
  <c r="BI38" i="44"/>
  <c r="BH38" i="44"/>
  <c r="BG38" i="44"/>
  <c r="BF38" i="44"/>
  <c r="BE38" i="44"/>
  <c r="BD38" i="44"/>
  <c r="BC38" i="44"/>
  <c r="BB38" i="44"/>
  <c r="BA38" i="44"/>
  <c r="AZ38" i="44"/>
  <c r="AY38" i="44"/>
  <c r="AX38" i="44"/>
  <c r="AW38" i="44"/>
  <c r="AV38" i="44"/>
  <c r="AU38" i="44"/>
  <c r="AT38" i="44"/>
  <c r="AS38" i="44"/>
  <c r="AR38" i="44"/>
  <c r="AQ38" i="44"/>
  <c r="AP38" i="44"/>
  <c r="AO38" i="44"/>
  <c r="AN38" i="44"/>
  <c r="AM38" i="44"/>
  <c r="BP36" i="44"/>
  <c r="BO36" i="44"/>
  <c r="BN36" i="44"/>
  <c r="BM36" i="44"/>
  <c r="BL36" i="44"/>
  <c r="BK36" i="44"/>
  <c r="BJ36" i="44"/>
  <c r="BI36" i="44"/>
  <c r="BH36" i="44"/>
  <c r="BG36" i="44"/>
  <c r="BF36" i="44"/>
  <c r="BE36" i="44"/>
  <c r="BD36" i="44"/>
  <c r="BC36" i="44"/>
  <c r="BB36" i="44"/>
  <c r="BA36" i="44"/>
  <c r="AZ36" i="44"/>
  <c r="AY36" i="44"/>
  <c r="AX36" i="44"/>
  <c r="AW36" i="44"/>
  <c r="AV36" i="44"/>
  <c r="AU36" i="44"/>
  <c r="AT36" i="44"/>
  <c r="AS36" i="44"/>
  <c r="AR36" i="44"/>
  <c r="AQ36" i="44"/>
  <c r="AP36" i="44"/>
  <c r="AO36" i="44"/>
  <c r="AN36" i="44"/>
  <c r="AM36" i="44"/>
  <c r="BO34" i="44"/>
  <c r="BL34" i="44"/>
  <c r="BK34" i="44"/>
  <c r="BG34" i="44"/>
  <c r="BD34" i="44"/>
  <c r="BC34" i="44"/>
  <c r="AY34" i="44"/>
  <c r="AV34" i="44"/>
  <c r="AU34" i="44"/>
  <c r="AQ34" i="44"/>
  <c r="AP34" i="44"/>
  <c r="AO34" i="44"/>
  <c r="AN34" i="44"/>
  <c r="AM34" i="44"/>
  <c r="BP32" i="44"/>
  <c r="BO32" i="44"/>
  <c r="BN32" i="44"/>
  <c r="BM32" i="44"/>
  <c r="BL32" i="44"/>
  <c r="BK32" i="44"/>
  <c r="BJ32" i="44"/>
  <c r="BI32" i="44"/>
  <c r="BH32" i="44"/>
  <c r="BG32" i="44"/>
  <c r="BF32" i="44"/>
  <c r="BE32" i="44"/>
  <c r="BD32" i="44"/>
  <c r="BC32" i="44"/>
  <c r="BB32" i="44"/>
  <c r="BA32" i="44"/>
  <c r="AZ32" i="44"/>
  <c r="AY32" i="44"/>
  <c r="AX32" i="44"/>
  <c r="AW32" i="44"/>
  <c r="AV32" i="44"/>
  <c r="AU32" i="44"/>
  <c r="AT32" i="44"/>
  <c r="AS32" i="44"/>
  <c r="AR32" i="44"/>
  <c r="AQ32" i="44"/>
  <c r="AP32" i="44"/>
  <c r="AO32" i="44"/>
  <c r="AN32" i="44"/>
  <c r="AM32" i="44"/>
  <c r="BY30" i="44"/>
  <c r="BX30" i="44"/>
  <c r="BW30" i="44"/>
  <c r="BV30" i="44"/>
  <c r="BP30" i="44"/>
  <c r="BO30" i="44"/>
  <c r="BO92" i="44" s="1"/>
  <c r="BN30" i="44"/>
  <c r="BM30" i="44"/>
  <c r="BL30" i="44"/>
  <c r="BK30" i="44"/>
  <c r="BJ30" i="44"/>
  <c r="BI30" i="44"/>
  <c r="BH30" i="44"/>
  <c r="BG30" i="44"/>
  <c r="BG92" i="44" s="1"/>
  <c r="F205" i="44" s="1"/>
  <c r="BF30" i="44"/>
  <c r="BE30" i="44"/>
  <c r="BD30" i="44"/>
  <c r="BC30" i="44"/>
  <c r="BB30" i="44"/>
  <c r="BA30" i="44"/>
  <c r="AZ30" i="44"/>
  <c r="AY30" i="44"/>
  <c r="AY92" i="44" s="1"/>
  <c r="F198" i="44" s="1"/>
  <c r="AX30" i="44"/>
  <c r="AW30" i="44"/>
  <c r="AV30" i="44"/>
  <c r="AU30" i="44"/>
  <c r="AT30" i="44"/>
  <c r="AS30" i="44"/>
  <c r="AR30" i="44"/>
  <c r="AQ30" i="44"/>
  <c r="AQ92" i="44" s="1"/>
  <c r="AA2" i="44" s="1"/>
  <c r="AP30" i="44"/>
  <c r="AO30" i="44"/>
  <c r="AN30" i="44"/>
  <c r="AM30" i="44"/>
  <c r="BV29" i="44"/>
  <c r="BY28" i="44"/>
  <c r="BX28" i="44"/>
  <c r="BW28" i="44"/>
  <c r="BV28" i="44"/>
  <c r="BP28" i="44"/>
  <c r="BO28" i="44"/>
  <c r="BN28" i="44"/>
  <c r="BM28" i="44"/>
  <c r="BL28" i="44"/>
  <c r="BK28" i="44"/>
  <c r="BJ28" i="44"/>
  <c r="BI28" i="44"/>
  <c r="BH28" i="44"/>
  <c r="BG28" i="44"/>
  <c r="BF28" i="44"/>
  <c r="BE28" i="44"/>
  <c r="BD28" i="44"/>
  <c r="BC28" i="44"/>
  <c r="BB28" i="44"/>
  <c r="BA28" i="44"/>
  <c r="AZ28" i="44"/>
  <c r="AY28" i="44"/>
  <c r="AX28" i="44"/>
  <c r="AW28" i="44"/>
  <c r="AV28" i="44"/>
  <c r="AU28" i="44"/>
  <c r="AT28" i="44"/>
  <c r="AS28" i="44"/>
  <c r="AR28" i="44"/>
  <c r="AQ28" i="44"/>
  <c r="AP28" i="44"/>
  <c r="AO28" i="44"/>
  <c r="AN28" i="44"/>
  <c r="AM28" i="44"/>
  <c r="BV27" i="44"/>
  <c r="BY26" i="44"/>
  <c r="BY32" i="44" s="1"/>
  <c r="AP92" i="44" s="1"/>
  <c r="U6" i="44" s="1"/>
  <c r="BX26" i="44"/>
  <c r="BX32" i="44" s="1"/>
  <c r="BW26" i="44"/>
  <c r="BW32" i="44" s="1"/>
  <c r="BV26" i="44"/>
  <c r="BV32" i="44" s="1"/>
  <c r="BP26" i="44"/>
  <c r="BO26" i="44"/>
  <c r="BN26" i="44"/>
  <c r="BM26" i="44"/>
  <c r="BL26" i="44"/>
  <c r="BK26" i="44"/>
  <c r="BJ26" i="44"/>
  <c r="BI26" i="44"/>
  <c r="BH26" i="44"/>
  <c r="BG26" i="44"/>
  <c r="BF26" i="44"/>
  <c r="BE26" i="44"/>
  <c r="BD26" i="44"/>
  <c r="BC26" i="44"/>
  <c r="BB26" i="44"/>
  <c r="BA26" i="44"/>
  <c r="AZ26" i="44"/>
  <c r="AY26" i="44"/>
  <c r="AX26" i="44"/>
  <c r="AW26" i="44"/>
  <c r="AV26" i="44"/>
  <c r="AU26" i="44"/>
  <c r="AT26" i="44"/>
  <c r="AS26" i="44"/>
  <c r="AR26" i="44"/>
  <c r="AQ26" i="44"/>
  <c r="AP26" i="44"/>
  <c r="AO26" i="44"/>
  <c r="AN26" i="44"/>
  <c r="AM26" i="44"/>
  <c r="BP24" i="44"/>
  <c r="BO24" i="44"/>
  <c r="BN24" i="44"/>
  <c r="BM24" i="44"/>
  <c r="BL24" i="44"/>
  <c r="BK24" i="44"/>
  <c r="BJ24" i="44"/>
  <c r="BI24" i="44"/>
  <c r="BH24" i="44"/>
  <c r="BG24" i="44"/>
  <c r="BF24" i="44"/>
  <c r="BE24" i="44"/>
  <c r="BD24" i="44"/>
  <c r="BC24" i="44"/>
  <c r="BB24" i="44"/>
  <c r="BA24" i="44"/>
  <c r="AZ24" i="44"/>
  <c r="AY24" i="44"/>
  <c r="AX24" i="44"/>
  <c r="AW24" i="44"/>
  <c r="AV24" i="44"/>
  <c r="AU24" i="44"/>
  <c r="AT24" i="44"/>
  <c r="AS24" i="44"/>
  <c r="AR24" i="44"/>
  <c r="AQ24" i="44"/>
  <c r="AP24" i="44"/>
  <c r="AO24" i="44"/>
  <c r="AN24" i="44"/>
  <c r="AM24" i="44"/>
  <c r="BP22" i="44"/>
  <c r="BO22" i="44"/>
  <c r="BN22" i="44"/>
  <c r="BM22" i="44"/>
  <c r="BL22" i="44"/>
  <c r="BK22" i="44"/>
  <c r="BJ22" i="44"/>
  <c r="BI22" i="44"/>
  <c r="BH22" i="44"/>
  <c r="BG22" i="44"/>
  <c r="BF22" i="44"/>
  <c r="BE22" i="44"/>
  <c r="BD22" i="44"/>
  <c r="BC22" i="44"/>
  <c r="BB22" i="44"/>
  <c r="BA22" i="44"/>
  <c r="AZ22" i="44"/>
  <c r="AY22" i="44"/>
  <c r="AX22" i="44"/>
  <c r="AW22" i="44"/>
  <c r="AV22" i="44"/>
  <c r="AU22" i="44"/>
  <c r="AT22" i="44"/>
  <c r="AS22" i="44"/>
  <c r="AR22" i="44"/>
  <c r="AQ22" i="44"/>
  <c r="AP22" i="44"/>
  <c r="AO22" i="44"/>
  <c r="AN22" i="44"/>
  <c r="AM22" i="44"/>
  <c r="BV20" i="44"/>
  <c r="BP20" i="44"/>
  <c r="BO20" i="44"/>
  <c r="BN20" i="44"/>
  <c r="BM20" i="44"/>
  <c r="BL20" i="44"/>
  <c r="BK20" i="44"/>
  <c r="BJ20" i="44"/>
  <c r="BI20" i="44"/>
  <c r="BH20" i="44"/>
  <c r="BG20" i="44"/>
  <c r="BF20" i="44"/>
  <c r="BE20" i="44"/>
  <c r="BD20" i="44"/>
  <c r="BC20" i="44"/>
  <c r="BB20" i="44"/>
  <c r="BA20" i="44"/>
  <c r="AZ20" i="44"/>
  <c r="AY20" i="44"/>
  <c r="AX20" i="44"/>
  <c r="AW20" i="44"/>
  <c r="AV20" i="44"/>
  <c r="AU20" i="44"/>
  <c r="AT20" i="44"/>
  <c r="AS20" i="44"/>
  <c r="AR20" i="44"/>
  <c r="AQ20" i="44"/>
  <c r="AP20" i="44"/>
  <c r="AO20" i="44"/>
  <c r="AN20" i="44"/>
  <c r="AM20" i="44"/>
  <c r="BP18" i="44"/>
  <c r="BO18" i="44"/>
  <c r="BN18" i="44"/>
  <c r="BM18" i="44"/>
  <c r="BL18" i="44"/>
  <c r="BK18" i="44"/>
  <c r="BJ18" i="44"/>
  <c r="BI18" i="44"/>
  <c r="BH18" i="44"/>
  <c r="BG18" i="44"/>
  <c r="BF18" i="44"/>
  <c r="BE18" i="44"/>
  <c r="BD18" i="44"/>
  <c r="BC18" i="44"/>
  <c r="BB18" i="44"/>
  <c r="BA18" i="44"/>
  <c r="AZ18" i="44"/>
  <c r="AY18" i="44"/>
  <c r="AX18" i="44"/>
  <c r="AW18" i="44"/>
  <c r="AV18" i="44"/>
  <c r="AU18" i="44"/>
  <c r="AT18" i="44"/>
  <c r="AS18" i="44"/>
  <c r="AR18" i="44"/>
  <c r="AQ18" i="44"/>
  <c r="AP18" i="44"/>
  <c r="AO18" i="44"/>
  <c r="AN18" i="44"/>
  <c r="AM18" i="44"/>
  <c r="BP16" i="44"/>
  <c r="BO16" i="44"/>
  <c r="BN16" i="44"/>
  <c r="BM16" i="44"/>
  <c r="BL16" i="44"/>
  <c r="BK16" i="44"/>
  <c r="BK92" i="44" s="1"/>
  <c r="BJ16" i="44"/>
  <c r="BI16" i="44"/>
  <c r="BH16" i="44"/>
  <c r="BG16" i="44"/>
  <c r="BF16" i="44"/>
  <c r="BE16" i="44"/>
  <c r="BD16" i="44"/>
  <c r="BC16" i="44"/>
  <c r="BC92" i="44" s="1"/>
  <c r="F202" i="44" s="1"/>
  <c r="BB16" i="44"/>
  <c r="BA16" i="44"/>
  <c r="AZ16" i="44"/>
  <c r="AY16" i="44"/>
  <c r="AX16" i="44"/>
  <c r="AW16" i="44"/>
  <c r="AV16" i="44"/>
  <c r="AU16" i="44"/>
  <c r="AU92" i="44" s="1"/>
  <c r="AT16" i="44"/>
  <c r="AS16" i="44"/>
  <c r="AR16" i="44"/>
  <c r="AQ16" i="44"/>
  <c r="AP16" i="44"/>
  <c r="AO16" i="44"/>
  <c r="AN16" i="44"/>
  <c r="AM16" i="44"/>
  <c r="D277" i="43"/>
  <c r="D276" i="43"/>
  <c r="BD50" i="43" s="1"/>
  <c r="D275" i="43"/>
  <c r="BI34" i="43" s="1"/>
  <c r="B275" i="43"/>
  <c r="Q273" i="43"/>
  <c r="O273" i="43"/>
  <c r="M273" i="43"/>
  <c r="AZ272" i="43"/>
  <c r="AY272" i="43"/>
  <c r="AW272" i="43"/>
  <c r="AV272" i="43"/>
  <c r="AN272" i="43"/>
  <c r="Q272" i="43"/>
  <c r="O272" i="43"/>
  <c r="M272" i="43"/>
  <c r="AZ271" i="43"/>
  <c r="AY271" i="43"/>
  <c r="AW271" i="43"/>
  <c r="AV271" i="43"/>
  <c r="Q271" i="43"/>
  <c r="O271" i="43"/>
  <c r="M271" i="43"/>
  <c r="AZ270" i="43"/>
  <c r="AY270" i="43"/>
  <c r="AW270" i="43"/>
  <c r="AV270" i="43"/>
  <c r="AN270" i="43"/>
  <c r="Q270" i="43"/>
  <c r="O270" i="43"/>
  <c r="M270" i="43"/>
  <c r="AZ269" i="43"/>
  <c r="AY269" i="43"/>
  <c r="AW269" i="43"/>
  <c r="AV269" i="43"/>
  <c r="Q269" i="43"/>
  <c r="O269" i="43"/>
  <c r="M269" i="43"/>
  <c r="AZ268" i="43"/>
  <c r="AY268" i="43"/>
  <c r="AW268" i="43"/>
  <c r="AV268" i="43"/>
  <c r="AN268" i="43"/>
  <c r="Q268" i="43"/>
  <c r="O268" i="43"/>
  <c r="M268" i="43"/>
  <c r="AZ267" i="43"/>
  <c r="AY267" i="43"/>
  <c r="AW267" i="43"/>
  <c r="AV267" i="43"/>
  <c r="Q267" i="43"/>
  <c r="O267" i="43"/>
  <c r="M267" i="43"/>
  <c r="AZ266" i="43"/>
  <c r="AY266" i="43"/>
  <c r="AW266" i="43"/>
  <c r="AV266" i="43"/>
  <c r="AN266" i="43"/>
  <c r="Q266" i="43"/>
  <c r="O266" i="43"/>
  <c r="M266" i="43"/>
  <c r="AZ265" i="43"/>
  <c r="AY265" i="43"/>
  <c r="AW265" i="43"/>
  <c r="AV265" i="43"/>
  <c r="Q265" i="43"/>
  <c r="O265" i="43"/>
  <c r="M265" i="43"/>
  <c r="AZ264" i="43"/>
  <c r="AY264" i="43"/>
  <c r="AW264" i="43"/>
  <c r="AV264" i="43"/>
  <c r="AN264" i="43"/>
  <c r="Q264" i="43"/>
  <c r="O264" i="43"/>
  <c r="M264" i="43"/>
  <c r="AZ263" i="43"/>
  <c r="AY263" i="43"/>
  <c r="AW263" i="43"/>
  <c r="AV263" i="43"/>
  <c r="Q263" i="43"/>
  <c r="O263" i="43"/>
  <c r="M263" i="43"/>
  <c r="AZ262" i="43"/>
  <c r="AY262" i="43"/>
  <c r="AW262" i="43"/>
  <c r="AV262" i="43"/>
  <c r="AN262" i="43"/>
  <c r="Q262" i="43"/>
  <c r="O262" i="43"/>
  <c r="M262" i="43"/>
  <c r="AZ261" i="43"/>
  <c r="AW261" i="43"/>
  <c r="Q261" i="43"/>
  <c r="O261" i="43"/>
  <c r="M261" i="43"/>
  <c r="AZ260" i="43"/>
  <c r="AV260" i="43"/>
  <c r="AN260" i="43"/>
  <c r="Q260" i="43"/>
  <c r="O260" i="43"/>
  <c r="M260" i="43"/>
  <c r="AZ259" i="43"/>
  <c r="AY259" i="43"/>
  <c r="AW259" i="43"/>
  <c r="AV259" i="43"/>
  <c r="Q259" i="43"/>
  <c r="O259" i="43"/>
  <c r="M259" i="43"/>
  <c r="AZ258" i="43"/>
  <c r="AW258" i="43"/>
  <c r="AV258" i="43"/>
  <c r="AN258" i="43"/>
  <c r="Q258" i="43"/>
  <c r="O258" i="43"/>
  <c r="M258" i="43"/>
  <c r="AZ257" i="43"/>
  <c r="AW257" i="43"/>
  <c r="Q257" i="43"/>
  <c r="O257" i="43"/>
  <c r="M257" i="43"/>
  <c r="AZ256" i="43"/>
  <c r="AN256" i="43"/>
  <c r="Q256" i="43"/>
  <c r="O256" i="43"/>
  <c r="M256" i="43"/>
  <c r="AZ255" i="43"/>
  <c r="Q255" i="43"/>
  <c r="O255" i="43"/>
  <c r="M255" i="43"/>
  <c r="AZ254" i="43"/>
  <c r="AY254" i="43"/>
  <c r="AN254" i="43"/>
  <c r="Q254" i="43"/>
  <c r="O254" i="43"/>
  <c r="M254" i="43"/>
  <c r="AZ253" i="43"/>
  <c r="AY253" i="43"/>
  <c r="AW253" i="43"/>
  <c r="AV253" i="43"/>
  <c r="Q253" i="43"/>
  <c r="O253" i="43"/>
  <c r="M253" i="43"/>
  <c r="AZ252" i="43"/>
  <c r="AY252" i="43"/>
  <c r="AW252" i="43"/>
  <c r="AV252" i="43"/>
  <c r="AN252" i="43"/>
  <c r="Q252" i="43"/>
  <c r="O252" i="43"/>
  <c r="M252" i="43"/>
  <c r="AZ251" i="43"/>
  <c r="AY251" i="43"/>
  <c r="AW251" i="43"/>
  <c r="AV251" i="43"/>
  <c r="Q251" i="43"/>
  <c r="O251" i="43"/>
  <c r="M251" i="43"/>
  <c r="AZ250" i="43"/>
  <c r="AY250" i="43"/>
  <c r="AW250" i="43"/>
  <c r="AV250" i="43"/>
  <c r="AN250" i="43"/>
  <c r="Q250" i="43"/>
  <c r="O250" i="43"/>
  <c r="M250" i="43"/>
  <c r="AZ249" i="43"/>
  <c r="AY249" i="43"/>
  <c r="AW249" i="43"/>
  <c r="AV249" i="43"/>
  <c r="Q249" i="43"/>
  <c r="O249" i="43"/>
  <c r="M249" i="43"/>
  <c r="AZ248" i="43"/>
  <c r="AY248" i="43"/>
  <c r="AW248" i="43"/>
  <c r="AV248" i="43"/>
  <c r="AN248" i="43"/>
  <c r="Q248" i="43"/>
  <c r="O248" i="43"/>
  <c r="M248" i="43"/>
  <c r="AZ247" i="43"/>
  <c r="AY247" i="43"/>
  <c r="AW247" i="43"/>
  <c r="AV247" i="43"/>
  <c r="Q247" i="43"/>
  <c r="O247" i="43"/>
  <c r="M247" i="43"/>
  <c r="AZ246" i="43"/>
  <c r="AY246" i="43"/>
  <c r="AW246" i="43"/>
  <c r="AV246" i="43"/>
  <c r="AN246" i="43"/>
  <c r="Q246" i="43"/>
  <c r="O246" i="43"/>
  <c r="M246" i="43"/>
  <c r="AZ245" i="43"/>
  <c r="AY245" i="43"/>
  <c r="AW245" i="43"/>
  <c r="AV245" i="43"/>
  <c r="Q245" i="43"/>
  <c r="O245" i="43"/>
  <c r="M245" i="43"/>
  <c r="AZ244" i="43"/>
  <c r="AY244" i="43"/>
  <c r="AW244" i="43"/>
  <c r="AV244" i="43"/>
  <c r="AN244" i="43"/>
  <c r="Q244" i="43"/>
  <c r="O244" i="43"/>
  <c r="M244" i="43"/>
  <c r="AZ243" i="43"/>
  <c r="AY243" i="43"/>
  <c r="AW243" i="43"/>
  <c r="AV243" i="43"/>
  <c r="Q243" i="43"/>
  <c r="O243" i="43"/>
  <c r="M243" i="43"/>
  <c r="AZ242" i="43"/>
  <c r="AY242" i="43"/>
  <c r="AW242" i="43"/>
  <c r="AV242" i="43"/>
  <c r="AN242" i="43"/>
  <c r="Q242" i="43"/>
  <c r="O242" i="43"/>
  <c r="M242" i="43"/>
  <c r="AZ241" i="43"/>
  <c r="AY241" i="43"/>
  <c r="AW241" i="43"/>
  <c r="AV241" i="43"/>
  <c r="Q241" i="43"/>
  <c r="O241" i="43"/>
  <c r="M241" i="43"/>
  <c r="AZ240" i="43"/>
  <c r="AY240" i="43"/>
  <c r="AW240" i="43"/>
  <c r="AV240" i="43"/>
  <c r="AN240" i="43"/>
  <c r="Q240" i="43"/>
  <c r="Q275" i="43" s="1"/>
  <c r="AO92" i="43" s="1"/>
  <c r="D10" i="43" s="1"/>
  <c r="O240" i="43"/>
  <c r="M240" i="43"/>
  <c r="AZ239" i="43"/>
  <c r="AY239" i="43"/>
  <c r="AW239" i="43"/>
  <c r="AV239" i="43"/>
  <c r="Q239" i="43"/>
  <c r="O239" i="43"/>
  <c r="M239" i="43"/>
  <c r="AZ238" i="43"/>
  <c r="AY238" i="43"/>
  <c r="AW238" i="43"/>
  <c r="AV238" i="43"/>
  <c r="AN238" i="43"/>
  <c r="Q238" i="43"/>
  <c r="O238" i="43"/>
  <c r="M238" i="43"/>
  <c r="AZ237" i="43"/>
  <c r="AY237" i="43"/>
  <c r="AW237" i="43"/>
  <c r="AV237" i="43"/>
  <c r="Q237" i="43"/>
  <c r="O237" i="43"/>
  <c r="M237" i="43"/>
  <c r="AZ236" i="43"/>
  <c r="AY236" i="43"/>
  <c r="AW236" i="43"/>
  <c r="AV236" i="43"/>
  <c r="AN236" i="43"/>
  <c r="Q236" i="43"/>
  <c r="O236" i="43"/>
  <c r="M236" i="43"/>
  <c r="AZ235" i="43"/>
  <c r="AY235" i="43"/>
  <c r="AW235" i="43"/>
  <c r="AV235" i="43"/>
  <c r="Q235" i="43"/>
  <c r="O235" i="43"/>
  <c r="M235" i="43"/>
  <c r="AZ234" i="43"/>
  <c r="AY234" i="43"/>
  <c r="AW234" i="43"/>
  <c r="AV234" i="43"/>
  <c r="AN234" i="43"/>
  <c r="Q234" i="43"/>
  <c r="O234" i="43"/>
  <c r="O275" i="43" s="1"/>
  <c r="M234" i="43"/>
  <c r="AT234" i="43" s="1"/>
  <c r="H181" i="43"/>
  <c r="AV261" i="43" s="1"/>
  <c r="H180" i="43"/>
  <c r="AY260" i="43" s="1"/>
  <c r="H179" i="43"/>
  <c r="H178" i="43"/>
  <c r="AY258" i="43" s="1"/>
  <c r="H177" i="43"/>
  <c r="H176" i="43"/>
  <c r="AY257" i="43" s="1"/>
  <c r="H175" i="43"/>
  <c r="AY256" i="43" s="1"/>
  <c r="H174" i="43"/>
  <c r="H173" i="43"/>
  <c r="H172" i="43"/>
  <c r="AY255" i="43" s="1"/>
  <c r="H171" i="43"/>
  <c r="H170" i="43"/>
  <c r="AW254" i="43" s="1"/>
  <c r="H169" i="43"/>
  <c r="H168" i="43"/>
  <c r="H167" i="43"/>
  <c r="H166" i="43"/>
  <c r="H165" i="43"/>
  <c r="H164" i="43"/>
  <c r="H163" i="43"/>
  <c r="H162" i="43"/>
  <c r="H161" i="43"/>
  <c r="H160" i="43"/>
  <c r="H159" i="43"/>
  <c r="H158" i="43"/>
  <c r="H157" i="43"/>
  <c r="H156" i="43"/>
  <c r="H155" i="43"/>
  <c r="H154" i="43"/>
  <c r="H153" i="43"/>
  <c r="H152" i="43"/>
  <c r="H151" i="43"/>
  <c r="H150" i="43"/>
  <c r="H149" i="43"/>
  <c r="H148" i="43"/>
  <c r="H147" i="43"/>
  <c r="H146" i="43"/>
  <c r="H145" i="43"/>
  <c r="H144" i="43"/>
  <c r="H143" i="43"/>
  <c r="H142" i="43"/>
  <c r="H141" i="43"/>
  <c r="H140" i="43"/>
  <c r="H139" i="43"/>
  <c r="H138" i="43"/>
  <c r="H137" i="43"/>
  <c r="H136" i="43"/>
  <c r="H135" i="43"/>
  <c r="H134" i="43"/>
  <c r="H133" i="43"/>
  <c r="H132" i="43"/>
  <c r="H131" i="43"/>
  <c r="H130" i="43"/>
  <c r="H129" i="43"/>
  <c r="H128" i="43"/>
  <c r="H127" i="43"/>
  <c r="H126" i="43"/>
  <c r="H125" i="43"/>
  <c r="H124" i="43"/>
  <c r="H123" i="43"/>
  <c r="H122" i="43"/>
  <c r="H121" i="43"/>
  <c r="H120" i="43"/>
  <c r="H119" i="43"/>
  <c r="H118" i="43"/>
  <c r="H117" i="43"/>
  <c r="H116" i="43"/>
  <c r="H115" i="43"/>
  <c r="H114" i="43"/>
  <c r="H113" i="43"/>
  <c r="H112" i="43"/>
  <c r="H111" i="43"/>
  <c r="H110" i="43"/>
  <c r="H109" i="43"/>
  <c r="H108" i="43"/>
  <c r="H107" i="43"/>
  <c r="H106" i="43"/>
  <c r="H105" i="43"/>
  <c r="H104" i="43"/>
  <c r="H103" i="43"/>
  <c r="B188" i="43" s="1" a="1"/>
  <c r="B188" i="43" s="1"/>
  <c r="BS92" i="43"/>
  <c r="BU90" i="43"/>
  <c r="BT90" i="43"/>
  <c r="BS90" i="43"/>
  <c r="BR90" i="43"/>
  <c r="BQ90" i="43"/>
  <c r="BP90" i="43"/>
  <c r="BO90" i="43"/>
  <c r="BN90" i="43"/>
  <c r="BM90" i="43"/>
  <c r="BL90" i="43"/>
  <c r="BK90" i="43"/>
  <c r="AU90" i="43"/>
  <c r="AR90" i="43"/>
  <c r="AQ90" i="43"/>
  <c r="AO90" i="43"/>
  <c r="AN90" i="43"/>
  <c r="AM90" i="43"/>
  <c r="BQ89" i="43"/>
  <c r="BP89" i="43"/>
  <c r="BO89" i="43"/>
  <c r="BN89" i="43"/>
  <c r="BM89" i="43"/>
  <c r="BL89" i="43"/>
  <c r="BK89" i="43"/>
  <c r="AU89" i="43"/>
  <c r="AR89" i="43"/>
  <c r="AQ89" i="43"/>
  <c r="AO89" i="43"/>
  <c r="AN89" i="43"/>
  <c r="AM89" i="43"/>
  <c r="BU88" i="43"/>
  <c r="BT88" i="43"/>
  <c r="BT92" i="43" s="1"/>
  <c r="BS88" i="43"/>
  <c r="BR88" i="43"/>
  <c r="BQ88" i="43"/>
  <c r="BP88" i="43"/>
  <c r="BO88" i="43"/>
  <c r="BN88" i="43"/>
  <c r="BM88" i="43"/>
  <c r="BL88" i="43"/>
  <c r="BK88" i="43"/>
  <c r="AU88" i="43"/>
  <c r="AR88" i="43"/>
  <c r="AQ88" i="43"/>
  <c r="AO88" i="43"/>
  <c r="AN88" i="43"/>
  <c r="AM88" i="43"/>
  <c r="BQ87" i="43"/>
  <c r="BQ92" i="43" s="1"/>
  <c r="BP87" i="43"/>
  <c r="BO87" i="43"/>
  <c r="BN87" i="43"/>
  <c r="BM87" i="43"/>
  <c r="BL87" i="43"/>
  <c r="BK87" i="43"/>
  <c r="AU87" i="43"/>
  <c r="AR87" i="43"/>
  <c r="AQ87" i="43"/>
  <c r="AO87" i="43"/>
  <c r="AN87" i="43"/>
  <c r="AM87" i="43"/>
  <c r="BU86" i="43"/>
  <c r="BU92" i="43" s="1"/>
  <c r="BT86" i="43"/>
  <c r="BS86" i="43"/>
  <c r="BR86" i="43"/>
  <c r="BR92" i="43" s="1"/>
  <c r="BQ86" i="43"/>
  <c r="BP86" i="43"/>
  <c r="BO86" i="43"/>
  <c r="BN86" i="43"/>
  <c r="BM86" i="43"/>
  <c r="BL86" i="43"/>
  <c r="BK86" i="43"/>
  <c r="AU86" i="43"/>
  <c r="AR86" i="43"/>
  <c r="AQ86" i="43"/>
  <c r="AO86" i="43"/>
  <c r="AN86" i="43"/>
  <c r="AM86" i="43"/>
  <c r="BP82" i="43"/>
  <c r="BO82" i="43"/>
  <c r="BN82" i="43"/>
  <c r="BM82" i="43"/>
  <c r="BL82" i="43"/>
  <c r="BK82" i="43"/>
  <c r="BJ82" i="43"/>
  <c r="BI82" i="43"/>
  <c r="BH82" i="43"/>
  <c r="BG82" i="43"/>
  <c r="BF82" i="43"/>
  <c r="BE82" i="43"/>
  <c r="BD82" i="43"/>
  <c r="BC82" i="43"/>
  <c r="BB82" i="43"/>
  <c r="BA82" i="43"/>
  <c r="AZ82" i="43"/>
  <c r="AY82" i="43"/>
  <c r="AX82" i="43"/>
  <c r="AW82" i="43"/>
  <c r="AV82" i="43"/>
  <c r="AU82" i="43"/>
  <c r="AT82" i="43"/>
  <c r="AS82" i="43"/>
  <c r="AR82" i="43"/>
  <c r="AQ82" i="43"/>
  <c r="AP82" i="43"/>
  <c r="AO82" i="43"/>
  <c r="AN82" i="43"/>
  <c r="AM82" i="43"/>
  <c r="BP80" i="43"/>
  <c r="BO80" i="43"/>
  <c r="BN80" i="43"/>
  <c r="BM80" i="43"/>
  <c r="BL80" i="43"/>
  <c r="BK80" i="43"/>
  <c r="BJ80" i="43"/>
  <c r="BI80" i="43"/>
  <c r="BH80" i="43"/>
  <c r="BG80" i="43"/>
  <c r="BF80" i="43"/>
  <c r="BE80" i="43"/>
  <c r="BD80" i="43"/>
  <c r="BC80" i="43"/>
  <c r="BB80" i="43"/>
  <c r="BA80" i="43"/>
  <c r="AZ80" i="43"/>
  <c r="AY80" i="43"/>
  <c r="AX80" i="43"/>
  <c r="AW80" i="43"/>
  <c r="AV80" i="43"/>
  <c r="AU80" i="43"/>
  <c r="AT80" i="43"/>
  <c r="AS80" i="43"/>
  <c r="AR80" i="43"/>
  <c r="AQ80" i="43"/>
  <c r="AP80" i="43"/>
  <c r="AO80" i="43"/>
  <c r="AN80" i="43"/>
  <c r="AM80" i="43"/>
  <c r="BP78" i="43"/>
  <c r="BO78" i="43"/>
  <c r="BN78" i="43"/>
  <c r="BM78" i="43"/>
  <c r="BL78" i="43"/>
  <c r="BK78" i="43"/>
  <c r="BJ78" i="43"/>
  <c r="BI78" i="43"/>
  <c r="BH78" i="43"/>
  <c r="BG78" i="43"/>
  <c r="BF78" i="43"/>
  <c r="BE78" i="43"/>
  <c r="BD78" i="43"/>
  <c r="BC78" i="43"/>
  <c r="BB78" i="43"/>
  <c r="BA78" i="43"/>
  <c r="AZ78" i="43"/>
  <c r="AY78" i="43"/>
  <c r="AX78" i="43"/>
  <c r="AW78" i="43"/>
  <c r="AV78" i="43"/>
  <c r="AU78" i="43"/>
  <c r="AT78" i="43"/>
  <c r="AS78" i="43"/>
  <c r="AR78" i="43"/>
  <c r="AQ78" i="43"/>
  <c r="AP78" i="43"/>
  <c r="AO78" i="43"/>
  <c r="AN78" i="43"/>
  <c r="AM78" i="43"/>
  <c r="BP74" i="43"/>
  <c r="BO74" i="43"/>
  <c r="BN74" i="43"/>
  <c r="BM74" i="43"/>
  <c r="BL74" i="43"/>
  <c r="BK74" i="43"/>
  <c r="BJ74" i="43"/>
  <c r="BI74" i="43"/>
  <c r="BH74" i="43"/>
  <c r="BG74" i="43"/>
  <c r="BF74" i="43"/>
  <c r="BE74" i="43"/>
  <c r="BD74" i="43"/>
  <c r="BC74" i="43"/>
  <c r="BB74" i="43"/>
  <c r="BA74" i="43"/>
  <c r="AZ74" i="43"/>
  <c r="AY74" i="43"/>
  <c r="AX74" i="43"/>
  <c r="AW74" i="43"/>
  <c r="AV74" i="43"/>
  <c r="AU74" i="43"/>
  <c r="AT74" i="43"/>
  <c r="AS74" i="43"/>
  <c r="AR74" i="43"/>
  <c r="AQ74" i="43"/>
  <c r="AP74" i="43"/>
  <c r="AO74" i="43"/>
  <c r="AN74" i="43"/>
  <c r="AM74" i="43"/>
  <c r="BP72" i="43"/>
  <c r="BO72" i="43"/>
  <c r="BN72" i="43"/>
  <c r="BM72" i="43"/>
  <c r="BL72" i="43"/>
  <c r="BK72" i="43"/>
  <c r="BJ72" i="43"/>
  <c r="BI72" i="43"/>
  <c r="BH72" i="43"/>
  <c r="BG72" i="43"/>
  <c r="BF72" i="43"/>
  <c r="BE72" i="43"/>
  <c r="BD72" i="43"/>
  <c r="BC72" i="43"/>
  <c r="BB72" i="43"/>
  <c r="BA72" i="43"/>
  <c r="AZ72" i="43"/>
  <c r="AY72" i="43"/>
  <c r="AX72" i="43"/>
  <c r="AW72" i="43"/>
  <c r="AV72" i="43"/>
  <c r="AU72" i="43"/>
  <c r="AT72" i="43"/>
  <c r="AS72" i="43"/>
  <c r="AR72" i="43"/>
  <c r="AQ72" i="43"/>
  <c r="AP72" i="43"/>
  <c r="AO72" i="43"/>
  <c r="AN72" i="43"/>
  <c r="AM72" i="43"/>
  <c r="BP70" i="43"/>
  <c r="BO70" i="43"/>
  <c r="BN70" i="43"/>
  <c r="BM70" i="43"/>
  <c r="BL70" i="43"/>
  <c r="BK70" i="43"/>
  <c r="BJ70" i="43"/>
  <c r="BI70" i="43"/>
  <c r="BH70" i="43"/>
  <c r="BG70" i="43"/>
  <c r="BF70" i="43"/>
  <c r="BE70" i="43"/>
  <c r="BD70" i="43"/>
  <c r="BC70" i="43"/>
  <c r="BB70" i="43"/>
  <c r="BA70" i="43"/>
  <c r="AZ70" i="43"/>
  <c r="AY70" i="43"/>
  <c r="AX70" i="43"/>
  <c r="AW70" i="43"/>
  <c r="AV70" i="43"/>
  <c r="AU70" i="43"/>
  <c r="AT70" i="43"/>
  <c r="AS70" i="43"/>
  <c r="AR70" i="43"/>
  <c r="AQ70" i="43"/>
  <c r="AP70" i="43"/>
  <c r="AO70" i="43"/>
  <c r="AN70" i="43"/>
  <c r="AM70" i="43"/>
  <c r="BP66" i="43"/>
  <c r="BO66" i="43"/>
  <c r="BN66" i="43"/>
  <c r="BM66" i="43"/>
  <c r="BL66" i="43"/>
  <c r="BK66" i="43"/>
  <c r="BJ66" i="43"/>
  <c r="BI66" i="43"/>
  <c r="BH66" i="43"/>
  <c r="BG66" i="43"/>
  <c r="BF66" i="43"/>
  <c r="BE66" i="43"/>
  <c r="BD66" i="43"/>
  <c r="BC66" i="43"/>
  <c r="BB66" i="43"/>
  <c r="BA66" i="43"/>
  <c r="AZ66" i="43"/>
  <c r="AY66" i="43"/>
  <c r="AX66" i="43"/>
  <c r="AW66" i="43"/>
  <c r="AV66" i="43"/>
  <c r="AU66" i="43"/>
  <c r="AT66" i="43"/>
  <c r="AS66" i="43"/>
  <c r="AR66" i="43"/>
  <c r="AQ66" i="43"/>
  <c r="AP66" i="43"/>
  <c r="AO66" i="43"/>
  <c r="AN66" i="43"/>
  <c r="AM66" i="43"/>
  <c r="BP64" i="43"/>
  <c r="BO64" i="43"/>
  <c r="BN64" i="43"/>
  <c r="BM64" i="43"/>
  <c r="BL64" i="43"/>
  <c r="BK64" i="43"/>
  <c r="BJ64" i="43"/>
  <c r="BI64" i="43"/>
  <c r="BH64" i="43"/>
  <c r="BG64" i="43"/>
  <c r="BF64" i="43"/>
  <c r="BE64" i="43"/>
  <c r="BD64" i="43"/>
  <c r="BC64" i="43"/>
  <c r="BB64" i="43"/>
  <c r="BA64" i="43"/>
  <c r="AZ64" i="43"/>
  <c r="AY64" i="43"/>
  <c r="AX64" i="43"/>
  <c r="AW64" i="43"/>
  <c r="AV64" i="43"/>
  <c r="AU64" i="43"/>
  <c r="AT64" i="43"/>
  <c r="AS64" i="43"/>
  <c r="AR64" i="43"/>
  <c r="AQ64" i="43"/>
  <c r="AP64" i="43"/>
  <c r="AO64" i="43"/>
  <c r="AN64" i="43"/>
  <c r="AM64" i="43"/>
  <c r="BP62" i="43"/>
  <c r="BO62" i="43"/>
  <c r="BN62" i="43"/>
  <c r="BM62" i="43"/>
  <c r="BL62" i="43"/>
  <c r="BK62" i="43"/>
  <c r="BJ62" i="43"/>
  <c r="BI62" i="43"/>
  <c r="BH62" i="43"/>
  <c r="BG62" i="43"/>
  <c r="BF62" i="43"/>
  <c r="BE62" i="43"/>
  <c r="BD62" i="43"/>
  <c r="BC62" i="43"/>
  <c r="BB62" i="43"/>
  <c r="BA62" i="43"/>
  <c r="AZ62" i="43"/>
  <c r="AY62" i="43"/>
  <c r="AX62" i="43"/>
  <c r="AW62" i="43"/>
  <c r="AV62" i="43"/>
  <c r="AU62" i="43"/>
  <c r="AT62" i="43"/>
  <c r="AS62" i="43"/>
  <c r="AR62" i="43"/>
  <c r="AQ62" i="43"/>
  <c r="AP62" i="43"/>
  <c r="AO62" i="43"/>
  <c r="AN62" i="43"/>
  <c r="AM62" i="43"/>
  <c r="BP60" i="43"/>
  <c r="BO60" i="43"/>
  <c r="BN60" i="43"/>
  <c r="BM60" i="43"/>
  <c r="BL60" i="43"/>
  <c r="BK60" i="43"/>
  <c r="BJ60" i="43"/>
  <c r="BI60" i="43"/>
  <c r="BH60" i="43"/>
  <c r="BG60" i="43"/>
  <c r="BF60" i="43"/>
  <c r="BE60" i="43"/>
  <c r="BD60" i="43"/>
  <c r="BC60" i="43"/>
  <c r="BB60" i="43"/>
  <c r="BA60" i="43"/>
  <c r="AZ60" i="43"/>
  <c r="AY60" i="43"/>
  <c r="AX60" i="43"/>
  <c r="AW60" i="43"/>
  <c r="AV60" i="43"/>
  <c r="AU60" i="43"/>
  <c r="AT60" i="43"/>
  <c r="AS60" i="43"/>
  <c r="AR60" i="43"/>
  <c r="AQ60" i="43"/>
  <c r="AP60" i="43"/>
  <c r="AO60" i="43"/>
  <c r="AN60" i="43"/>
  <c r="AM60" i="43"/>
  <c r="BP58" i="43"/>
  <c r="BO58" i="43"/>
  <c r="BN58" i="43"/>
  <c r="BM58" i="43"/>
  <c r="BL58" i="43"/>
  <c r="BK58" i="43"/>
  <c r="BJ58" i="43"/>
  <c r="BI58" i="43"/>
  <c r="BH58" i="43"/>
  <c r="BG58" i="43"/>
  <c r="BF58" i="43"/>
  <c r="BE58" i="43"/>
  <c r="BD58" i="43"/>
  <c r="BC58" i="43"/>
  <c r="BB58" i="43"/>
  <c r="BA58" i="43"/>
  <c r="AZ58" i="43"/>
  <c r="AY58" i="43"/>
  <c r="AX58" i="43"/>
  <c r="AW58" i="43"/>
  <c r="AV58" i="43"/>
  <c r="AU58" i="43"/>
  <c r="AT58" i="43"/>
  <c r="AS58" i="43"/>
  <c r="AR58" i="43"/>
  <c r="AQ58" i="43"/>
  <c r="AP58" i="43"/>
  <c r="AO58" i="43"/>
  <c r="AN58" i="43"/>
  <c r="AM58" i="43"/>
  <c r="BP56" i="43"/>
  <c r="BO56" i="43"/>
  <c r="BN56" i="43"/>
  <c r="BM56" i="43"/>
  <c r="BL56" i="43"/>
  <c r="BK56" i="43"/>
  <c r="BJ56" i="43"/>
  <c r="BI56" i="43"/>
  <c r="BH56" i="43"/>
  <c r="BG56" i="43"/>
  <c r="BF56" i="43"/>
  <c r="BE56" i="43"/>
  <c r="BD56" i="43"/>
  <c r="BC56" i="43"/>
  <c r="BB56" i="43"/>
  <c r="BA56" i="43"/>
  <c r="AZ56" i="43"/>
  <c r="AY56" i="43"/>
  <c r="AX56" i="43"/>
  <c r="AW56" i="43"/>
  <c r="AV56" i="43"/>
  <c r="AU56" i="43"/>
  <c r="AT56" i="43"/>
  <c r="AS56" i="43"/>
  <c r="AR56" i="43"/>
  <c r="AQ56" i="43"/>
  <c r="AP56" i="43"/>
  <c r="AO56" i="43"/>
  <c r="AN56" i="43"/>
  <c r="AM56" i="43"/>
  <c r="BP54" i="43"/>
  <c r="BO54" i="43"/>
  <c r="BN54" i="43"/>
  <c r="BM54" i="43"/>
  <c r="BL54" i="43"/>
  <c r="BK54" i="43"/>
  <c r="BJ54" i="43"/>
  <c r="BI54" i="43"/>
  <c r="BH54" i="43"/>
  <c r="BG54" i="43"/>
  <c r="BF54" i="43"/>
  <c r="BE54" i="43"/>
  <c r="BD54" i="43"/>
  <c r="BC54" i="43"/>
  <c r="BB54" i="43"/>
  <c r="BA54" i="43"/>
  <c r="AZ54" i="43"/>
  <c r="AY54" i="43"/>
  <c r="AX54" i="43"/>
  <c r="AW54" i="43"/>
  <c r="AV54" i="43"/>
  <c r="AU54" i="43"/>
  <c r="AT54" i="43"/>
  <c r="AS54" i="43"/>
  <c r="AR54" i="43"/>
  <c r="AQ54" i="43"/>
  <c r="AP54" i="43"/>
  <c r="AO54" i="43"/>
  <c r="AN54" i="43"/>
  <c r="AM54" i="43"/>
  <c r="BP52" i="43"/>
  <c r="BO52" i="43"/>
  <c r="BN52" i="43"/>
  <c r="BM52" i="43"/>
  <c r="BL52" i="43"/>
  <c r="BK52" i="43"/>
  <c r="BJ52" i="43"/>
  <c r="BI52" i="43"/>
  <c r="BH52" i="43"/>
  <c r="BG52" i="43"/>
  <c r="BF52" i="43"/>
  <c r="BE52" i="43"/>
  <c r="BD52" i="43"/>
  <c r="BC52" i="43"/>
  <c r="BB52" i="43"/>
  <c r="BA52" i="43"/>
  <c r="AZ52" i="43"/>
  <c r="AY52" i="43"/>
  <c r="AX52" i="43"/>
  <c r="AW52" i="43"/>
  <c r="AV52" i="43"/>
  <c r="AU52" i="43"/>
  <c r="AT52" i="43"/>
  <c r="AS52" i="43"/>
  <c r="AR52" i="43"/>
  <c r="AQ52" i="43"/>
  <c r="AP52" i="43"/>
  <c r="AO52" i="43"/>
  <c r="AN52" i="43"/>
  <c r="AM52" i="43"/>
  <c r="BP50" i="43"/>
  <c r="BO50" i="43"/>
  <c r="BN50" i="43"/>
  <c r="BM50" i="43"/>
  <c r="BL50" i="43"/>
  <c r="BK50" i="43"/>
  <c r="BJ50" i="43"/>
  <c r="BG50" i="43"/>
  <c r="BF50" i="43"/>
  <c r="BE50" i="43"/>
  <c r="BC50" i="43"/>
  <c r="BB50" i="43"/>
  <c r="AY50" i="43"/>
  <c r="AX50" i="43"/>
  <c r="AW50" i="43"/>
  <c r="AU50" i="43"/>
  <c r="AT50" i="43"/>
  <c r="AS50" i="43"/>
  <c r="AQ50" i="43"/>
  <c r="AP50" i="43"/>
  <c r="AO50" i="43"/>
  <c r="AN50" i="43"/>
  <c r="AM50" i="43"/>
  <c r="BP48" i="43"/>
  <c r="BO48" i="43"/>
  <c r="BN48" i="43"/>
  <c r="BM48" i="43"/>
  <c r="BL48" i="43"/>
  <c r="BK48" i="43"/>
  <c r="BJ48" i="43"/>
  <c r="BI48" i="43"/>
  <c r="BH48" i="43"/>
  <c r="BG48" i="43"/>
  <c r="BF48" i="43"/>
  <c r="BE48" i="43"/>
  <c r="BD48" i="43"/>
  <c r="BC48" i="43"/>
  <c r="BB48" i="43"/>
  <c r="BA48" i="43"/>
  <c r="AZ48" i="43"/>
  <c r="AY48" i="43"/>
  <c r="AX48" i="43"/>
  <c r="AW48" i="43"/>
  <c r="AV48" i="43"/>
  <c r="AU48" i="43"/>
  <c r="AT48" i="43"/>
  <c r="AS48" i="43"/>
  <c r="AR48" i="43"/>
  <c r="AQ48" i="43"/>
  <c r="AP48" i="43"/>
  <c r="AO48" i="43"/>
  <c r="AN48" i="43"/>
  <c r="AM48" i="43"/>
  <c r="BO46" i="43"/>
  <c r="BN46" i="43"/>
  <c r="BK46" i="43"/>
  <c r="BJ46" i="43"/>
  <c r="BI46" i="43"/>
  <c r="BG46" i="43"/>
  <c r="BF46" i="43"/>
  <c r="BC46" i="43"/>
  <c r="BB46" i="43"/>
  <c r="BA46" i="43"/>
  <c r="AY46" i="43"/>
  <c r="AX46" i="43"/>
  <c r="AU46" i="43"/>
  <c r="AT46" i="43"/>
  <c r="AS46" i="43"/>
  <c r="AQ46" i="43"/>
  <c r="AP46" i="43"/>
  <c r="AO46" i="43"/>
  <c r="AN46" i="43"/>
  <c r="AM46" i="43"/>
  <c r="BP44" i="43"/>
  <c r="BO44" i="43"/>
  <c r="BN44" i="43"/>
  <c r="BM44" i="43"/>
  <c r="BL44" i="43"/>
  <c r="BK44" i="43"/>
  <c r="BJ44" i="43"/>
  <c r="BI44" i="43"/>
  <c r="BH44" i="43"/>
  <c r="BG44" i="43"/>
  <c r="BF44" i="43"/>
  <c r="BE44" i="43"/>
  <c r="BD44" i="43"/>
  <c r="BC44" i="43"/>
  <c r="BB44" i="43"/>
  <c r="BA44" i="43"/>
  <c r="AZ44" i="43"/>
  <c r="AY44" i="43"/>
  <c r="AX44" i="43"/>
  <c r="AW44" i="43"/>
  <c r="AV44" i="43"/>
  <c r="AU44" i="43"/>
  <c r="AT44" i="43"/>
  <c r="AS44" i="43"/>
  <c r="AR44" i="43"/>
  <c r="AQ44" i="43"/>
  <c r="AP44" i="43"/>
  <c r="AO44" i="43"/>
  <c r="AN44" i="43"/>
  <c r="AM44" i="43"/>
  <c r="BP42" i="43"/>
  <c r="BO42" i="43"/>
  <c r="BN42" i="43"/>
  <c r="BM42" i="43"/>
  <c r="BL42" i="43"/>
  <c r="BK42" i="43"/>
  <c r="BJ42" i="43"/>
  <c r="BI42" i="43"/>
  <c r="BH42" i="43"/>
  <c r="BG42" i="43"/>
  <c r="BF42" i="43"/>
  <c r="BE42" i="43"/>
  <c r="BD42" i="43"/>
  <c r="BC42" i="43"/>
  <c r="BB42" i="43"/>
  <c r="BA42" i="43"/>
  <c r="AZ42" i="43"/>
  <c r="AY42" i="43"/>
  <c r="AX42" i="43"/>
  <c r="AW42" i="43"/>
  <c r="AV42" i="43"/>
  <c r="AU42" i="43"/>
  <c r="AT42" i="43"/>
  <c r="AS42" i="43"/>
  <c r="AR42" i="43"/>
  <c r="AQ42" i="43"/>
  <c r="AP42" i="43"/>
  <c r="AO42" i="43"/>
  <c r="AN42" i="43"/>
  <c r="AM42" i="43"/>
  <c r="BP40" i="43"/>
  <c r="BO40" i="43"/>
  <c r="BN40" i="43"/>
  <c r="BM40" i="43"/>
  <c r="BL40" i="43"/>
  <c r="BK40" i="43"/>
  <c r="BJ40" i="43"/>
  <c r="BI40" i="43"/>
  <c r="BH40" i="43"/>
  <c r="BG40" i="43"/>
  <c r="BF40" i="43"/>
  <c r="BE40" i="43"/>
  <c r="BD40" i="43"/>
  <c r="BC40" i="43"/>
  <c r="BB40" i="43"/>
  <c r="BA40" i="43"/>
  <c r="AZ40" i="43"/>
  <c r="AY40" i="43"/>
  <c r="AX40" i="43"/>
  <c r="AW40" i="43"/>
  <c r="AV40" i="43"/>
  <c r="AU40" i="43"/>
  <c r="AT40" i="43"/>
  <c r="AS40" i="43"/>
  <c r="AR40" i="43"/>
  <c r="AQ40" i="43"/>
  <c r="AP40" i="43"/>
  <c r="AO40" i="43"/>
  <c r="AN40" i="43"/>
  <c r="AM40" i="43"/>
  <c r="CH38" i="43"/>
  <c r="CG38" i="43"/>
  <c r="AQ92" i="43" s="1"/>
  <c r="AA2" i="43" s="1"/>
  <c r="CF38" i="43"/>
  <c r="CE38" i="43"/>
  <c r="CD38" i="43"/>
  <c r="CC38" i="43"/>
  <c r="BO92" i="43" s="1"/>
  <c r="CB38" i="43"/>
  <c r="CA38" i="43"/>
  <c r="BZ38" i="43"/>
  <c r="BY38" i="43"/>
  <c r="BX38" i="43"/>
  <c r="BW38" i="43"/>
  <c r="BV38" i="43"/>
  <c r="BP38" i="43"/>
  <c r="BO38" i="43"/>
  <c r="BN38" i="43"/>
  <c r="BM38" i="43"/>
  <c r="BL38" i="43"/>
  <c r="BK38" i="43"/>
  <c r="BJ38" i="43"/>
  <c r="BI38" i="43"/>
  <c r="BH38" i="43"/>
  <c r="BG38" i="43"/>
  <c r="BF38" i="43"/>
  <c r="BE38" i="43"/>
  <c r="BD38" i="43"/>
  <c r="BC38" i="43"/>
  <c r="BB38" i="43"/>
  <c r="BA38" i="43"/>
  <c r="AZ38" i="43"/>
  <c r="AY38" i="43"/>
  <c r="AX38" i="43"/>
  <c r="AW38" i="43"/>
  <c r="AV38" i="43"/>
  <c r="AU38" i="43"/>
  <c r="AT38" i="43"/>
  <c r="AS38" i="43"/>
  <c r="AR38" i="43"/>
  <c r="AQ38" i="43"/>
  <c r="AP38" i="43"/>
  <c r="AO38" i="43"/>
  <c r="AN38" i="43"/>
  <c r="AM38" i="43"/>
  <c r="BP36" i="43"/>
  <c r="BO36" i="43"/>
  <c r="BN36" i="43"/>
  <c r="BM36" i="43"/>
  <c r="BL36" i="43"/>
  <c r="BK36" i="43"/>
  <c r="BJ36" i="43"/>
  <c r="BI36" i="43"/>
  <c r="BH36" i="43"/>
  <c r="BG36" i="43"/>
  <c r="BF36" i="43"/>
  <c r="BE36" i="43"/>
  <c r="BD36" i="43"/>
  <c r="BC36" i="43"/>
  <c r="BB36" i="43"/>
  <c r="BA36" i="43"/>
  <c r="AZ36" i="43"/>
  <c r="AY36" i="43"/>
  <c r="AX36" i="43"/>
  <c r="AW36" i="43"/>
  <c r="AV36" i="43"/>
  <c r="AU36" i="43"/>
  <c r="AT36" i="43"/>
  <c r="AS36" i="43"/>
  <c r="AR36" i="43"/>
  <c r="AQ36" i="43"/>
  <c r="AP36" i="43"/>
  <c r="AO36" i="43"/>
  <c r="AN36" i="43"/>
  <c r="AM36" i="43"/>
  <c r="BP34" i="43"/>
  <c r="BO34" i="43"/>
  <c r="BL34" i="43"/>
  <c r="BK34" i="43"/>
  <c r="BJ34" i="43"/>
  <c r="BH34" i="43"/>
  <c r="BG34" i="43"/>
  <c r="BD34" i="43"/>
  <c r="BC34" i="43"/>
  <c r="BB34" i="43"/>
  <c r="AZ34" i="43"/>
  <c r="AY34" i="43"/>
  <c r="AV34" i="43"/>
  <c r="AU34" i="43"/>
  <c r="AT34" i="43"/>
  <c r="AR34" i="43"/>
  <c r="AQ34" i="43"/>
  <c r="AP34" i="43"/>
  <c r="AO34" i="43"/>
  <c r="AN34" i="43"/>
  <c r="AM34" i="43"/>
  <c r="BP32" i="43"/>
  <c r="BO32" i="43"/>
  <c r="BN32" i="43"/>
  <c r="BM32" i="43"/>
  <c r="BL32" i="43"/>
  <c r="BK32" i="43"/>
  <c r="BJ32" i="43"/>
  <c r="BI32" i="43"/>
  <c r="BH32" i="43"/>
  <c r="BG32" i="43"/>
  <c r="BF32" i="43"/>
  <c r="BE32" i="43"/>
  <c r="BD32" i="43"/>
  <c r="BC32" i="43"/>
  <c r="BB32" i="43"/>
  <c r="BA32" i="43"/>
  <c r="AZ32" i="43"/>
  <c r="AY32" i="43"/>
  <c r="AX32" i="43"/>
  <c r="AW32" i="43"/>
  <c r="AV32" i="43"/>
  <c r="AU32" i="43"/>
  <c r="AT32" i="43"/>
  <c r="AS32" i="43"/>
  <c r="AR32" i="43"/>
  <c r="AQ32" i="43"/>
  <c r="AP32" i="43"/>
  <c r="AO32" i="43"/>
  <c r="AN32" i="43"/>
  <c r="AM32" i="43"/>
  <c r="BY30" i="43"/>
  <c r="BX30" i="43"/>
  <c r="BW30" i="43"/>
  <c r="BV30" i="43"/>
  <c r="BP30" i="43"/>
  <c r="BO30" i="43"/>
  <c r="BN30" i="43"/>
  <c r="BM30" i="43"/>
  <c r="BL30" i="43"/>
  <c r="BK30" i="43"/>
  <c r="BJ30" i="43"/>
  <c r="BI30" i="43"/>
  <c r="BH30" i="43"/>
  <c r="BG30" i="43"/>
  <c r="BF30" i="43"/>
  <c r="BE30" i="43"/>
  <c r="BD30" i="43"/>
  <c r="BC30" i="43"/>
  <c r="BB30" i="43"/>
  <c r="BA30" i="43"/>
  <c r="AZ30" i="43"/>
  <c r="AY30" i="43"/>
  <c r="AX30" i="43"/>
  <c r="AW30" i="43"/>
  <c r="AV30" i="43"/>
  <c r="AU30" i="43"/>
  <c r="AT30" i="43"/>
  <c r="AS30" i="43"/>
  <c r="AR30" i="43"/>
  <c r="AQ30" i="43"/>
  <c r="AP30" i="43"/>
  <c r="AO30" i="43"/>
  <c r="AN30" i="43"/>
  <c r="AM30" i="43"/>
  <c r="BV29" i="43"/>
  <c r="BY28" i="43"/>
  <c r="BX28" i="43"/>
  <c r="BW28" i="43"/>
  <c r="BV28" i="43"/>
  <c r="BP28" i="43"/>
  <c r="BO28" i="43"/>
  <c r="BN28" i="43"/>
  <c r="BM28" i="43"/>
  <c r="BL28" i="43"/>
  <c r="BK28" i="43"/>
  <c r="BJ28" i="43"/>
  <c r="BI28" i="43"/>
  <c r="BH28" i="43"/>
  <c r="BG28" i="43"/>
  <c r="BF28" i="43"/>
  <c r="BE28" i="43"/>
  <c r="BD28" i="43"/>
  <c r="BC28" i="43"/>
  <c r="BB28" i="43"/>
  <c r="BA28" i="43"/>
  <c r="AZ28" i="43"/>
  <c r="AY28" i="43"/>
  <c r="AX28" i="43"/>
  <c r="AW28" i="43"/>
  <c r="AV28" i="43"/>
  <c r="AU28" i="43"/>
  <c r="AT28" i="43"/>
  <c r="AS28" i="43"/>
  <c r="AR28" i="43"/>
  <c r="AQ28" i="43"/>
  <c r="AP28" i="43"/>
  <c r="AO28" i="43"/>
  <c r="AN28" i="43"/>
  <c r="AM28" i="43"/>
  <c r="BV27" i="43"/>
  <c r="BY26" i="43"/>
  <c r="BY32" i="43" s="1"/>
  <c r="AP92" i="43" s="1"/>
  <c r="U6" i="43" s="1"/>
  <c r="BX26" i="43"/>
  <c r="BX32" i="43" s="1"/>
  <c r="BW26" i="43"/>
  <c r="BW32" i="43" s="1"/>
  <c r="BV26" i="43"/>
  <c r="BV32" i="43" s="1"/>
  <c r="BP26" i="43"/>
  <c r="BO26" i="43"/>
  <c r="BN26" i="43"/>
  <c r="BM26" i="43"/>
  <c r="BL26" i="43"/>
  <c r="BK26" i="43"/>
  <c r="BJ26" i="43"/>
  <c r="BI26" i="43"/>
  <c r="BH26" i="43"/>
  <c r="BG26" i="43"/>
  <c r="BF26" i="43"/>
  <c r="BE26" i="43"/>
  <c r="BD26" i="43"/>
  <c r="BC26" i="43"/>
  <c r="BB26" i="43"/>
  <c r="BA26" i="43"/>
  <c r="AZ26" i="43"/>
  <c r="AY26" i="43"/>
  <c r="AX26" i="43"/>
  <c r="AW26" i="43"/>
  <c r="AV26" i="43"/>
  <c r="AU26" i="43"/>
  <c r="AT26" i="43"/>
  <c r="AS26" i="43"/>
  <c r="AR26" i="43"/>
  <c r="AQ26" i="43"/>
  <c r="AP26" i="43"/>
  <c r="AO26" i="43"/>
  <c r="AN26" i="43"/>
  <c r="AM26" i="43"/>
  <c r="BP24" i="43"/>
  <c r="BO24" i="43"/>
  <c r="BN24" i="43"/>
  <c r="BM24" i="43"/>
  <c r="BL24" i="43"/>
  <c r="BK24" i="43"/>
  <c r="BJ24" i="43"/>
  <c r="BI24" i="43"/>
  <c r="BH24" i="43"/>
  <c r="BG24" i="43"/>
  <c r="BF24" i="43"/>
  <c r="BE24" i="43"/>
  <c r="BD24" i="43"/>
  <c r="BC24" i="43"/>
  <c r="BB24" i="43"/>
  <c r="BA24" i="43"/>
  <c r="AZ24" i="43"/>
  <c r="AY24" i="43"/>
  <c r="AX24" i="43"/>
  <c r="AW24" i="43"/>
  <c r="AV24" i="43"/>
  <c r="AU24" i="43"/>
  <c r="AT24" i="43"/>
  <c r="AS24" i="43"/>
  <c r="AR24" i="43"/>
  <c r="AQ24" i="43"/>
  <c r="AP24" i="43"/>
  <c r="AO24" i="43"/>
  <c r="AN24" i="43"/>
  <c r="AM24" i="43"/>
  <c r="BP22" i="43"/>
  <c r="BO22" i="43"/>
  <c r="BN22" i="43"/>
  <c r="BM22" i="43"/>
  <c r="BL22" i="43"/>
  <c r="BK22" i="43"/>
  <c r="BJ22" i="43"/>
  <c r="BI22" i="43"/>
  <c r="BH22" i="43"/>
  <c r="BG22" i="43"/>
  <c r="BF22" i="43"/>
  <c r="BE22" i="43"/>
  <c r="BD22" i="43"/>
  <c r="BC22" i="43"/>
  <c r="BB22" i="43"/>
  <c r="BA22" i="43"/>
  <c r="AZ22" i="43"/>
  <c r="AY22" i="43"/>
  <c r="AX22" i="43"/>
  <c r="AW22" i="43"/>
  <c r="AV22" i="43"/>
  <c r="AU22" i="43"/>
  <c r="AT22" i="43"/>
  <c r="AS22" i="43"/>
  <c r="AR22" i="43"/>
  <c r="AQ22" i="43"/>
  <c r="AP22" i="43"/>
  <c r="AO22" i="43"/>
  <c r="AN22" i="43"/>
  <c r="AM22" i="43"/>
  <c r="BV20" i="43"/>
  <c r="BP20" i="43"/>
  <c r="BO20" i="43"/>
  <c r="BN20" i="43"/>
  <c r="BM20" i="43"/>
  <c r="BL20" i="43"/>
  <c r="BK20" i="43"/>
  <c r="BJ20" i="43"/>
  <c r="BI20" i="43"/>
  <c r="BH20" i="43"/>
  <c r="BG20" i="43"/>
  <c r="BF20" i="43"/>
  <c r="BE20" i="43"/>
  <c r="BD20" i="43"/>
  <c r="BC20" i="43"/>
  <c r="BB20" i="43"/>
  <c r="BA20" i="43"/>
  <c r="AZ20" i="43"/>
  <c r="AY20" i="43"/>
  <c r="AX20" i="43"/>
  <c r="AW20" i="43"/>
  <c r="AV20" i="43"/>
  <c r="AU20" i="43"/>
  <c r="AT20" i="43"/>
  <c r="AS20" i="43"/>
  <c r="AR20" i="43"/>
  <c r="AQ20" i="43"/>
  <c r="AP20" i="43"/>
  <c r="AO20" i="43"/>
  <c r="AN20" i="43"/>
  <c r="AM20" i="43"/>
  <c r="BP18" i="43"/>
  <c r="BO18" i="43"/>
  <c r="BN18" i="43"/>
  <c r="BM18" i="43"/>
  <c r="BL18" i="43"/>
  <c r="BK18" i="43"/>
  <c r="BJ18" i="43"/>
  <c r="BI18" i="43"/>
  <c r="BH18" i="43"/>
  <c r="BG18" i="43"/>
  <c r="BF18" i="43"/>
  <c r="BE18" i="43"/>
  <c r="BD18" i="43"/>
  <c r="BC18" i="43"/>
  <c r="BB18" i="43"/>
  <c r="BA18" i="43"/>
  <c r="AZ18" i="43"/>
  <c r="AY18" i="43"/>
  <c r="AX18" i="43"/>
  <c r="AW18" i="43"/>
  <c r="AV18" i="43"/>
  <c r="AU18" i="43"/>
  <c r="AT18" i="43"/>
  <c r="AS18" i="43"/>
  <c r="AR18" i="43"/>
  <c r="AQ18" i="43"/>
  <c r="AP18" i="43"/>
  <c r="AO18" i="43"/>
  <c r="AN18" i="43"/>
  <c r="AM18" i="43"/>
  <c r="BP16" i="43"/>
  <c r="BO16" i="43"/>
  <c r="BN16" i="43"/>
  <c r="BM16" i="43"/>
  <c r="BL16" i="43"/>
  <c r="BK16" i="43"/>
  <c r="BK92" i="43" s="1"/>
  <c r="BJ16" i="43"/>
  <c r="BJ92" i="43" s="1"/>
  <c r="F195" i="43" s="1"/>
  <c r="BI16" i="43"/>
  <c r="BH16" i="43"/>
  <c r="BG16" i="43"/>
  <c r="BG92" i="43" s="1"/>
  <c r="F205" i="43" s="1"/>
  <c r="BF16" i="43"/>
  <c r="BE16" i="43"/>
  <c r="BD16" i="43"/>
  <c r="BC16" i="43"/>
  <c r="BC92" i="43" s="1"/>
  <c r="F202" i="43" s="1"/>
  <c r="BB16" i="43"/>
  <c r="BB92" i="43" s="1"/>
  <c r="F192" i="43" s="1"/>
  <c r="BA16" i="43"/>
  <c r="AZ16" i="43"/>
  <c r="AY16" i="43"/>
  <c r="AY92" i="43" s="1"/>
  <c r="F198" i="43" s="1"/>
  <c r="AX16" i="43"/>
  <c r="AW16" i="43"/>
  <c r="AV16" i="43"/>
  <c r="AU16" i="43"/>
  <c r="AU92" i="43" s="1"/>
  <c r="AT16" i="43"/>
  <c r="AT92" i="43" s="1"/>
  <c r="U8" i="43" s="1"/>
  <c r="AP8" i="43" s="1"/>
  <c r="AS16" i="43"/>
  <c r="AR16" i="43"/>
  <c r="AQ16" i="43"/>
  <c r="AP16" i="43"/>
  <c r="AO16" i="43"/>
  <c r="AN16" i="43"/>
  <c r="AM16" i="43"/>
  <c r="D277" i="42"/>
  <c r="D276" i="42"/>
  <c r="D275" i="42"/>
  <c r="BI34" i="42" s="1"/>
  <c r="B275" i="42"/>
  <c r="Q273" i="42"/>
  <c r="O273" i="42"/>
  <c r="M273" i="42"/>
  <c r="AZ272" i="42"/>
  <c r="AY272" i="42"/>
  <c r="AW272" i="42"/>
  <c r="AV272" i="42"/>
  <c r="AN272" i="42"/>
  <c r="Q272" i="42"/>
  <c r="O272" i="42"/>
  <c r="M272" i="42"/>
  <c r="AZ271" i="42"/>
  <c r="AY271" i="42"/>
  <c r="AW271" i="42"/>
  <c r="AV271" i="42"/>
  <c r="Q271" i="42"/>
  <c r="O271" i="42"/>
  <c r="M271" i="42"/>
  <c r="AZ270" i="42"/>
  <c r="AY270" i="42"/>
  <c r="AW270" i="42"/>
  <c r="AV270" i="42"/>
  <c r="AN270" i="42"/>
  <c r="Q270" i="42"/>
  <c r="O270" i="42"/>
  <c r="M270" i="42"/>
  <c r="AZ269" i="42"/>
  <c r="AY269" i="42"/>
  <c r="AW269" i="42"/>
  <c r="AV269" i="42"/>
  <c r="Q269" i="42"/>
  <c r="O269" i="42"/>
  <c r="M269" i="42"/>
  <c r="AZ268" i="42"/>
  <c r="AY268" i="42"/>
  <c r="AW268" i="42"/>
  <c r="AV268" i="42"/>
  <c r="AN268" i="42"/>
  <c r="Q268" i="42"/>
  <c r="O268" i="42"/>
  <c r="M268" i="42"/>
  <c r="AZ267" i="42"/>
  <c r="AY267" i="42"/>
  <c r="AW267" i="42"/>
  <c r="AV267" i="42"/>
  <c r="Q267" i="42"/>
  <c r="O267" i="42"/>
  <c r="M267" i="42"/>
  <c r="AZ266" i="42"/>
  <c r="AY266" i="42"/>
  <c r="AW266" i="42"/>
  <c r="AV266" i="42"/>
  <c r="AN266" i="42"/>
  <c r="Q266" i="42"/>
  <c r="O266" i="42"/>
  <c r="M266" i="42"/>
  <c r="AZ265" i="42"/>
  <c r="AY265" i="42"/>
  <c r="AW265" i="42"/>
  <c r="AV265" i="42"/>
  <c r="Q265" i="42"/>
  <c r="O265" i="42"/>
  <c r="M265" i="42"/>
  <c r="AZ264" i="42"/>
  <c r="AY264" i="42"/>
  <c r="AW264" i="42"/>
  <c r="AV264" i="42"/>
  <c r="AN264" i="42"/>
  <c r="Q264" i="42"/>
  <c r="O264" i="42"/>
  <c r="M264" i="42"/>
  <c r="AZ263" i="42"/>
  <c r="AY263" i="42"/>
  <c r="AW263" i="42"/>
  <c r="AV263" i="42"/>
  <c r="Q263" i="42"/>
  <c r="O263" i="42"/>
  <c r="M263" i="42"/>
  <c r="AZ262" i="42"/>
  <c r="AY262" i="42"/>
  <c r="AW262" i="42"/>
  <c r="AV262" i="42"/>
  <c r="AN262" i="42"/>
  <c r="Q262" i="42"/>
  <c r="O262" i="42"/>
  <c r="M262" i="42"/>
  <c r="AZ261" i="42"/>
  <c r="AY261" i="42"/>
  <c r="AW261" i="42"/>
  <c r="AV261" i="42"/>
  <c r="Q261" i="42"/>
  <c r="O261" i="42"/>
  <c r="M261" i="42"/>
  <c r="AZ260" i="42"/>
  <c r="AY260" i="42"/>
  <c r="AW260" i="42"/>
  <c r="AV260" i="42"/>
  <c r="AN260" i="42"/>
  <c r="Q260" i="42"/>
  <c r="O260" i="42"/>
  <c r="M260" i="42"/>
  <c r="AZ259" i="42"/>
  <c r="AY259" i="42"/>
  <c r="AW259" i="42"/>
  <c r="AV259" i="42"/>
  <c r="Q259" i="42"/>
  <c r="O259" i="42"/>
  <c r="M259" i="42"/>
  <c r="AZ258" i="42"/>
  <c r="AW258" i="42"/>
  <c r="AV258" i="42"/>
  <c r="AN258" i="42"/>
  <c r="Q258" i="42"/>
  <c r="O258" i="42"/>
  <c r="M258" i="42"/>
  <c r="AZ257" i="42"/>
  <c r="Q257" i="42"/>
  <c r="O257" i="42"/>
  <c r="M257" i="42"/>
  <c r="AZ256" i="42"/>
  <c r="AN256" i="42"/>
  <c r="Q256" i="42"/>
  <c r="O256" i="42"/>
  <c r="M256" i="42"/>
  <c r="AZ255" i="42"/>
  <c r="AV255" i="42"/>
  <c r="Q255" i="42"/>
  <c r="O255" i="42"/>
  <c r="M255" i="42"/>
  <c r="AZ254" i="42"/>
  <c r="AY254" i="42"/>
  <c r="AN254" i="42"/>
  <c r="Q254" i="42"/>
  <c r="O254" i="42"/>
  <c r="M254" i="42"/>
  <c r="AZ253" i="42"/>
  <c r="AY253" i="42"/>
  <c r="AW253" i="42"/>
  <c r="AV253" i="42"/>
  <c r="Q253" i="42"/>
  <c r="O253" i="42"/>
  <c r="M253" i="42"/>
  <c r="AZ252" i="42"/>
  <c r="AY252" i="42"/>
  <c r="AW252" i="42"/>
  <c r="AV252" i="42"/>
  <c r="AN252" i="42"/>
  <c r="Q252" i="42"/>
  <c r="O252" i="42"/>
  <c r="M252" i="42"/>
  <c r="AZ251" i="42"/>
  <c r="AY251" i="42"/>
  <c r="AW251" i="42"/>
  <c r="AV251" i="42"/>
  <c r="Q251" i="42"/>
  <c r="O251" i="42"/>
  <c r="M251" i="42"/>
  <c r="AZ250" i="42"/>
  <c r="AY250" i="42"/>
  <c r="AW250" i="42"/>
  <c r="AV250" i="42"/>
  <c r="AN250" i="42"/>
  <c r="Q250" i="42"/>
  <c r="O250" i="42"/>
  <c r="M250" i="42"/>
  <c r="AZ249" i="42"/>
  <c r="AY249" i="42"/>
  <c r="AW249" i="42"/>
  <c r="AV249" i="42"/>
  <c r="Q249" i="42"/>
  <c r="O249" i="42"/>
  <c r="M249" i="42"/>
  <c r="AZ248" i="42"/>
  <c r="AY248" i="42"/>
  <c r="AW248" i="42"/>
  <c r="AV248" i="42"/>
  <c r="AN248" i="42"/>
  <c r="Q248" i="42"/>
  <c r="O248" i="42"/>
  <c r="M248" i="42"/>
  <c r="AZ247" i="42"/>
  <c r="AY247" i="42"/>
  <c r="AW247" i="42"/>
  <c r="AV247" i="42"/>
  <c r="Q247" i="42"/>
  <c r="O247" i="42"/>
  <c r="M247" i="42"/>
  <c r="AZ246" i="42"/>
  <c r="AY246" i="42"/>
  <c r="AW246" i="42"/>
  <c r="AV246" i="42"/>
  <c r="AN246" i="42"/>
  <c r="Q246" i="42"/>
  <c r="O246" i="42"/>
  <c r="M246" i="42"/>
  <c r="AZ245" i="42"/>
  <c r="AY245" i="42"/>
  <c r="AW245" i="42"/>
  <c r="AV245" i="42"/>
  <c r="Q245" i="42"/>
  <c r="O245" i="42"/>
  <c r="M245" i="42"/>
  <c r="AZ244" i="42"/>
  <c r="AY244" i="42"/>
  <c r="AW244" i="42"/>
  <c r="AV244" i="42"/>
  <c r="AN244" i="42"/>
  <c r="Q244" i="42"/>
  <c r="O244" i="42"/>
  <c r="M244" i="42"/>
  <c r="AZ243" i="42"/>
  <c r="AY243" i="42"/>
  <c r="AW243" i="42"/>
  <c r="AV243" i="42"/>
  <c r="Q243" i="42"/>
  <c r="O243" i="42"/>
  <c r="M243" i="42"/>
  <c r="AZ242" i="42"/>
  <c r="AY242" i="42"/>
  <c r="AW242" i="42"/>
  <c r="AV242" i="42"/>
  <c r="AN242" i="42"/>
  <c r="Q242" i="42"/>
  <c r="O242" i="42"/>
  <c r="M242" i="42"/>
  <c r="AZ241" i="42"/>
  <c r="AY241" i="42"/>
  <c r="AW241" i="42"/>
  <c r="AV241" i="42"/>
  <c r="Q241" i="42"/>
  <c r="O241" i="42"/>
  <c r="M241" i="42"/>
  <c r="AZ240" i="42"/>
  <c r="AY240" i="42"/>
  <c r="AW240" i="42"/>
  <c r="AV240" i="42"/>
  <c r="AN240" i="42"/>
  <c r="Q240" i="42"/>
  <c r="O240" i="42"/>
  <c r="M240" i="42"/>
  <c r="AZ239" i="42"/>
  <c r="AY239" i="42"/>
  <c r="AW239" i="42"/>
  <c r="AV239" i="42"/>
  <c r="Q239" i="42"/>
  <c r="O239" i="42"/>
  <c r="M239" i="42"/>
  <c r="AZ238" i="42"/>
  <c r="AY238" i="42"/>
  <c r="AW238" i="42"/>
  <c r="AV238" i="42"/>
  <c r="AN238" i="42"/>
  <c r="Q238" i="42"/>
  <c r="O238" i="42"/>
  <c r="M238" i="42"/>
  <c r="AZ237" i="42"/>
  <c r="AY237" i="42"/>
  <c r="AW237" i="42"/>
  <c r="AV237" i="42"/>
  <c r="Q237" i="42"/>
  <c r="O237" i="42"/>
  <c r="M237" i="42"/>
  <c r="AZ236" i="42"/>
  <c r="AY236" i="42"/>
  <c r="AW236" i="42"/>
  <c r="AV236" i="42"/>
  <c r="AN236" i="42"/>
  <c r="Q236" i="42"/>
  <c r="O236" i="42"/>
  <c r="M236" i="42"/>
  <c r="AZ235" i="42"/>
  <c r="AY235" i="42"/>
  <c r="AW235" i="42"/>
  <c r="AV235" i="42"/>
  <c r="Q235" i="42"/>
  <c r="O235" i="42"/>
  <c r="M235" i="42"/>
  <c r="AZ234" i="42"/>
  <c r="AY234" i="42"/>
  <c r="AW234" i="42"/>
  <c r="AV234" i="42"/>
  <c r="AN234" i="42"/>
  <c r="Q234" i="42"/>
  <c r="Q275" i="42" s="1"/>
  <c r="AO92" i="42" s="1"/>
  <c r="D10" i="42" s="1"/>
  <c r="O234" i="42"/>
  <c r="O275" i="42" s="1"/>
  <c r="AN92" i="42" s="1"/>
  <c r="D8" i="42" s="1"/>
  <c r="M234" i="42"/>
  <c r="AT234" i="42" s="1"/>
  <c r="H181" i="42"/>
  <c r="H180" i="42"/>
  <c r="H179" i="42"/>
  <c r="H178" i="42"/>
  <c r="AY258" i="42" s="1"/>
  <c r="H177" i="42"/>
  <c r="H176" i="42"/>
  <c r="AW257" i="42" s="1"/>
  <c r="H175" i="42"/>
  <c r="AV256" i="42" s="1"/>
  <c r="H174" i="42"/>
  <c r="H173" i="42"/>
  <c r="H172" i="42"/>
  <c r="AY255" i="42" s="1"/>
  <c r="H171" i="42"/>
  <c r="H170" i="42"/>
  <c r="AW254" i="42" s="1"/>
  <c r="H169" i="42"/>
  <c r="H168" i="42"/>
  <c r="H167" i="42"/>
  <c r="H166" i="42"/>
  <c r="H165" i="42"/>
  <c r="H164" i="42"/>
  <c r="H163" i="42"/>
  <c r="H162" i="42"/>
  <c r="H161" i="42"/>
  <c r="H160" i="42"/>
  <c r="H159" i="42"/>
  <c r="H158" i="42"/>
  <c r="H157" i="42"/>
  <c r="H156" i="42"/>
  <c r="H155" i="42"/>
  <c r="H154" i="42"/>
  <c r="H153" i="42"/>
  <c r="H152" i="42"/>
  <c r="H151" i="42"/>
  <c r="H150" i="42"/>
  <c r="H149" i="42"/>
  <c r="H148" i="42"/>
  <c r="H147" i="42"/>
  <c r="H146" i="42"/>
  <c r="H145" i="42"/>
  <c r="H144" i="42"/>
  <c r="H143" i="42"/>
  <c r="H142" i="42"/>
  <c r="H141" i="42"/>
  <c r="H140" i="42"/>
  <c r="H139" i="42"/>
  <c r="H138" i="42"/>
  <c r="H137" i="42"/>
  <c r="H136" i="42"/>
  <c r="H135" i="42"/>
  <c r="H134" i="42"/>
  <c r="H133" i="42"/>
  <c r="H132" i="42"/>
  <c r="H131" i="42"/>
  <c r="H130" i="42"/>
  <c r="H129" i="42"/>
  <c r="H128" i="42"/>
  <c r="H127" i="42"/>
  <c r="H126" i="42"/>
  <c r="H125" i="42"/>
  <c r="H124" i="42"/>
  <c r="H123" i="42"/>
  <c r="H122" i="42"/>
  <c r="H121" i="42"/>
  <c r="H120" i="42"/>
  <c r="H119" i="42"/>
  <c r="H118" i="42"/>
  <c r="H117" i="42"/>
  <c r="H116" i="42"/>
  <c r="H115" i="42"/>
  <c r="H114" i="42"/>
  <c r="H113" i="42"/>
  <c r="H112" i="42"/>
  <c r="H111" i="42"/>
  <c r="H110" i="42"/>
  <c r="H109" i="42"/>
  <c r="H108" i="42"/>
  <c r="H107" i="42"/>
  <c r="H106" i="42"/>
  <c r="H105" i="42"/>
  <c r="H104" i="42"/>
  <c r="H103" i="42"/>
  <c r="B188" i="42" s="1" a="1"/>
  <c r="B188" i="42" s="1"/>
  <c r="BU90" i="42"/>
  <c r="BT90" i="42"/>
  <c r="BS90" i="42"/>
  <c r="BS92" i="42" s="1"/>
  <c r="BR90" i="42"/>
  <c r="BQ90" i="42"/>
  <c r="BP90" i="42"/>
  <c r="BO90" i="42"/>
  <c r="BN90" i="42"/>
  <c r="BM90" i="42"/>
  <c r="BL90" i="42"/>
  <c r="BK90" i="42"/>
  <c r="AU90" i="42"/>
  <c r="AR90" i="42"/>
  <c r="AQ90" i="42"/>
  <c r="AO90" i="42"/>
  <c r="AN90" i="42"/>
  <c r="AM90" i="42"/>
  <c r="BQ89" i="42"/>
  <c r="BP89" i="42"/>
  <c r="BO89" i="42"/>
  <c r="BN89" i="42"/>
  <c r="BM89" i="42"/>
  <c r="BL89" i="42"/>
  <c r="BK89" i="42"/>
  <c r="AU89" i="42"/>
  <c r="AR89" i="42"/>
  <c r="AQ89" i="42"/>
  <c r="AO89" i="42"/>
  <c r="AN89" i="42"/>
  <c r="AM89" i="42"/>
  <c r="BU88" i="42"/>
  <c r="BT88" i="42"/>
  <c r="BS88" i="42"/>
  <c r="BR88" i="42"/>
  <c r="BQ88" i="42"/>
  <c r="BP88" i="42"/>
  <c r="BO88" i="42"/>
  <c r="BN88" i="42"/>
  <c r="BM88" i="42"/>
  <c r="BL88" i="42"/>
  <c r="BK88" i="42"/>
  <c r="AU88" i="42"/>
  <c r="AR88" i="42"/>
  <c r="AQ88" i="42"/>
  <c r="AO88" i="42"/>
  <c r="AN88" i="42"/>
  <c r="AM88" i="42"/>
  <c r="BQ87" i="42"/>
  <c r="BQ92" i="42" s="1"/>
  <c r="BP87" i="42"/>
  <c r="BO87" i="42"/>
  <c r="BN87" i="42"/>
  <c r="BM87" i="42"/>
  <c r="BL87" i="42"/>
  <c r="BK87" i="42"/>
  <c r="AU87" i="42"/>
  <c r="AR87" i="42"/>
  <c r="AQ87" i="42"/>
  <c r="AO87" i="42"/>
  <c r="AN87" i="42"/>
  <c r="AM87" i="42"/>
  <c r="BU86" i="42"/>
  <c r="BU92" i="42" s="1"/>
  <c r="BT86" i="42"/>
  <c r="BT92" i="42" s="1"/>
  <c r="BS86" i="42"/>
  <c r="BR86" i="42"/>
  <c r="BR92" i="42" s="1"/>
  <c r="BQ86" i="42"/>
  <c r="BP86" i="42"/>
  <c r="BO86" i="42"/>
  <c r="BN86" i="42"/>
  <c r="BM86" i="42"/>
  <c r="BL86" i="42"/>
  <c r="BK86" i="42"/>
  <c r="AU86" i="42"/>
  <c r="AR86" i="42"/>
  <c r="AQ86" i="42"/>
  <c r="AO86" i="42"/>
  <c r="AN86" i="42"/>
  <c r="AM86" i="42"/>
  <c r="BP82" i="42"/>
  <c r="BO82" i="42"/>
  <c r="BN82" i="42"/>
  <c r="BM82" i="42"/>
  <c r="BL82" i="42"/>
  <c r="BK82" i="42"/>
  <c r="BJ82" i="42"/>
  <c r="BI82" i="42"/>
  <c r="BH82" i="42"/>
  <c r="BG82" i="42"/>
  <c r="BF82" i="42"/>
  <c r="BE82" i="42"/>
  <c r="BD82" i="42"/>
  <c r="BC82" i="42"/>
  <c r="BB82" i="42"/>
  <c r="BA82" i="42"/>
  <c r="AZ82" i="42"/>
  <c r="AY82" i="42"/>
  <c r="AX82" i="42"/>
  <c r="AW82" i="42"/>
  <c r="AV82" i="42"/>
  <c r="AU82" i="42"/>
  <c r="AT82" i="42"/>
  <c r="AS82" i="42"/>
  <c r="AR82" i="42"/>
  <c r="AQ82" i="42"/>
  <c r="AP82" i="42"/>
  <c r="AO82" i="42"/>
  <c r="AN82" i="42"/>
  <c r="AM82" i="42"/>
  <c r="BP80" i="42"/>
  <c r="BO80" i="42"/>
  <c r="BN80" i="42"/>
  <c r="BM80" i="42"/>
  <c r="BL80" i="42"/>
  <c r="BK80" i="42"/>
  <c r="BJ80" i="42"/>
  <c r="BI80" i="42"/>
  <c r="BH80" i="42"/>
  <c r="BG80" i="42"/>
  <c r="BF80" i="42"/>
  <c r="BE80" i="42"/>
  <c r="BD80" i="42"/>
  <c r="BC80" i="42"/>
  <c r="BB80" i="42"/>
  <c r="BA80" i="42"/>
  <c r="AZ80" i="42"/>
  <c r="AY80" i="42"/>
  <c r="AX80" i="42"/>
  <c r="AW80" i="42"/>
  <c r="AV80" i="42"/>
  <c r="AU80" i="42"/>
  <c r="AT80" i="42"/>
  <c r="AS80" i="42"/>
  <c r="AR80" i="42"/>
  <c r="AQ80" i="42"/>
  <c r="AP80" i="42"/>
  <c r="AO80" i="42"/>
  <c r="AN80" i="42"/>
  <c r="AM80" i="42"/>
  <c r="BP78" i="42"/>
  <c r="BO78" i="42"/>
  <c r="BN78" i="42"/>
  <c r="BM78" i="42"/>
  <c r="BL78" i="42"/>
  <c r="BK78" i="42"/>
  <c r="BJ78" i="42"/>
  <c r="BI78" i="42"/>
  <c r="BH78" i="42"/>
  <c r="BG78" i="42"/>
  <c r="BF78" i="42"/>
  <c r="BE78" i="42"/>
  <c r="BD78" i="42"/>
  <c r="BC78" i="42"/>
  <c r="BB78" i="42"/>
  <c r="BA78" i="42"/>
  <c r="AZ78" i="42"/>
  <c r="AY78" i="42"/>
  <c r="AX78" i="42"/>
  <c r="AW78" i="42"/>
  <c r="AV78" i="42"/>
  <c r="AU78" i="42"/>
  <c r="AT78" i="42"/>
  <c r="AS78" i="42"/>
  <c r="AR78" i="42"/>
  <c r="AQ78" i="42"/>
  <c r="AP78" i="42"/>
  <c r="AO78" i="42"/>
  <c r="AN78" i="42"/>
  <c r="AM78" i="42"/>
  <c r="BP74" i="42"/>
  <c r="BO74" i="42"/>
  <c r="BN74" i="42"/>
  <c r="BM74" i="42"/>
  <c r="BL74" i="42"/>
  <c r="BK74" i="42"/>
  <c r="BJ74" i="42"/>
  <c r="BI74" i="42"/>
  <c r="BH74" i="42"/>
  <c r="BG74" i="42"/>
  <c r="BF74" i="42"/>
  <c r="BE74" i="42"/>
  <c r="BD74" i="42"/>
  <c r="BC74" i="42"/>
  <c r="BB74" i="42"/>
  <c r="BA74" i="42"/>
  <c r="AZ74" i="42"/>
  <c r="AY74" i="42"/>
  <c r="AX74" i="42"/>
  <c r="AW74" i="42"/>
  <c r="AV74" i="42"/>
  <c r="AU74" i="42"/>
  <c r="AT74" i="42"/>
  <c r="AS74" i="42"/>
  <c r="AR74" i="42"/>
  <c r="AQ74" i="42"/>
  <c r="AP74" i="42"/>
  <c r="AO74" i="42"/>
  <c r="AN74" i="42"/>
  <c r="AM74" i="42"/>
  <c r="BP72" i="42"/>
  <c r="BO72" i="42"/>
  <c r="BN72" i="42"/>
  <c r="BM72" i="42"/>
  <c r="BL72" i="42"/>
  <c r="BK72" i="42"/>
  <c r="BJ72" i="42"/>
  <c r="BI72" i="42"/>
  <c r="BH72" i="42"/>
  <c r="BG72" i="42"/>
  <c r="BF72" i="42"/>
  <c r="BE72" i="42"/>
  <c r="BD72" i="42"/>
  <c r="BC72" i="42"/>
  <c r="BB72" i="42"/>
  <c r="BA72" i="42"/>
  <c r="AZ72" i="42"/>
  <c r="AY72" i="42"/>
  <c r="AX72" i="42"/>
  <c r="AW72" i="42"/>
  <c r="AV72" i="42"/>
  <c r="AU72" i="42"/>
  <c r="AT72" i="42"/>
  <c r="AS72" i="42"/>
  <c r="AR72" i="42"/>
  <c r="AQ72" i="42"/>
  <c r="AP72" i="42"/>
  <c r="AO72" i="42"/>
  <c r="AN72" i="42"/>
  <c r="AM72" i="42"/>
  <c r="BP70" i="42"/>
  <c r="BO70" i="42"/>
  <c r="BN70" i="42"/>
  <c r="BM70" i="42"/>
  <c r="BL70" i="42"/>
  <c r="BK70" i="42"/>
  <c r="BJ70" i="42"/>
  <c r="BI70" i="42"/>
  <c r="BH70" i="42"/>
  <c r="BG70" i="42"/>
  <c r="BF70" i="42"/>
  <c r="BE70" i="42"/>
  <c r="BD70" i="42"/>
  <c r="BC70" i="42"/>
  <c r="BB70" i="42"/>
  <c r="BA70" i="42"/>
  <c r="AZ70" i="42"/>
  <c r="AY70" i="42"/>
  <c r="AX70" i="42"/>
  <c r="AW70" i="42"/>
  <c r="AV70" i="42"/>
  <c r="AU70" i="42"/>
  <c r="AT70" i="42"/>
  <c r="AS70" i="42"/>
  <c r="AR70" i="42"/>
  <c r="AQ70" i="42"/>
  <c r="AP70" i="42"/>
  <c r="AO70" i="42"/>
  <c r="AN70" i="42"/>
  <c r="AM70" i="42"/>
  <c r="BP66" i="42"/>
  <c r="BO66" i="42"/>
  <c r="BN66" i="42"/>
  <c r="BM66" i="42"/>
  <c r="BL66" i="42"/>
  <c r="BK66" i="42"/>
  <c r="BJ66" i="42"/>
  <c r="BI66" i="42"/>
  <c r="BH66" i="42"/>
  <c r="BG66" i="42"/>
  <c r="BF66" i="42"/>
  <c r="BE66" i="42"/>
  <c r="BD66" i="42"/>
  <c r="BC66" i="42"/>
  <c r="BB66" i="42"/>
  <c r="BA66" i="42"/>
  <c r="AZ66" i="42"/>
  <c r="AY66" i="42"/>
  <c r="AX66" i="42"/>
  <c r="AW66" i="42"/>
  <c r="AV66" i="42"/>
  <c r="AU66" i="42"/>
  <c r="AT66" i="42"/>
  <c r="AS66" i="42"/>
  <c r="AR66" i="42"/>
  <c r="AQ66" i="42"/>
  <c r="AP66" i="42"/>
  <c r="AO66" i="42"/>
  <c r="AN66" i="42"/>
  <c r="AM66" i="42"/>
  <c r="BP64" i="42"/>
  <c r="BO64" i="42"/>
  <c r="BN64" i="42"/>
  <c r="BM64" i="42"/>
  <c r="BL64" i="42"/>
  <c r="BK64" i="42"/>
  <c r="BJ64" i="42"/>
  <c r="BI64" i="42"/>
  <c r="BH64" i="42"/>
  <c r="BG64" i="42"/>
  <c r="BF64" i="42"/>
  <c r="BE64" i="42"/>
  <c r="BD64" i="42"/>
  <c r="BC64" i="42"/>
  <c r="BB64" i="42"/>
  <c r="BA64" i="42"/>
  <c r="AZ64" i="42"/>
  <c r="AY64" i="42"/>
  <c r="AX64" i="42"/>
  <c r="AW64" i="42"/>
  <c r="AV64" i="42"/>
  <c r="AU64" i="42"/>
  <c r="AT64" i="42"/>
  <c r="AS64" i="42"/>
  <c r="AR64" i="42"/>
  <c r="AQ64" i="42"/>
  <c r="AP64" i="42"/>
  <c r="AO64" i="42"/>
  <c r="AN64" i="42"/>
  <c r="AM64" i="42"/>
  <c r="BP62" i="42"/>
  <c r="BO62" i="42"/>
  <c r="BN62" i="42"/>
  <c r="BM62" i="42"/>
  <c r="BL62" i="42"/>
  <c r="BK62" i="42"/>
  <c r="BJ62" i="42"/>
  <c r="BI62" i="42"/>
  <c r="BH62" i="42"/>
  <c r="BG62" i="42"/>
  <c r="BF62" i="42"/>
  <c r="BE62" i="42"/>
  <c r="BD62" i="42"/>
  <c r="BC62" i="42"/>
  <c r="BB62" i="42"/>
  <c r="BA62" i="42"/>
  <c r="AZ62" i="42"/>
  <c r="AY62" i="42"/>
  <c r="AX62" i="42"/>
  <c r="AW62" i="42"/>
  <c r="AV62" i="42"/>
  <c r="AU62" i="42"/>
  <c r="AT62" i="42"/>
  <c r="AS62" i="42"/>
  <c r="AR62" i="42"/>
  <c r="AQ62" i="42"/>
  <c r="AP62" i="42"/>
  <c r="AO62" i="42"/>
  <c r="AN62" i="42"/>
  <c r="AM62" i="42"/>
  <c r="BP60" i="42"/>
  <c r="BO60" i="42"/>
  <c r="BN60" i="42"/>
  <c r="BM60" i="42"/>
  <c r="BL60" i="42"/>
  <c r="BK60" i="42"/>
  <c r="BJ60" i="42"/>
  <c r="BI60" i="42"/>
  <c r="BH60" i="42"/>
  <c r="BG60" i="42"/>
  <c r="BF60" i="42"/>
  <c r="BE60" i="42"/>
  <c r="BD60" i="42"/>
  <c r="BC60" i="42"/>
  <c r="BB60" i="42"/>
  <c r="BA60" i="42"/>
  <c r="AZ60" i="42"/>
  <c r="AY60" i="42"/>
  <c r="AX60" i="42"/>
  <c r="AW60" i="42"/>
  <c r="AV60" i="42"/>
  <c r="AU60" i="42"/>
  <c r="AT60" i="42"/>
  <c r="AS60" i="42"/>
  <c r="AR60" i="42"/>
  <c r="AQ60" i="42"/>
  <c r="AP60" i="42"/>
  <c r="AO60" i="42"/>
  <c r="AN60" i="42"/>
  <c r="AM60" i="42"/>
  <c r="BP58" i="42"/>
  <c r="BO58" i="42"/>
  <c r="BN58" i="42"/>
  <c r="BM58" i="42"/>
  <c r="BL58" i="42"/>
  <c r="BK58" i="42"/>
  <c r="BJ58" i="42"/>
  <c r="BI58" i="42"/>
  <c r="BH58" i="42"/>
  <c r="BG58" i="42"/>
  <c r="BF58" i="42"/>
  <c r="BE58" i="42"/>
  <c r="BD58" i="42"/>
  <c r="BC58" i="42"/>
  <c r="BB58" i="42"/>
  <c r="BA58" i="42"/>
  <c r="AZ58" i="42"/>
  <c r="AY58" i="42"/>
  <c r="AX58" i="42"/>
  <c r="AW58" i="42"/>
  <c r="AV58" i="42"/>
  <c r="AU58" i="42"/>
  <c r="AT58" i="42"/>
  <c r="AS58" i="42"/>
  <c r="AR58" i="42"/>
  <c r="AQ58" i="42"/>
  <c r="AP58" i="42"/>
  <c r="AO58" i="42"/>
  <c r="AN58" i="42"/>
  <c r="AM58" i="42"/>
  <c r="BP56" i="42"/>
  <c r="BO56" i="42"/>
  <c r="BN56" i="42"/>
  <c r="BM56" i="42"/>
  <c r="BL56" i="42"/>
  <c r="BK56" i="42"/>
  <c r="BJ56" i="42"/>
  <c r="BI56" i="42"/>
  <c r="BH56" i="42"/>
  <c r="BG56" i="42"/>
  <c r="BF56" i="42"/>
  <c r="BE56" i="42"/>
  <c r="BD56" i="42"/>
  <c r="BC56" i="42"/>
  <c r="BB56" i="42"/>
  <c r="BA56" i="42"/>
  <c r="AZ56" i="42"/>
  <c r="AY56" i="42"/>
  <c r="AX56" i="42"/>
  <c r="AW56" i="42"/>
  <c r="AV56" i="42"/>
  <c r="AU56" i="42"/>
  <c r="AT56" i="42"/>
  <c r="AS56" i="42"/>
  <c r="AR56" i="42"/>
  <c r="AQ56" i="42"/>
  <c r="AP56" i="42"/>
  <c r="AO56" i="42"/>
  <c r="AN56" i="42"/>
  <c r="AM56" i="42"/>
  <c r="BP54" i="42"/>
  <c r="BO54" i="42"/>
  <c r="BN54" i="42"/>
  <c r="BM54" i="42"/>
  <c r="BL54" i="42"/>
  <c r="BK54" i="42"/>
  <c r="BJ54" i="42"/>
  <c r="BI54" i="42"/>
  <c r="BH54" i="42"/>
  <c r="BG54" i="42"/>
  <c r="BF54" i="42"/>
  <c r="BE54" i="42"/>
  <c r="BD54" i="42"/>
  <c r="BC54" i="42"/>
  <c r="BB54" i="42"/>
  <c r="BA54" i="42"/>
  <c r="AZ54" i="42"/>
  <c r="AY54" i="42"/>
  <c r="AX54" i="42"/>
  <c r="AW54" i="42"/>
  <c r="AV54" i="42"/>
  <c r="AU54" i="42"/>
  <c r="AT54" i="42"/>
  <c r="AS54" i="42"/>
  <c r="AR54" i="42"/>
  <c r="AQ54" i="42"/>
  <c r="AP54" i="42"/>
  <c r="AO54" i="42"/>
  <c r="AN54" i="42"/>
  <c r="AM54" i="42"/>
  <c r="BP52" i="42"/>
  <c r="BO52" i="42"/>
  <c r="BN52" i="42"/>
  <c r="BM52" i="42"/>
  <c r="BL52" i="42"/>
  <c r="BK52" i="42"/>
  <c r="BJ52" i="42"/>
  <c r="BI52" i="42"/>
  <c r="BH52" i="42"/>
  <c r="BG52" i="42"/>
  <c r="BF52" i="42"/>
  <c r="BE52" i="42"/>
  <c r="BD52" i="42"/>
  <c r="BC52" i="42"/>
  <c r="BB52" i="42"/>
  <c r="BA52" i="42"/>
  <c r="AZ52" i="42"/>
  <c r="AY52" i="42"/>
  <c r="AX52" i="42"/>
  <c r="AW52" i="42"/>
  <c r="AV52" i="42"/>
  <c r="AU52" i="42"/>
  <c r="AT52" i="42"/>
  <c r="AS52" i="42"/>
  <c r="AR52" i="42"/>
  <c r="AQ52" i="42"/>
  <c r="AP52" i="42"/>
  <c r="AO52" i="42"/>
  <c r="AN52" i="42"/>
  <c r="AM52" i="42"/>
  <c r="BP50" i="42"/>
  <c r="BO50" i="42"/>
  <c r="BN50" i="42"/>
  <c r="BM50" i="42"/>
  <c r="BL50" i="42"/>
  <c r="BK50" i="42"/>
  <c r="BJ50" i="42"/>
  <c r="BI50" i="42"/>
  <c r="BH50" i="42"/>
  <c r="BG50" i="42"/>
  <c r="BF50" i="42"/>
  <c r="BE50" i="42"/>
  <c r="BD50" i="42"/>
  <c r="BC50" i="42"/>
  <c r="BB50" i="42"/>
  <c r="BA50" i="42"/>
  <c r="AZ50" i="42"/>
  <c r="AY50" i="42"/>
  <c r="AX50" i="42"/>
  <c r="AW50" i="42"/>
  <c r="AV50" i="42"/>
  <c r="AU50" i="42"/>
  <c r="AT50" i="42"/>
  <c r="AS50" i="42"/>
  <c r="AR50" i="42"/>
  <c r="AQ50" i="42"/>
  <c r="AP50" i="42"/>
  <c r="AO50" i="42"/>
  <c r="AN50" i="42"/>
  <c r="AM50" i="42"/>
  <c r="BP48" i="42"/>
  <c r="BO48" i="42"/>
  <c r="BN48" i="42"/>
  <c r="BM48" i="42"/>
  <c r="BL48" i="42"/>
  <c r="BK48" i="42"/>
  <c r="BJ48" i="42"/>
  <c r="BI48" i="42"/>
  <c r="BH48" i="42"/>
  <c r="BG48" i="42"/>
  <c r="BF48" i="42"/>
  <c r="BE48" i="42"/>
  <c r="BD48" i="42"/>
  <c r="BC48" i="42"/>
  <c r="BB48" i="42"/>
  <c r="BA48" i="42"/>
  <c r="AZ48" i="42"/>
  <c r="AY48" i="42"/>
  <c r="AX48" i="42"/>
  <c r="AW48" i="42"/>
  <c r="AV48" i="42"/>
  <c r="AU48" i="42"/>
  <c r="AT48" i="42"/>
  <c r="AS48" i="42"/>
  <c r="AR48" i="42"/>
  <c r="AQ48" i="42"/>
  <c r="AP48" i="42"/>
  <c r="AO48" i="42"/>
  <c r="AN48" i="42"/>
  <c r="AM48" i="42"/>
  <c r="BP46" i="42"/>
  <c r="BO46" i="42"/>
  <c r="BN46" i="42"/>
  <c r="BM46" i="42"/>
  <c r="BL46" i="42"/>
  <c r="BK46" i="42"/>
  <c r="BJ46" i="42"/>
  <c r="BI46" i="42"/>
  <c r="BH46" i="42"/>
  <c r="BG46" i="42"/>
  <c r="BF46" i="42"/>
  <c r="BE46" i="42"/>
  <c r="BD46" i="42"/>
  <c r="BC46" i="42"/>
  <c r="BB46" i="42"/>
  <c r="BA46" i="42"/>
  <c r="AZ46" i="42"/>
  <c r="AY46" i="42"/>
  <c r="AX46" i="42"/>
  <c r="AW46" i="42"/>
  <c r="AV46" i="42"/>
  <c r="AU46" i="42"/>
  <c r="AT46" i="42"/>
  <c r="AS46" i="42"/>
  <c r="AR46" i="42"/>
  <c r="AQ46" i="42"/>
  <c r="AP46" i="42"/>
  <c r="AO46" i="42"/>
  <c r="AN46" i="42"/>
  <c r="AM46" i="42"/>
  <c r="BP44" i="42"/>
  <c r="BO44" i="42"/>
  <c r="BN44" i="42"/>
  <c r="BM44" i="42"/>
  <c r="BL44" i="42"/>
  <c r="BK44" i="42"/>
  <c r="BJ44" i="42"/>
  <c r="BI44" i="42"/>
  <c r="BH44" i="42"/>
  <c r="BG44" i="42"/>
  <c r="BF44" i="42"/>
  <c r="BE44" i="42"/>
  <c r="BD44" i="42"/>
  <c r="BC44" i="42"/>
  <c r="BB44" i="42"/>
  <c r="BA44" i="42"/>
  <c r="AZ44" i="42"/>
  <c r="AY44" i="42"/>
  <c r="AX44" i="42"/>
  <c r="AW44" i="42"/>
  <c r="AV44" i="42"/>
  <c r="AU44" i="42"/>
  <c r="AT44" i="42"/>
  <c r="AS44" i="42"/>
  <c r="AR44" i="42"/>
  <c r="AQ44" i="42"/>
  <c r="AP44" i="42"/>
  <c r="AO44" i="42"/>
  <c r="AN44" i="42"/>
  <c r="AM44" i="42"/>
  <c r="BP42" i="42"/>
  <c r="BO42" i="42"/>
  <c r="BN42" i="42"/>
  <c r="BM42" i="42"/>
  <c r="BL42" i="42"/>
  <c r="BK42" i="42"/>
  <c r="BJ42" i="42"/>
  <c r="BI42" i="42"/>
  <c r="BH42" i="42"/>
  <c r="BG42" i="42"/>
  <c r="BF42" i="42"/>
  <c r="BE42" i="42"/>
  <c r="BD42" i="42"/>
  <c r="BC42" i="42"/>
  <c r="BB42" i="42"/>
  <c r="BA42" i="42"/>
  <c r="AZ42" i="42"/>
  <c r="AY42" i="42"/>
  <c r="AX42" i="42"/>
  <c r="AW42" i="42"/>
  <c r="AV42" i="42"/>
  <c r="AU42" i="42"/>
  <c r="AT42" i="42"/>
  <c r="AS42" i="42"/>
  <c r="AR42" i="42"/>
  <c r="AQ42" i="42"/>
  <c r="AP42" i="42"/>
  <c r="AO42" i="42"/>
  <c r="AN42" i="42"/>
  <c r="AM42" i="42"/>
  <c r="BP40" i="42"/>
  <c r="BO40" i="42"/>
  <c r="BN40" i="42"/>
  <c r="BM40" i="42"/>
  <c r="BL40" i="42"/>
  <c r="BK40" i="42"/>
  <c r="BJ40" i="42"/>
  <c r="BI40" i="42"/>
  <c r="BH40" i="42"/>
  <c r="BG40" i="42"/>
  <c r="BF40" i="42"/>
  <c r="BE40" i="42"/>
  <c r="BD40" i="42"/>
  <c r="BC40" i="42"/>
  <c r="BB40" i="42"/>
  <c r="BA40" i="42"/>
  <c r="AZ40" i="42"/>
  <c r="AY40" i="42"/>
  <c r="AX40" i="42"/>
  <c r="AW40" i="42"/>
  <c r="AV40" i="42"/>
  <c r="AU40" i="42"/>
  <c r="AT40" i="42"/>
  <c r="AS40" i="42"/>
  <c r="AR40" i="42"/>
  <c r="AQ40" i="42"/>
  <c r="AP40" i="42"/>
  <c r="AO40" i="42"/>
  <c r="AN40" i="42"/>
  <c r="AM40" i="42"/>
  <c r="CH38" i="42"/>
  <c r="CG38" i="42"/>
  <c r="CF38" i="42"/>
  <c r="CE38" i="42"/>
  <c r="CD38" i="42"/>
  <c r="CC38" i="42"/>
  <c r="CB38" i="42"/>
  <c r="CA38" i="42"/>
  <c r="BL92" i="42" s="1"/>
  <c r="BZ38" i="42"/>
  <c r="BY38" i="42"/>
  <c r="BX38" i="42"/>
  <c r="BW38" i="42"/>
  <c r="BV38" i="42"/>
  <c r="BP38" i="42"/>
  <c r="BO38" i="42"/>
  <c r="BN38" i="42"/>
  <c r="BM38" i="42"/>
  <c r="BL38" i="42"/>
  <c r="BK38" i="42"/>
  <c r="BJ38" i="42"/>
  <c r="BI38" i="42"/>
  <c r="BH38" i="42"/>
  <c r="BG38" i="42"/>
  <c r="BF38" i="42"/>
  <c r="BE38" i="42"/>
  <c r="BD38" i="42"/>
  <c r="BC38" i="42"/>
  <c r="BB38" i="42"/>
  <c r="BA38" i="42"/>
  <c r="AZ38" i="42"/>
  <c r="AY38" i="42"/>
  <c r="AX38" i="42"/>
  <c r="AW38" i="42"/>
  <c r="AV38" i="42"/>
  <c r="AU38" i="42"/>
  <c r="AT38" i="42"/>
  <c r="AS38" i="42"/>
  <c r="AR38" i="42"/>
  <c r="AQ38" i="42"/>
  <c r="AP38" i="42"/>
  <c r="AO38" i="42"/>
  <c r="AN38" i="42"/>
  <c r="AM38" i="42"/>
  <c r="BP36" i="42"/>
  <c r="BO36" i="42"/>
  <c r="BN36" i="42"/>
  <c r="BM36" i="42"/>
  <c r="BL36" i="42"/>
  <c r="BK36" i="42"/>
  <c r="BJ36" i="42"/>
  <c r="BI36" i="42"/>
  <c r="BH36" i="42"/>
  <c r="BG36" i="42"/>
  <c r="BF36" i="42"/>
  <c r="BE36" i="42"/>
  <c r="BD36" i="42"/>
  <c r="BC36" i="42"/>
  <c r="BB36" i="42"/>
  <c r="BA36" i="42"/>
  <c r="AZ36" i="42"/>
  <c r="AY36" i="42"/>
  <c r="AX36" i="42"/>
  <c r="AW36" i="42"/>
  <c r="AV36" i="42"/>
  <c r="AU36" i="42"/>
  <c r="AT36" i="42"/>
  <c r="AS36" i="42"/>
  <c r="AR36" i="42"/>
  <c r="AQ36" i="42"/>
  <c r="AP36" i="42"/>
  <c r="AO36" i="42"/>
  <c r="AN36" i="42"/>
  <c r="AM36" i="42"/>
  <c r="BL34" i="42"/>
  <c r="BK34" i="42"/>
  <c r="BJ34" i="42"/>
  <c r="BD34" i="42"/>
  <c r="BC34" i="42"/>
  <c r="BB34" i="42"/>
  <c r="AV34" i="42"/>
  <c r="AU34" i="42"/>
  <c r="AT34" i="42"/>
  <c r="AP34" i="42"/>
  <c r="AO34" i="42"/>
  <c r="AN34" i="42"/>
  <c r="AM34" i="42"/>
  <c r="BP32" i="42"/>
  <c r="BO32" i="42"/>
  <c r="BN32" i="42"/>
  <c r="BM32" i="42"/>
  <c r="BL32" i="42"/>
  <c r="BK32" i="42"/>
  <c r="BJ32" i="42"/>
  <c r="BI32" i="42"/>
  <c r="BH32" i="42"/>
  <c r="BG32" i="42"/>
  <c r="BF32" i="42"/>
  <c r="BE32" i="42"/>
  <c r="BD32" i="42"/>
  <c r="BC32" i="42"/>
  <c r="BB32" i="42"/>
  <c r="BA32" i="42"/>
  <c r="AZ32" i="42"/>
  <c r="AY32" i="42"/>
  <c r="AX32" i="42"/>
  <c r="AW32" i="42"/>
  <c r="AV32" i="42"/>
  <c r="AU32" i="42"/>
  <c r="AT32" i="42"/>
  <c r="AS32" i="42"/>
  <c r="AR32" i="42"/>
  <c r="AQ32" i="42"/>
  <c r="AP32" i="42"/>
  <c r="AO32" i="42"/>
  <c r="AN32" i="42"/>
  <c r="AM32" i="42"/>
  <c r="BY30" i="42"/>
  <c r="BX30" i="42"/>
  <c r="BW30" i="42"/>
  <c r="BV30" i="42"/>
  <c r="BP30" i="42"/>
  <c r="BO30" i="42"/>
  <c r="BN30" i="42"/>
  <c r="BM30" i="42"/>
  <c r="BL30" i="42"/>
  <c r="BK30" i="42"/>
  <c r="BJ30" i="42"/>
  <c r="BI30" i="42"/>
  <c r="BH30" i="42"/>
  <c r="BG30" i="42"/>
  <c r="BF30" i="42"/>
  <c r="BE30" i="42"/>
  <c r="BD30" i="42"/>
  <c r="BC30" i="42"/>
  <c r="BB30" i="42"/>
  <c r="BA30" i="42"/>
  <c r="AZ30" i="42"/>
  <c r="AY30" i="42"/>
  <c r="AX30" i="42"/>
  <c r="AW30" i="42"/>
  <c r="AV30" i="42"/>
  <c r="AU30" i="42"/>
  <c r="AT30" i="42"/>
  <c r="AS30" i="42"/>
  <c r="AR30" i="42"/>
  <c r="AQ30" i="42"/>
  <c r="AP30" i="42"/>
  <c r="AO30" i="42"/>
  <c r="AN30" i="42"/>
  <c r="AM30" i="42"/>
  <c r="BV29" i="42"/>
  <c r="BY28" i="42"/>
  <c r="BX28" i="42"/>
  <c r="BW28" i="42"/>
  <c r="BV28" i="42"/>
  <c r="BP28" i="42"/>
  <c r="BO28" i="42"/>
  <c r="BN28" i="42"/>
  <c r="BM28" i="42"/>
  <c r="BL28" i="42"/>
  <c r="BK28" i="42"/>
  <c r="BJ28" i="42"/>
  <c r="BI28" i="42"/>
  <c r="BH28" i="42"/>
  <c r="BG28" i="42"/>
  <c r="BF28" i="42"/>
  <c r="BE28" i="42"/>
  <c r="BD28" i="42"/>
  <c r="BC28" i="42"/>
  <c r="BB28" i="42"/>
  <c r="BA28" i="42"/>
  <c r="AZ28" i="42"/>
  <c r="AY28" i="42"/>
  <c r="AX28" i="42"/>
  <c r="AW28" i="42"/>
  <c r="AV28" i="42"/>
  <c r="AU28" i="42"/>
  <c r="AT28" i="42"/>
  <c r="AS28" i="42"/>
  <c r="AR28" i="42"/>
  <c r="AQ28" i="42"/>
  <c r="AP28" i="42"/>
  <c r="AO28" i="42"/>
  <c r="AN28" i="42"/>
  <c r="AM28" i="42"/>
  <c r="BV27" i="42"/>
  <c r="BY26" i="42"/>
  <c r="BY32" i="42" s="1"/>
  <c r="AP92" i="42" s="1"/>
  <c r="U6" i="42" s="1"/>
  <c r="BX26" i="42"/>
  <c r="BX32" i="42" s="1"/>
  <c r="BW26" i="42"/>
  <c r="BW32" i="42" s="1"/>
  <c r="BV26" i="42"/>
  <c r="BV32" i="42" s="1"/>
  <c r="BP26" i="42"/>
  <c r="BO26" i="42"/>
  <c r="BN26" i="42"/>
  <c r="BM26" i="42"/>
  <c r="BL26" i="42"/>
  <c r="BK26" i="42"/>
  <c r="BJ26" i="42"/>
  <c r="BI26" i="42"/>
  <c r="BH26" i="42"/>
  <c r="BG26" i="42"/>
  <c r="BF26" i="42"/>
  <c r="BE26" i="42"/>
  <c r="BD26" i="42"/>
  <c r="BC26" i="42"/>
  <c r="BB26" i="42"/>
  <c r="BA26" i="42"/>
  <c r="AZ26" i="42"/>
  <c r="AY26" i="42"/>
  <c r="AX26" i="42"/>
  <c r="AW26" i="42"/>
  <c r="AV26" i="42"/>
  <c r="AU26" i="42"/>
  <c r="AT26" i="42"/>
  <c r="AS26" i="42"/>
  <c r="AR26" i="42"/>
  <c r="AQ26" i="42"/>
  <c r="AP26" i="42"/>
  <c r="AO26" i="42"/>
  <c r="AN26" i="42"/>
  <c r="AM26" i="42"/>
  <c r="BP24" i="42"/>
  <c r="BO24" i="42"/>
  <c r="BN24" i="42"/>
  <c r="BM24" i="42"/>
  <c r="BL24" i="42"/>
  <c r="BK24" i="42"/>
  <c r="BJ24" i="42"/>
  <c r="BI24" i="42"/>
  <c r="BH24" i="42"/>
  <c r="BG24" i="42"/>
  <c r="BF24" i="42"/>
  <c r="BE24" i="42"/>
  <c r="BD24" i="42"/>
  <c r="BC24" i="42"/>
  <c r="BB24" i="42"/>
  <c r="BA24" i="42"/>
  <c r="AZ24" i="42"/>
  <c r="AY24" i="42"/>
  <c r="AX24" i="42"/>
  <c r="AW24" i="42"/>
  <c r="AV24" i="42"/>
  <c r="AU24" i="42"/>
  <c r="AT24" i="42"/>
  <c r="AS24" i="42"/>
  <c r="AR24" i="42"/>
  <c r="AQ24" i="42"/>
  <c r="AP24" i="42"/>
  <c r="AO24" i="42"/>
  <c r="AN24" i="42"/>
  <c r="AM24" i="42"/>
  <c r="BP22" i="42"/>
  <c r="BO22" i="42"/>
  <c r="BN22" i="42"/>
  <c r="BM22" i="42"/>
  <c r="BL22" i="42"/>
  <c r="BK22" i="42"/>
  <c r="BJ22" i="42"/>
  <c r="BI22" i="42"/>
  <c r="BH22" i="42"/>
  <c r="BG22" i="42"/>
  <c r="BF22" i="42"/>
  <c r="BE22" i="42"/>
  <c r="BD22" i="42"/>
  <c r="BC22" i="42"/>
  <c r="BB22" i="42"/>
  <c r="BA22" i="42"/>
  <c r="AZ22" i="42"/>
  <c r="AY22" i="42"/>
  <c r="AX22" i="42"/>
  <c r="AW22" i="42"/>
  <c r="AV22" i="42"/>
  <c r="AU22" i="42"/>
  <c r="AT22" i="42"/>
  <c r="AS22" i="42"/>
  <c r="AR22" i="42"/>
  <c r="AQ22" i="42"/>
  <c r="AP22" i="42"/>
  <c r="AO22" i="42"/>
  <c r="AN22" i="42"/>
  <c r="AM22" i="42"/>
  <c r="BV20" i="42"/>
  <c r="BP20" i="42"/>
  <c r="BO20" i="42"/>
  <c r="BN20" i="42"/>
  <c r="BM20" i="42"/>
  <c r="BL20" i="42"/>
  <c r="BK20" i="42"/>
  <c r="BJ20" i="42"/>
  <c r="BI20" i="42"/>
  <c r="BH20" i="42"/>
  <c r="BG20" i="42"/>
  <c r="BF20" i="42"/>
  <c r="BE20" i="42"/>
  <c r="BD20" i="42"/>
  <c r="BC20" i="42"/>
  <c r="BB20" i="42"/>
  <c r="BA20" i="42"/>
  <c r="AZ20" i="42"/>
  <c r="AY20" i="42"/>
  <c r="AX20" i="42"/>
  <c r="AW20" i="42"/>
  <c r="AV20" i="42"/>
  <c r="AU20" i="42"/>
  <c r="AT20" i="42"/>
  <c r="AS20" i="42"/>
  <c r="AR20" i="42"/>
  <c r="AQ20" i="42"/>
  <c r="AP20" i="42"/>
  <c r="AO20" i="42"/>
  <c r="AN20" i="42"/>
  <c r="AM20" i="42"/>
  <c r="BP18" i="42"/>
  <c r="BO18" i="42"/>
  <c r="BN18" i="42"/>
  <c r="BM18" i="42"/>
  <c r="BL18" i="42"/>
  <c r="BK18" i="42"/>
  <c r="BJ18" i="42"/>
  <c r="BI18" i="42"/>
  <c r="BH18" i="42"/>
  <c r="BG18" i="42"/>
  <c r="BF18" i="42"/>
  <c r="BE18" i="42"/>
  <c r="BD18" i="42"/>
  <c r="BC18" i="42"/>
  <c r="BB18" i="42"/>
  <c r="BA18" i="42"/>
  <c r="AZ18" i="42"/>
  <c r="AY18" i="42"/>
  <c r="AX18" i="42"/>
  <c r="AW18" i="42"/>
  <c r="AV18" i="42"/>
  <c r="AU18" i="42"/>
  <c r="AT18" i="42"/>
  <c r="AS18" i="42"/>
  <c r="AR18" i="42"/>
  <c r="AQ18" i="42"/>
  <c r="AP18" i="42"/>
  <c r="AO18" i="42"/>
  <c r="AN18" i="42"/>
  <c r="AM18" i="42"/>
  <c r="BP16" i="42"/>
  <c r="BO16" i="42"/>
  <c r="BN16" i="42"/>
  <c r="BM16" i="42"/>
  <c r="BL16" i="42"/>
  <c r="BK16" i="42"/>
  <c r="BK92" i="42" s="1"/>
  <c r="BJ16" i="42"/>
  <c r="BJ92" i="42" s="1"/>
  <c r="F195" i="42" s="1"/>
  <c r="BI16" i="42"/>
  <c r="BH16" i="42"/>
  <c r="BG16" i="42"/>
  <c r="BF16" i="42"/>
  <c r="BE16" i="42"/>
  <c r="BD16" i="42"/>
  <c r="BD92" i="42" s="1"/>
  <c r="F203" i="42" s="1"/>
  <c r="BC16" i="42"/>
  <c r="BC92" i="42" s="1"/>
  <c r="F202" i="42" s="1"/>
  <c r="BB16" i="42"/>
  <c r="BB92" i="42" s="1"/>
  <c r="F192" i="42" s="1"/>
  <c r="BA16" i="42"/>
  <c r="AZ16" i="42"/>
  <c r="AY16" i="42"/>
  <c r="AX16" i="42"/>
  <c r="AW16" i="42"/>
  <c r="AV16" i="42"/>
  <c r="AV92" i="42" s="1"/>
  <c r="F206" i="42" s="1"/>
  <c r="AU16" i="42"/>
  <c r="AU92" i="42" s="1"/>
  <c r="AT16" i="42"/>
  <c r="AT92" i="42" s="1"/>
  <c r="U8" i="42" s="1"/>
  <c r="AP8" i="42" s="1"/>
  <c r="AS16" i="42"/>
  <c r="AR16" i="42"/>
  <c r="AQ16" i="42"/>
  <c r="AP16" i="42"/>
  <c r="AO16" i="42"/>
  <c r="AN16" i="42"/>
  <c r="AM16" i="42"/>
  <c r="D277" i="108"/>
  <c r="D276" i="108"/>
  <c r="D275" i="108"/>
  <c r="BI34" i="108" s="1"/>
  <c r="B275" i="108"/>
  <c r="Q273" i="108"/>
  <c r="O273" i="108"/>
  <c r="M273" i="108"/>
  <c r="AZ272" i="108"/>
  <c r="AY272" i="108"/>
  <c r="AW272" i="108"/>
  <c r="AV272" i="108"/>
  <c r="AN272" i="108"/>
  <c r="Q272" i="108"/>
  <c r="O272" i="108"/>
  <c r="M272" i="108"/>
  <c r="AZ271" i="108"/>
  <c r="AY271" i="108"/>
  <c r="AW271" i="108"/>
  <c r="AV271" i="108"/>
  <c r="Q271" i="108"/>
  <c r="O271" i="108"/>
  <c r="M271" i="108"/>
  <c r="AZ270" i="108"/>
  <c r="AY270" i="108"/>
  <c r="AW270" i="108"/>
  <c r="AV270" i="108"/>
  <c r="AN270" i="108"/>
  <c r="Q270" i="108"/>
  <c r="O270" i="108"/>
  <c r="M270" i="108"/>
  <c r="AZ269" i="108"/>
  <c r="AY269" i="108"/>
  <c r="AW269" i="108"/>
  <c r="AV269" i="108"/>
  <c r="Q269" i="108"/>
  <c r="O269" i="108"/>
  <c r="M269" i="108"/>
  <c r="AZ268" i="108"/>
  <c r="AY268" i="108"/>
  <c r="AW268" i="108"/>
  <c r="AV268" i="108"/>
  <c r="AN268" i="108"/>
  <c r="Q268" i="108"/>
  <c r="O268" i="108"/>
  <c r="M268" i="108"/>
  <c r="AZ267" i="108"/>
  <c r="AY267" i="108"/>
  <c r="AW267" i="108"/>
  <c r="AV267" i="108"/>
  <c r="Q267" i="108"/>
  <c r="O267" i="108"/>
  <c r="M267" i="108"/>
  <c r="AZ266" i="108"/>
  <c r="AY266" i="108"/>
  <c r="AW266" i="108"/>
  <c r="AV266" i="108"/>
  <c r="AN266" i="108"/>
  <c r="Q266" i="108"/>
  <c r="O266" i="108"/>
  <c r="M266" i="108"/>
  <c r="AZ265" i="108"/>
  <c r="AY265" i="108"/>
  <c r="AW265" i="108"/>
  <c r="AV265" i="108"/>
  <c r="Q265" i="108"/>
  <c r="O265" i="108"/>
  <c r="M265" i="108"/>
  <c r="AZ264" i="108"/>
  <c r="AY264" i="108"/>
  <c r="AW264" i="108"/>
  <c r="AV264" i="108"/>
  <c r="AN264" i="108"/>
  <c r="Q264" i="108"/>
  <c r="O264" i="108"/>
  <c r="M264" i="108"/>
  <c r="AZ263" i="108"/>
  <c r="AY263" i="108"/>
  <c r="AW263" i="108"/>
  <c r="AV263" i="108"/>
  <c r="Q263" i="108"/>
  <c r="O263" i="108"/>
  <c r="M263" i="108"/>
  <c r="AZ262" i="108"/>
  <c r="AY262" i="108"/>
  <c r="AW262" i="108"/>
  <c r="AV262" i="108"/>
  <c r="AN262" i="108"/>
  <c r="Q262" i="108"/>
  <c r="O262" i="108"/>
  <c r="M262" i="108"/>
  <c r="AZ261" i="108"/>
  <c r="AY261" i="108"/>
  <c r="AW261" i="108"/>
  <c r="Q261" i="108"/>
  <c r="O261" i="108"/>
  <c r="M261" i="108"/>
  <c r="AZ260" i="108"/>
  <c r="AW260" i="108"/>
  <c r="AV260" i="108"/>
  <c r="AN260" i="108"/>
  <c r="Q260" i="108"/>
  <c r="O260" i="108"/>
  <c r="M260" i="108"/>
  <c r="AZ259" i="108"/>
  <c r="AW259" i="108"/>
  <c r="AV259" i="108"/>
  <c r="Q259" i="108"/>
  <c r="O259" i="108"/>
  <c r="M259" i="108"/>
  <c r="AZ258" i="108"/>
  <c r="AW258" i="108"/>
  <c r="AV258" i="108"/>
  <c r="AN258" i="108"/>
  <c r="Q258" i="108"/>
  <c r="O258" i="108"/>
  <c r="M258" i="108"/>
  <c r="AZ257" i="108"/>
  <c r="Q257" i="108"/>
  <c r="O257" i="108"/>
  <c r="M257" i="108"/>
  <c r="AZ256" i="108"/>
  <c r="AN256" i="108"/>
  <c r="Q256" i="108"/>
  <c r="O256" i="108"/>
  <c r="M256" i="108"/>
  <c r="AZ255" i="108"/>
  <c r="Q255" i="108"/>
  <c r="O255" i="108"/>
  <c r="M255" i="108"/>
  <c r="AZ254" i="108"/>
  <c r="AY254" i="108"/>
  <c r="AW254" i="108"/>
  <c r="AN254" i="108"/>
  <c r="Q254" i="108"/>
  <c r="O254" i="108"/>
  <c r="M254" i="108"/>
  <c r="AZ253" i="108"/>
  <c r="AY253" i="108"/>
  <c r="AW253" i="108"/>
  <c r="AV253" i="108"/>
  <c r="Q253" i="108"/>
  <c r="O253" i="108"/>
  <c r="M253" i="108"/>
  <c r="AZ252" i="108"/>
  <c r="AY252" i="108"/>
  <c r="AW252" i="108"/>
  <c r="AV252" i="108"/>
  <c r="AN252" i="108"/>
  <c r="Q252" i="108"/>
  <c r="O252" i="108"/>
  <c r="M252" i="108"/>
  <c r="AZ251" i="108"/>
  <c r="AY251" i="108"/>
  <c r="AW251" i="108"/>
  <c r="AV251" i="108"/>
  <c r="Q251" i="108"/>
  <c r="O251" i="108"/>
  <c r="M251" i="108"/>
  <c r="AZ250" i="108"/>
  <c r="AY250" i="108"/>
  <c r="AW250" i="108"/>
  <c r="AV250" i="108"/>
  <c r="AN250" i="108"/>
  <c r="Q250" i="108"/>
  <c r="O250" i="108"/>
  <c r="M250" i="108"/>
  <c r="AZ249" i="108"/>
  <c r="AY249" i="108"/>
  <c r="AW249" i="108"/>
  <c r="AV249" i="108"/>
  <c r="Q249" i="108"/>
  <c r="O249" i="108"/>
  <c r="M249" i="108"/>
  <c r="AZ248" i="108"/>
  <c r="AY248" i="108"/>
  <c r="AW248" i="108"/>
  <c r="AV248" i="108"/>
  <c r="AN248" i="108"/>
  <c r="Q248" i="108"/>
  <c r="O248" i="108"/>
  <c r="M248" i="108"/>
  <c r="AZ247" i="108"/>
  <c r="AY247" i="108"/>
  <c r="AW247" i="108"/>
  <c r="AV247" i="108"/>
  <c r="Q247" i="108"/>
  <c r="O247" i="108"/>
  <c r="M247" i="108"/>
  <c r="AZ246" i="108"/>
  <c r="AY246" i="108"/>
  <c r="AW246" i="108"/>
  <c r="AV246" i="108"/>
  <c r="AN246" i="108"/>
  <c r="Q246" i="108"/>
  <c r="O246" i="108"/>
  <c r="M246" i="108"/>
  <c r="AZ245" i="108"/>
  <c r="AY245" i="108"/>
  <c r="AW245" i="108"/>
  <c r="AV245" i="108"/>
  <c r="Q245" i="108"/>
  <c r="O245" i="108"/>
  <c r="M245" i="108"/>
  <c r="AZ244" i="108"/>
  <c r="AY244" i="108"/>
  <c r="AW244" i="108"/>
  <c r="AV244" i="108"/>
  <c r="AN244" i="108"/>
  <c r="Q244" i="108"/>
  <c r="O244" i="108"/>
  <c r="M244" i="108"/>
  <c r="AZ243" i="108"/>
  <c r="AY243" i="108"/>
  <c r="AW243" i="108"/>
  <c r="AV243" i="108"/>
  <c r="Q243" i="108"/>
  <c r="O243" i="108"/>
  <c r="M243" i="108"/>
  <c r="AZ242" i="108"/>
  <c r="AY242" i="108"/>
  <c r="AW242" i="108"/>
  <c r="AV242" i="108"/>
  <c r="AN242" i="108"/>
  <c r="Q242" i="108"/>
  <c r="O242" i="108"/>
  <c r="M242" i="108"/>
  <c r="AZ241" i="108"/>
  <c r="AY241" i="108"/>
  <c r="AW241" i="108"/>
  <c r="AV241" i="108"/>
  <c r="Q241" i="108"/>
  <c r="O241" i="108"/>
  <c r="M241" i="108"/>
  <c r="AZ240" i="108"/>
  <c r="AY240" i="108"/>
  <c r="AW240" i="108"/>
  <c r="AV240" i="108"/>
  <c r="AN240" i="108"/>
  <c r="Q240" i="108"/>
  <c r="O240" i="108"/>
  <c r="M240" i="108"/>
  <c r="AZ239" i="108"/>
  <c r="AY239" i="108"/>
  <c r="AW239" i="108"/>
  <c r="AV239" i="108"/>
  <c r="Q239" i="108"/>
  <c r="O239" i="108"/>
  <c r="M239" i="108"/>
  <c r="AZ238" i="108"/>
  <c r="AY238" i="108"/>
  <c r="AW238" i="108"/>
  <c r="AV238" i="108"/>
  <c r="AN238" i="108"/>
  <c r="Q238" i="108"/>
  <c r="Q275" i="108" s="1"/>
  <c r="O238" i="108"/>
  <c r="M238" i="108"/>
  <c r="AZ237" i="108"/>
  <c r="AY237" i="108"/>
  <c r="AW237" i="108"/>
  <c r="AV237" i="108"/>
  <c r="Q237" i="108"/>
  <c r="O237" i="108"/>
  <c r="M237" i="108"/>
  <c r="AZ236" i="108"/>
  <c r="AY236" i="108"/>
  <c r="AW236" i="108"/>
  <c r="AV236" i="108"/>
  <c r="AN236" i="108"/>
  <c r="Q236" i="108"/>
  <c r="O236" i="108"/>
  <c r="M236" i="108"/>
  <c r="AZ235" i="108"/>
  <c r="AY235" i="108"/>
  <c r="AW235" i="108"/>
  <c r="AV235" i="108"/>
  <c r="Q235" i="108"/>
  <c r="O235" i="108"/>
  <c r="M235" i="108"/>
  <c r="AZ234" i="108"/>
  <c r="AY234" i="108"/>
  <c r="AW234" i="108"/>
  <c r="AV234" i="108"/>
  <c r="AN234" i="108"/>
  <c r="Q234" i="108"/>
  <c r="O234" i="108"/>
  <c r="O275" i="108" s="1"/>
  <c r="M234" i="108"/>
  <c r="AT234" i="108" s="1"/>
  <c r="H181" i="108"/>
  <c r="AV261" i="108" s="1"/>
  <c r="H180" i="108"/>
  <c r="AY260" i="108" s="1"/>
  <c r="H179" i="108"/>
  <c r="AY259" i="108" s="1"/>
  <c r="H178" i="108"/>
  <c r="AY258" i="108" s="1"/>
  <c r="H177" i="108"/>
  <c r="H176" i="108"/>
  <c r="AY257" i="108" s="1"/>
  <c r="H175" i="108"/>
  <c r="AY256" i="108" s="1"/>
  <c r="H174" i="108"/>
  <c r="H173" i="108"/>
  <c r="H172" i="108"/>
  <c r="AY255" i="108" s="1"/>
  <c r="H171" i="108"/>
  <c r="H170" i="108"/>
  <c r="AV254" i="108" s="1"/>
  <c r="H169" i="108"/>
  <c r="H168" i="108"/>
  <c r="H167" i="108"/>
  <c r="H166" i="108"/>
  <c r="H165" i="108"/>
  <c r="H164" i="108"/>
  <c r="H163" i="108"/>
  <c r="H162" i="108"/>
  <c r="H161" i="108"/>
  <c r="H160" i="108"/>
  <c r="H159" i="108"/>
  <c r="H158" i="108"/>
  <c r="H157" i="108"/>
  <c r="H156" i="108"/>
  <c r="H155" i="108"/>
  <c r="H154" i="108"/>
  <c r="H153" i="108"/>
  <c r="H152" i="108"/>
  <c r="H151" i="108"/>
  <c r="H150" i="108"/>
  <c r="H149" i="108"/>
  <c r="H148" i="108"/>
  <c r="H147" i="108"/>
  <c r="H146" i="108"/>
  <c r="H145" i="108"/>
  <c r="H144" i="108"/>
  <c r="H143" i="108"/>
  <c r="H142" i="108"/>
  <c r="H141" i="108"/>
  <c r="H140" i="108"/>
  <c r="H139" i="108"/>
  <c r="H138" i="108"/>
  <c r="H137" i="108"/>
  <c r="H136" i="108"/>
  <c r="H135" i="108"/>
  <c r="H134" i="108"/>
  <c r="H133" i="108"/>
  <c r="H132" i="108"/>
  <c r="H131" i="108"/>
  <c r="H130" i="108"/>
  <c r="H129" i="108"/>
  <c r="H128" i="108"/>
  <c r="H127" i="108"/>
  <c r="H126" i="108"/>
  <c r="H125" i="108"/>
  <c r="H124" i="108"/>
  <c r="H123" i="108"/>
  <c r="H122" i="108"/>
  <c r="H121" i="108"/>
  <c r="H120" i="108"/>
  <c r="H119" i="108"/>
  <c r="H118" i="108"/>
  <c r="H117" i="108"/>
  <c r="H116" i="108"/>
  <c r="H115" i="108"/>
  <c r="H114" i="108"/>
  <c r="H113" i="108"/>
  <c r="H112" i="108"/>
  <c r="H111" i="108"/>
  <c r="H110" i="108"/>
  <c r="H109" i="108"/>
  <c r="H108" i="108"/>
  <c r="H107" i="108"/>
  <c r="H106" i="108"/>
  <c r="H105" i="108"/>
  <c r="H104" i="108"/>
  <c r="H103" i="108"/>
  <c r="B188" i="108" s="1" a="1"/>
  <c r="B188" i="108" s="1"/>
  <c r="BS92" i="108"/>
  <c r="BU90" i="108"/>
  <c r="BT90" i="108"/>
  <c r="BS90" i="108"/>
  <c r="BR90" i="108"/>
  <c r="BQ90" i="108"/>
  <c r="BP90" i="108"/>
  <c r="BO90" i="108"/>
  <c r="BN90" i="108"/>
  <c r="BM90" i="108"/>
  <c r="BL90" i="108"/>
  <c r="BK90" i="108"/>
  <c r="AU90" i="108"/>
  <c r="AR90" i="108"/>
  <c r="AQ90" i="108"/>
  <c r="AO90" i="108"/>
  <c r="AN90" i="108"/>
  <c r="AM90" i="108"/>
  <c r="BQ89" i="108"/>
  <c r="BP89" i="108"/>
  <c r="BO89" i="108"/>
  <c r="BN89" i="108"/>
  <c r="BM89" i="108"/>
  <c r="BL89" i="108"/>
  <c r="BK89" i="108"/>
  <c r="AU89" i="108"/>
  <c r="AR89" i="108"/>
  <c r="AQ89" i="108"/>
  <c r="AO89" i="108"/>
  <c r="AN89" i="108"/>
  <c r="AM89" i="108"/>
  <c r="BU88" i="108"/>
  <c r="BT88" i="108"/>
  <c r="BS88" i="108"/>
  <c r="BR88" i="108"/>
  <c r="BQ88" i="108"/>
  <c r="BP88" i="108"/>
  <c r="BO88" i="108"/>
  <c r="BN88" i="108"/>
  <c r="BM88" i="108"/>
  <c r="BL88" i="108"/>
  <c r="BK88" i="108"/>
  <c r="AU88" i="108"/>
  <c r="AR88" i="108"/>
  <c r="AQ88" i="108"/>
  <c r="AO88" i="108"/>
  <c r="AN88" i="108"/>
  <c r="AM88" i="108"/>
  <c r="BQ87" i="108"/>
  <c r="BP87" i="108"/>
  <c r="BO87" i="108"/>
  <c r="BN87" i="108"/>
  <c r="BM87" i="108"/>
  <c r="BL87" i="108"/>
  <c r="BK87" i="108"/>
  <c r="AU87" i="108"/>
  <c r="AR87" i="108"/>
  <c r="AQ87" i="108"/>
  <c r="AO87" i="108"/>
  <c r="AN87" i="108"/>
  <c r="AM87" i="108"/>
  <c r="BU86" i="108"/>
  <c r="BU92" i="108" s="1"/>
  <c r="BT86" i="108"/>
  <c r="BT92" i="108" s="1"/>
  <c r="BS86" i="108"/>
  <c r="BR86" i="108"/>
  <c r="BR92" i="108" s="1"/>
  <c r="BQ86" i="108"/>
  <c r="BQ92" i="108" s="1"/>
  <c r="BP86" i="108"/>
  <c r="BO86" i="108"/>
  <c r="BN86" i="108"/>
  <c r="BM86" i="108"/>
  <c r="BL86" i="108"/>
  <c r="BK86" i="108"/>
  <c r="AU86" i="108"/>
  <c r="AR86" i="108"/>
  <c r="AQ86" i="108"/>
  <c r="AO86" i="108"/>
  <c r="AN86" i="108"/>
  <c r="AM86" i="108"/>
  <c r="BP82" i="108"/>
  <c r="BO82" i="108"/>
  <c r="BN82" i="108"/>
  <c r="BM82" i="108"/>
  <c r="BL82" i="108"/>
  <c r="BK82" i="108"/>
  <c r="BJ82" i="108"/>
  <c r="BI82" i="108"/>
  <c r="BH82" i="108"/>
  <c r="BG82" i="108"/>
  <c r="BF82" i="108"/>
  <c r="BE82" i="108"/>
  <c r="BD82" i="108"/>
  <c r="BC82" i="108"/>
  <c r="BB82" i="108"/>
  <c r="BA82" i="108"/>
  <c r="AZ82" i="108"/>
  <c r="AY82" i="108"/>
  <c r="AX82" i="108"/>
  <c r="AW82" i="108"/>
  <c r="AV82" i="108"/>
  <c r="AU82" i="108"/>
  <c r="AT82" i="108"/>
  <c r="AS82" i="108"/>
  <c r="AR82" i="108"/>
  <c r="AQ82" i="108"/>
  <c r="AP82" i="108"/>
  <c r="AO82" i="108"/>
  <c r="AN82" i="108"/>
  <c r="AM82" i="108"/>
  <c r="BP80" i="108"/>
  <c r="BO80" i="108"/>
  <c r="BN80" i="108"/>
  <c r="BM80" i="108"/>
  <c r="BL80" i="108"/>
  <c r="BK80" i="108"/>
  <c r="BJ80" i="108"/>
  <c r="BI80" i="108"/>
  <c r="BH80" i="108"/>
  <c r="BG80" i="108"/>
  <c r="BF80" i="108"/>
  <c r="BE80" i="108"/>
  <c r="BD80" i="108"/>
  <c r="BC80" i="108"/>
  <c r="BB80" i="108"/>
  <c r="BA80" i="108"/>
  <c r="AZ80" i="108"/>
  <c r="AY80" i="108"/>
  <c r="AX80" i="108"/>
  <c r="AW80" i="108"/>
  <c r="AV80" i="108"/>
  <c r="AU80" i="108"/>
  <c r="AT80" i="108"/>
  <c r="AS80" i="108"/>
  <c r="AR80" i="108"/>
  <c r="AQ80" i="108"/>
  <c r="AP80" i="108"/>
  <c r="AO80" i="108"/>
  <c r="AN80" i="108"/>
  <c r="AM80" i="108"/>
  <c r="BP78" i="108"/>
  <c r="BO78" i="108"/>
  <c r="BN78" i="108"/>
  <c r="BM78" i="108"/>
  <c r="BL78" i="108"/>
  <c r="BK78" i="108"/>
  <c r="BJ78" i="108"/>
  <c r="BI78" i="108"/>
  <c r="BH78" i="108"/>
  <c r="BG78" i="108"/>
  <c r="BF78" i="108"/>
  <c r="BE78" i="108"/>
  <c r="BD78" i="108"/>
  <c r="BC78" i="108"/>
  <c r="BB78" i="108"/>
  <c r="BA78" i="108"/>
  <c r="AZ78" i="108"/>
  <c r="AY78" i="108"/>
  <c r="AX78" i="108"/>
  <c r="AW78" i="108"/>
  <c r="AV78" i="108"/>
  <c r="AU78" i="108"/>
  <c r="AT78" i="108"/>
  <c r="AS78" i="108"/>
  <c r="AR78" i="108"/>
  <c r="AQ78" i="108"/>
  <c r="AP78" i="108"/>
  <c r="AO78" i="108"/>
  <c r="AN78" i="108"/>
  <c r="AM78" i="108"/>
  <c r="BP74" i="108"/>
  <c r="BO74" i="108"/>
  <c r="BN74" i="108"/>
  <c r="BM74" i="108"/>
  <c r="BL74" i="108"/>
  <c r="BK74" i="108"/>
  <c r="BJ74" i="108"/>
  <c r="BI74" i="108"/>
  <c r="BH74" i="108"/>
  <c r="BG74" i="108"/>
  <c r="BF74" i="108"/>
  <c r="BE74" i="108"/>
  <c r="BD74" i="108"/>
  <c r="BC74" i="108"/>
  <c r="BB74" i="108"/>
  <c r="BA74" i="108"/>
  <c r="AZ74" i="108"/>
  <c r="AY74" i="108"/>
  <c r="AX74" i="108"/>
  <c r="AW74" i="108"/>
  <c r="AV74" i="108"/>
  <c r="AU74" i="108"/>
  <c r="AT74" i="108"/>
  <c r="AS74" i="108"/>
  <c r="AR74" i="108"/>
  <c r="AQ74" i="108"/>
  <c r="AP74" i="108"/>
  <c r="AO74" i="108"/>
  <c r="AN74" i="108"/>
  <c r="AM74" i="108"/>
  <c r="BP72" i="108"/>
  <c r="BO72" i="108"/>
  <c r="BN72" i="108"/>
  <c r="BM72" i="108"/>
  <c r="BL72" i="108"/>
  <c r="BK72" i="108"/>
  <c r="BJ72" i="108"/>
  <c r="BI72" i="108"/>
  <c r="BH72" i="108"/>
  <c r="BG72" i="108"/>
  <c r="BF72" i="108"/>
  <c r="BE72" i="108"/>
  <c r="BD72" i="108"/>
  <c r="BC72" i="108"/>
  <c r="BB72" i="108"/>
  <c r="BA72" i="108"/>
  <c r="AZ72" i="108"/>
  <c r="AY72" i="108"/>
  <c r="AX72" i="108"/>
  <c r="AW72" i="108"/>
  <c r="AV72" i="108"/>
  <c r="AU72" i="108"/>
  <c r="AT72" i="108"/>
  <c r="AS72" i="108"/>
  <c r="AR72" i="108"/>
  <c r="AQ72" i="108"/>
  <c r="AP72" i="108"/>
  <c r="AO72" i="108"/>
  <c r="AN72" i="108"/>
  <c r="AM72" i="108"/>
  <c r="BP70" i="108"/>
  <c r="BO70" i="108"/>
  <c r="BN70" i="108"/>
  <c r="BM70" i="108"/>
  <c r="BL70" i="108"/>
  <c r="BK70" i="108"/>
  <c r="BJ70" i="108"/>
  <c r="BI70" i="108"/>
  <c r="BH70" i="108"/>
  <c r="BG70" i="108"/>
  <c r="BF70" i="108"/>
  <c r="BE70" i="108"/>
  <c r="BD70" i="108"/>
  <c r="BC70" i="108"/>
  <c r="BB70" i="108"/>
  <c r="BA70" i="108"/>
  <c r="AZ70" i="108"/>
  <c r="AY70" i="108"/>
  <c r="AX70" i="108"/>
  <c r="AW70" i="108"/>
  <c r="AV70" i="108"/>
  <c r="AU70" i="108"/>
  <c r="AT70" i="108"/>
  <c r="AS70" i="108"/>
  <c r="AR70" i="108"/>
  <c r="AQ70" i="108"/>
  <c r="AP70" i="108"/>
  <c r="AO70" i="108"/>
  <c r="AN70" i="108"/>
  <c r="AM70" i="108"/>
  <c r="BP66" i="108"/>
  <c r="BO66" i="108"/>
  <c r="BN66" i="108"/>
  <c r="BM66" i="108"/>
  <c r="BL66" i="108"/>
  <c r="BK66" i="108"/>
  <c r="BJ66" i="108"/>
  <c r="BI66" i="108"/>
  <c r="BH66" i="108"/>
  <c r="BG66" i="108"/>
  <c r="BF66" i="108"/>
  <c r="BE66" i="108"/>
  <c r="BD66" i="108"/>
  <c r="BC66" i="108"/>
  <c r="BB66" i="108"/>
  <c r="BA66" i="108"/>
  <c r="AZ66" i="108"/>
  <c r="AY66" i="108"/>
  <c r="AX66" i="108"/>
  <c r="AW66" i="108"/>
  <c r="AV66" i="108"/>
  <c r="AU66" i="108"/>
  <c r="AT66" i="108"/>
  <c r="AS66" i="108"/>
  <c r="AR66" i="108"/>
  <c r="AQ66" i="108"/>
  <c r="AP66" i="108"/>
  <c r="AO66" i="108"/>
  <c r="AN66" i="108"/>
  <c r="AM66" i="108"/>
  <c r="BP64" i="108"/>
  <c r="BO64" i="108"/>
  <c r="BN64" i="108"/>
  <c r="BM64" i="108"/>
  <c r="BL64" i="108"/>
  <c r="BK64" i="108"/>
  <c r="BJ64" i="108"/>
  <c r="BI64" i="108"/>
  <c r="BH64" i="108"/>
  <c r="BG64" i="108"/>
  <c r="BF64" i="108"/>
  <c r="BE64" i="108"/>
  <c r="BD64" i="108"/>
  <c r="BC64" i="108"/>
  <c r="BB64" i="108"/>
  <c r="BA64" i="108"/>
  <c r="AZ64" i="108"/>
  <c r="AY64" i="108"/>
  <c r="AX64" i="108"/>
  <c r="AW64" i="108"/>
  <c r="AV64" i="108"/>
  <c r="AU64" i="108"/>
  <c r="AT64" i="108"/>
  <c r="AS64" i="108"/>
  <c r="AR64" i="108"/>
  <c r="AQ64" i="108"/>
  <c r="AP64" i="108"/>
  <c r="AO64" i="108"/>
  <c r="AN64" i="108"/>
  <c r="AM64" i="108"/>
  <c r="BP62" i="108"/>
  <c r="BO62" i="108"/>
  <c r="BN62" i="108"/>
  <c r="BM62" i="108"/>
  <c r="BL62" i="108"/>
  <c r="BK62" i="108"/>
  <c r="BJ62" i="108"/>
  <c r="BI62" i="108"/>
  <c r="BH62" i="108"/>
  <c r="BG62" i="108"/>
  <c r="BF62" i="108"/>
  <c r="BE62" i="108"/>
  <c r="BD62" i="108"/>
  <c r="BC62" i="108"/>
  <c r="BB62" i="108"/>
  <c r="BA62" i="108"/>
  <c r="AZ62" i="108"/>
  <c r="AY62" i="108"/>
  <c r="AX62" i="108"/>
  <c r="AW62" i="108"/>
  <c r="AV62" i="108"/>
  <c r="AU62" i="108"/>
  <c r="AT62" i="108"/>
  <c r="AS62" i="108"/>
  <c r="AR62" i="108"/>
  <c r="AQ62" i="108"/>
  <c r="AP62" i="108"/>
  <c r="AO62" i="108"/>
  <c r="AN62" i="108"/>
  <c r="AM62" i="108"/>
  <c r="BP60" i="108"/>
  <c r="BO60" i="108"/>
  <c r="BN60" i="108"/>
  <c r="BM60" i="108"/>
  <c r="BL60" i="108"/>
  <c r="BK60" i="108"/>
  <c r="BJ60" i="108"/>
  <c r="BI60" i="108"/>
  <c r="BH60" i="108"/>
  <c r="BG60" i="108"/>
  <c r="BF60" i="108"/>
  <c r="BE60" i="108"/>
  <c r="BD60" i="108"/>
  <c r="BC60" i="108"/>
  <c r="BB60" i="108"/>
  <c r="BA60" i="108"/>
  <c r="AZ60" i="108"/>
  <c r="AY60" i="108"/>
  <c r="AX60" i="108"/>
  <c r="AW60" i="108"/>
  <c r="AV60" i="108"/>
  <c r="AU60" i="108"/>
  <c r="AT60" i="108"/>
  <c r="AS60" i="108"/>
  <c r="AR60" i="108"/>
  <c r="AQ60" i="108"/>
  <c r="AP60" i="108"/>
  <c r="AO60" i="108"/>
  <c r="AN60" i="108"/>
  <c r="AM60" i="108"/>
  <c r="BP58" i="108"/>
  <c r="BO58" i="108"/>
  <c r="BN58" i="108"/>
  <c r="BM58" i="108"/>
  <c r="BL58" i="108"/>
  <c r="BK58" i="108"/>
  <c r="BJ58" i="108"/>
  <c r="BI58" i="108"/>
  <c r="BH58" i="108"/>
  <c r="BG58" i="108"/>
  <c r="BF58" i="108"/>
  <c r="BE58" i="108"/>
  <c r="BD58" i="108"/>
  <c r="BC58" i="108"/>
  <c r="BB58" i="108"/>
  <c r="BA58" i="108"/>
  <c r="AZ58" i="108"/>
  <c r="AY58" i="108"/>
  <c r="AX58" i="108"/>
  <c r="AW58" i="108"/>
  <c r="AV58" i="108"/>
  <c r="AU58" i="108"/>
  <c r="AT58" i="108"/>
  <c r="AS58" i="108"/>
  <c r="AR58" i="108"/>
  <c r="AQ58" i="108"/>
  <c r="AP58" i="108"/>
  <c r="AO58" i="108"/>
  <c r="AN58" i="108"/>
  <c r="AM58" i="108"/>
  <c r="BP56" i="108"/>
  <c r="BO56" i="108"/>
  <c r="BN56" i="108"/>
  <c r="BM56" i="108"/>
  <c r="BL56" i="108"/>
  <c r="BK56" i="108"/>
  <c r="BJ56" i="108"/>
  <c r="BI56" i="108"/>
  <c r="BH56" i="108"/>
  <c r="BG56" i="108"/>
  <c r="BF56" i="108"/>
  <c r="BE56" i="108"/>
  <c r="BD56" i="108"/>
  <c r="BC56" i="108"/>
  <c r="BB56" i="108"/>
  <c r="BA56" i="108"/>
  <c r="AZ56" i="108"/>
  <c r="AY56" i="108"/>
  <c r="AX56" i="108"/>
  <c r="AW56" i="108"/>
  <c r="AV56" i="108"/>
  <c r="AU56" i="108"/>
  <c r="AT56" i="108"/>
  <c r="AS56" i="108"/>
  <c r="AR56" i="108"/>
  <c r="AQ56" i="108"/>
  <c r="AP56" i="108"/>
  <c r="AO56" i="108"/>
  <c r="AN56" i="108"/>
  <c r="AM56" i="108"/>
  <c r="BP54" i="108"/>
  <c r="BO54" i="108"/>
  <c r="BN54" i="108"/>
  <c r="BM54" i="108"/>
  <c r="BL54" i="108"/>
  <c r="BK54" i="108"/>
  <c r="BJ54" i="108"/>
  <c r="BI54" i="108"/>
  <c r="BH54" i="108"/>
  <c r="BG54" i="108"/>
  <c r="BF54" i="108"/>
  <c r="BE54" i="108"/>
  <c r="BD54" i="108"/>
  <c r="BC54" i="108"/>
  <c r="BB54" i="108"/>
  <c r="BA54" i="108"/>
  <c r="AZ54" i="108"/>
  <c r="AY54" i="108"/>
  <c r="AX54" i="108"/>
  <c r="AW54" i="108"/>
  <c r="AV54" i="108"/>
  <c r="AU54" i="108"/>
  <c r="AT54" i="108"/>
  <c r="AS54" i="108"/>
  <c r="AR54" i="108"/>
  <c r="AQ54" i="108"/>
  <c r="AP54" i="108"/>
  <c r="AO54" i="108"/>
  <c r="AN54" i="108"/>
  <c r="AM54" i="108"/>
  <c r="BP52" i="108"/>
  <c r="BO52" i="108"/>
  <c r="BN52" i="108"/>
  <c r="BM52" i="108"/>
  <c r="BL52" i="108"/>
  <c r="BK52" i="108"/>
  <c r="BJ52" i="108"/>
  <c r="BI52" i="108"/>
  <c r="BH52" i="108"/>
  <c r="BG52" i="108"/>
  <c r="BF52" i="108"/>
  <c r="BE52" i="108"/>
  <c r="BD52" i="108"/>
  <c r="BC52" i="108"/>
  <c r="BB52" i="108"/>
  <c r="BA52" i="108"/>
  <c r="AZ52" i="108"/>
  <c r="AY52" i="108"/>
  <c r="AX52" i="108"/>
  <c r="AW52" i="108"/>
  <c r="AV52" i="108"/>
  <c r="AU52" i="108"/>
  <c r="AT52" i="108"/>
  <c r="AS52" i="108"/>
  <c r="AR52" i="108"/>
  <c r="AQ52" i="108"/>
  <c r="AP52" i="108"/>
  <c r="AO52" i="108"/>
  <c r="AN52" i="108"/>
  <c r="AM52" i="108"/>
  <c r="BP50" i="108"/>
  <c r="BO50" i="108"/>
  <c r="BN50" i="108"/>
  <c r="BM50" i="108"/>
  <c r="BL50" i="108"/>
  <c r="BK50" i="108"/>
  <c r="BJ50" i="108"/>
  <c r="BI50" i="108"/>
  <c r="BH50" i="108"/>
  <c r="BG50" i="108"/>
  <c r="BF50" i="108"/>
  <c r="BE50" i="108"/>
  <c r="BD50" i="108"/>
  <c r="BC50" i="108"/>
  <c r="BB50" i="108"/>
  <c r="BA50" i="108"/>
  <c r="AZ50" i="108"/>
  <c r="AY50" i="108"/>
  <c r="AX50" i="108"/>
  <c r="AW50" i="108"/>
  <c r="AV50" i="108"/>
  <c r="AU50" i="108"/>
  <c r="AT50" i="108"/>
  <c r="AS50" i="108"/>
  <c r="AR50" i="108"/>
  <c r="AQ50" i="108"/>
  <c r="AP50" i="108"/>
  <c r="AO50" i="108"/>
  <c r="AN50" i="108"/>
  <c r="AM50" i="108"/>
  <c r="BP48" i="108"/>
  <c r="BO48" i="108"/>
  <c r="BN48" i="108"/>
  <c r="BM48" i="108"/>
  <c r="BL48" i="108"/>
  <c r="BK48" i="108"/>
  <c r="BJ48" i="108"/>
  <c r="BI48" i="108"/>
  <c r="BH48" i="108"/>
  <c r="BG48" i="108"/>
  <c r="BF48" i="108"/>
  <c r="BE48" i="108"/>
  <c r="BD48" i="108"/>
  <c r="BC48" i="108"/>
  <c r="BB48" i="108"/>
  <c r="BA48" i="108"/>
  <c r="AZ48" i="108"/>
  <c r="AY48" i="108"/>
  <c r="AX48" i="108"/>
  <c r="AW48" i="108"/>
  <c r="AV48" i="108"/>
  <c r="AU48" i="108"/>
  <c r="AT48" i="108"/>
  <c r="AS48" i="108"/>
  <c r="AR48" i="108"/>
  <c r="AQ48" i="108"/>
  <c r="AP48" i="108"/>
  <c r="AO48" i="108"/>
  <c r="AN48" i="108"/>
  <c r="AM48" i="108"/>
  <c r="BP46" i="108"/>
  <c r="BO46" i="108"/>
  <c r="BN46" i="108"/>
  <c r="BM46" i="108"/>
  <c r="BL46" i="108"/>
  <c r="BK46" i="108"/>
  <c r="BJ46" i="108"/>
  <c r="BI46" i="108"/>
  <c r="BH46" i="108"/>
  <c r="BG46" i="108"/>
  <c r="BF46" i="108"/>
  <c r="BE46" i="108"/>
  <c r="BD46" i="108"/>
  <c r="BC46" i="108"/>
  <c r="BB46" i="108"/>
  <c r="BA46" i="108"/>
  <c r="AZ46" i="108"/>
  <c r="AY46" i="108"/>
  <c r="AX46" i="108"/>
  <c r="AW46" i="108"/>
  <c r="AV46" i="108"/>
  <c r="AU46" i="108"/>
  <c r="AT46" i="108"/>
  <c r="AS46" i="108"/>
  <c r="AR46" i="108"/>
  <c r="AQ46" i="108"/>
  <c r="AP46" i="108"/>
  <c r="AO46" i="108"/>
  <c r="AN46" i="108"/>
  <c r="AM46" i="108"/>
  <c r="BP44" i="108"/>
  <c r="BO44" i="108"/>
  <c r="BN44" i="108"/>
  <c r="BM44" i="108"/>
  <c r="BL44" i="108"/>
  <c r="BK44" i="108"/>
  <c r="BJ44" i="108"/>
  <c r="BI44" i="108"/>
  <c r="BH44" i="108"/>
  <c r="BG44" i="108"/>
  <c r="BF44" i="108"/>
  <c r="BE44" i="108"/>
  <c r="BD44" i="108"/>
  <c r="BC44" i="108"/>
  <c r="BB44" i="108"/>
  <c r="BA44" i="108"/>
  <c r="AZ44" i="108"/>
  <c r="AY44" i="108"/>
  <c r="AX44" i="108"/>
  <c r="AW44" i="108"/>
  <c r="AV44" i="108"/>
  <c r="AU44" i="108"/>
  <c r="AT44" i="108"/>
  <c r="AS44" i="108"/>
  <c r="AR44" i="108"/>
  <c r="AQ44" i="108"/>
  <c r="AP44" i="108"/>
  <c r="AO44" i="108"/>
  <c r="AN44" i="108"/>
  <c r="AM44" i="108"/>
  <c r="BP42" i="108"/>
  <c r="BO42" i="108"/>
  <c r="BN42" i="108"/>
  <c r="BM42" i="108"/>
  <c r="BL42" i="108"/>
  <c r="BK42" i="108"/>
  <c r="BJ42" i="108"/>
  <c r="BI42" i="108"/>
  <c r="BH42" i="108"/>
  <c r="BG42" i="108"/>
  <c r="BF42" i="108"/>
  <c r="BE42" i="108"/>
  <c r="BD42" i="108"/>
  <c r="BC42" i="108"/>
  <c r="BB42" i="108"/>
  <c r="BA42" i="108"/>
  <c r="AZ42" i="108"/>
  <c r="AY42" i="108"/>
  <c r="AX42" i="108"/>
  <c r="AW42" i="108"/>
  <c r="AV42" i="108"/>
  <c r="AU42" i="108"/>
  <c r="AT42" i="108"/>
  <c r="AS42" i="108"/>
  <c r="AR42" i="108"/>
  <c r="AQ42" i="108"/>
  <c r="AP42" i="108"/>
  <c r="AO42" i="108"/>
  <c r="AN42" i="108"/>
  <c r="AM42" i="108"/>
  <c r="BP40" i="108"/>
  <c r="BO40" i="108"/>
  <c r="BN40" i="108"/>
  <c r="BM40" i="108"/>
  <c r="BL40" i="108"/>
  <c r="BK40" i="108"/>
  <c r="BJ40" i="108"/>
  <c r="BI40" i="108"/>
  <c r="BH40" i="108"/>
  <c r="BG40" i="108"/>
  <c r="BF40" i="108"/>
  <c r="BE40" i="108"/>
  <c r="BD40" i="108"/>
  <c r="BC40" i="108"/>
  <c r="BB40" i="108"/>
  <c r="BA40" i="108"/>
  <c r="AZ40" i="108"/>
  <c r="AY40" i="108"/>
  <c r="AX40" i="108"/>
  <c r="AW40" i="108"/>
  <c r="AV40" i="108"/>
  <c r="AU40" i="108"/>
  <c r="AT40" i="108"/>
  <c r="AS40" i="108"/>
  <c r="AR40" i="108"/>
  <c r="AQ40" i="108"/>
  <c r="AP40" i="108"/>
  <c r="AO40" i="108"/>
  <c r="AN40" i="108"/>
  <c r="AM40" i="108"/>
  <c r="CH38" i="108"/>
  <c r="CG38" i="108"/>
  <c r="CF38" i="108"/>
  <c r="CE38" i="108"/>
  <c r="CD38" i="108"/>
  <c r="CC38" i="108"/>
  <c r="CB38" i="108"/>
  <c r="CA38" i="108"/>
  <c r="BL92" i="108" s="1"/>
  <c r="BZ38" i="108"/>
  <c r="BY38" i="108"/>
  <c r="BX38" i="108"/>
  <c r="BW38" i="108"/>
  <c r="BV38" i="108"/>
  <c r="BP38" i="108"/>
  <c r="BO38" i="108"/>
  <c r="BN38" i="108"/>
  <c r="BM38" i="108"/>
  <c r="BL38" i="108"/>
  <c r="BK38" i="108"/>
  <c r="BJ38" i="108"/>
  <c r="BI38" i="108"/>
  <c r="BH38" i="108"/>
  <c r="BG38" i="108"/>
  <c r="BF38" i="108"/>
  <c r="BE38" i="108"/>
  <c r="BD38" i="108"/>
  <c r="BC38" i="108"/>
  <c r="BB38" i="108"/>
  <c r="BA38" i="108"/>
  <c r="AZ38" i="108"/>
  <c r="AY38" i="108"/>
  <c r="AX38" i="108"/>
  <c r="AW38" i="108"/>
  <c r="AV38" i="108"/>
  <c r="AU38" i="108"/>
  <c r="AT38" i="108"/>
  <c r="AS38" i="108"/>
  <c r="AR38" i="108"/>
  <c r="AQ38" i="108"/>
  <c r="AP38" i="108"/>
  <c r="AO38" i="108"/>
  <c r="AN38" i="108"/>
  <c r="AM38" i="108"/>
  <c r="BP36" i="108"/>
  <c r="BO36" i="108"/>
  <c r="BN36" i="108"/>
  <c r="BM36" i="108"/>
  <c r="BL36" i="108"/>
  <c r="BK36" i="108"/>
  <c r="BJ36" i="108"/>
  <c r="BI36" i="108"/>
  <c r="BH36" i="108"/>
  <c r="BG36" i="108"/>
  <c r="BF36" i="108"/>
  <c r="BE36" i="108"/>
  <c r="BD36" i="108"/>
  <c r="BC36" i="108"/>
  <c r="BB36" i="108"/>
  <c r="BA36" i="108"/>
  <c r="AZ36" i="108"/>
  <c r="AY36" i="108"/>
  <c r="AX36" i="108"/>
  <c r="AW36" i="108"/>
  <c r="AV36" i="108"/>
  <c r="AU36" i="108"/>
  <c r="AT36" i="108"/>
  <c r="AS36" i="108"/>
  <c r="AR36" i="108"/>
  <c r="AQ36" i="108"/>
  <c r="AP36" i="108"/>
  <c r="AO36" i="108"/>
  <c r="AN36" i="108"/>
  <c r="AM36" i="108"/>
  <c r="BO34" i="108"/>
  <c r="BN34" i="108"/>
  <c r="BL34" i="108"/>
  <c r="BK34" i="108"/>
  <c r="BJ34" i="108"/>
  <c r="BG34" i="108"/>
  <c r="BF34" i="108"/>
  <c r="BD34" i="108"/>
  <c r="BC34" i="108"/>
  <c r="BB34" i="108"/>
  <c r="AY34" i="108"/>
  <c r="AX34" i="108"/>
  <c r="AV34" i="108"/>
  <c r="AU34" i="108"/>
  <c r="AT34" i="108"/>
  <c r="AQ34" i="108"/>
  <c r="AP34" i="108"/>
  <c r="AO34" i="108"/>
  <c r="AN34" i="108"/>
  <c r="AM34" i="108"/>
  <c r="BP32" i="108"/>
  <c r="BO32" i="108"/>
  <c r="BN32" i="108"/>
  <c r="BM32" i="108"/>
  <c r="BL32" i="108"/>
  <c r="BK32" i="108"/>
  <c r="BJ32" i="108"/>
  <c r="BI32" i="108"/>
  <c r="BH32" i="108"/>
  <c r="BG32" i="108"/>
  <c r="BF32" i="108"/>
  <c r="BE32" i="108"/>
  <c r="BD32" i="108"/>
  <c r="BC32" i="108"/>
  <c r="BB32" i="108"/>
  <c r="BA32" i="108"/>
  <c r="AZ32" i="108"/>
  <c r="AY32" i="108"/>
  <c r="AX32" i="108"/>
  <c r="AW32" i="108"/>
  <c r="AV32" i="108"/>
  <c r="AU32" i="108"/>
  <c r="AT32" i="108"/>
  <c r="AS32" i="108"/>
  <c r="AR32" i="108"/>
  <c r="AQ32" i="108"/>
  <c r="AP32" i="108"/>
  <c r="AO32" i="108"/>
  <c r="AN32" i="108"/>
  <c r="AM32" i="108"/>
  <c r="BY30" i="108"/>
  <c r="BX30" i="108"/>
  <c r="BW30" i="108"/>
  <c r="BV30" i="108"/>
  <c r="BP30" i="108"/>
  <c r="BO30" i="108"/>
  <c r="BN30" i="108"/>
  <c r="BN92" i="108" s="1"/>
  <c r="BM30" i="108"/>
  <c r="BL30" i="108"/>
  <c r="BK30" i="108"/>
  <c r="BJ30" i="108"/>
  <c r="BI30" i="108"/>
  <c r="BH30" i="108"/>
  <c r="BG30" i="108"/>
  <c r="BF30" i="108"/>
  <c r="BF92" i="108" s="1"/>
  <c r="F193" i="108" s="1"/>
  <c r="BE30" i="108"/>
  <c r="BD30" i="108"/>
  <c r="BC30" i="108"/>
  <c r="BB30" i="108"/>
  <c r="BA30" i="108"/>
  <c r="AZ30" i="108"/>
  <c r="AY30" i="108"/>
  <c r="AX30" i="108"/>
  <c r="AX92" i="108" s="1"/>
  <c r="F204" i="108" s="1"/>
  <c r="AW30" i="108"/>
  <c r="AV30" i="108"/>
  <c r="AU30" i="108"/>
  <c r="AT30" i="108"/>
  <c r="AS30" i="108"/>
  <c r="AR30" i="108"/>
  <c r="AQ30" i="108"/>
  <c r="AP30" i="108"/>
  <c r="AO30" i="108"/>
  <c r="AN30" i="108"/>
  <c r="AM30" i="108"/>
  <c r="BV29" i="108"/>
  <c r="BY28" i="108"/>
  <c r="BX28" i="108"/>
  <c r="BW28" i="108"/>
  <c r="BV28" i="108"/>
  <c r="BP28" i="108"/>
  <c r="BO28" i="108"/>
  <c r="BN28" i="108"/>
  <c r="BM28" i="108"/>
  <c r="BL28" i="108"/>
  <c r="BK28" i="108"/>
  <c r="BJ28" i="108"/>
  <c r="BI28" i="108"/>
  <c r="BH28" i="108"/>
  <c r="BG28" i="108"/>
  <c r="BF28" i="108"/>
  <c r="BE28" i="108"/>
  <c r="BD28" i="108"/>
  <c r="BC28" i="108"/>
  <c r="BB28" i="108"/>
  <c r="BA28" i="108"/>
  <c r="AZ28" i="108"/>
  <c r="AY28" i="108"/>
  <c r="AX28" i="108"/>
  <c r="AW28" i="108"/>
  <c r="AV28" i="108"/>
  <c r="AU28" i="108"/>
  <c r="AT28" i="108"/>
  <c r="AS28" i="108"/>
  <c r="AR28" i="108"/>
  <c r="AQ28" i="108"/>
  <c r="AP28" i="108"/>
  <c r="AO28" i="108"/>
  <c r="AN28" i="108"/>
  <c r="AM28" i="108"/>
  <c r="BV27" i="108"/>
  <c r="BY26" i="108"/>
  <c r="BY32" i="108" s="1"/>
  <c r="AP92" i="108" s="1"/>
  <c r="U6" i="108" s="1"/>
  <c r="BX26" i="108"/>
  <c r="BX32" i="108" s="1"/>
  <c r="BW26" i="108"/>
  <c r="BW32" i="108" s="1"/>
  <c r="BV26" i="108"/>
  <c r="BV32" i="108" s="1"/>
  <c r="BP26" i="108"/>
  <c r="BO26" i="108"/>
  <c r="BN26" i="108"/>
  <c r="BM26" i="108"/>
  <c r="BL26" i="108"/>
  <c r="BK26" i="108"/>
  <c r="BJ26" i="108"/>
  <c r="BI26" i="108"/>
  <c r="BH26" i="108"/>
  <c r="BG26" i="108"/>
  <c r="BF26" i="108"/>
  <c r="BE26" i="108"/>
  <c r="BD26" i="108"/>
  <c r="BC26" i="108"/>
  <c r="BB26" i="108"/>
  <c r="BA26" i="108"/>
  <c r="AZ26" i="108"/>
  <c r="AY26" i="108"/>
  <c r="AX26" i="108"/>
  <c r="AW26" i="108"/>
  <c r="AV26" i="108"/>
  <c r="AU26" i="108"/>
  <c r="AT26" i="108"/>
  <c r="AS26" i="108"/>
  <c r="AR26" i="108"/>
  <c r="AQ26" i="108"/>
  <c r="AP26" i="108"/>
  <c r="AO26" i="108"/>
  <c r="AN26" i="108"/>
  <c r="AM26" i="108"/>
  <c r="BP24" i="108"/>
  <c r="BO24" i="108"/>
  <c r="BN24" i="108"/>
  <c r="BM24" i="108"/>
  <c r="BL24" i="108"/>
  <c r="BK24" i="108"/>
  <c r="BJ24" i="108"/>
  <c r="BI24" i="108"/>
  <c r="BH24" i="108"/>
  <c r="BG24" i="108"/>
  <c r="BF24" i="108"/>
  <c r="BE24" i="108"/>
  <c r="BD24" i="108"/>
  <c r="BC24" i="108"/>
  <c r="BB24" i="108"/>
  <c r="BA24" i="108"/>
  <c r="AZ24" i="108"/>
  <c r="AY24" i="108"/>
  <c r="AX24" i="108"/>
  <c r="AW24" i="108"/>
  <c r="AV24" i="108"/>
  <c r="AU24" i="108"/>
  <c r="AT24" i="108"/>
  <c r="AS24" i="108"/>
  <c r="AR24" i="108"/>
  <c r="AQ24" i="108"/>
  <c r="AP24" i="108"/>
  <c r="AO24" i="108"/>
  <c r="AN24" i="108"/>
  <c r="AM24" i="108"/>
  <c r="BP22" i="108"/>
  <c r="BO22" i="108"/>
  <c r="BN22" i="108"/>
  <c r="BM22" i="108"/>
  <c r="BL22" i="108"/>
  <c r="BK22" i="108"/>
  <c r="BJ22" i="108"/>
  <c r="BI22" i="108"/>
  <c r="BH22" i="108"/>
  <c r="BG22" i="108"/>
  <c r="BF22" i="108"/>
  <c r="BE22" i="108"/>
  <c r="BD22" i="108"/>
  <c r="BC22" i="108"/>
  <c r="BB22" i="108"/>
  <c r="BA22" i="108"/>
  <c r="AZ22" i="108"/>
  <c r="AY22" i="108"/>
  <c r="AX22" i="108"/>
  <c r="AW22" i="108"/>
  <c r="AV22" i="108"/>
  <c r="AU22" i="108"/>
  <c r="AT22" i="108"/>
  <c r="AS22" i="108"/>
  <c r="AR22" i="108"/>
  <c r="AQ22" i="108"/>
  <c r="AP22" i="108"/>
  <c r="AO22" i="108"/>
  <c r="AN22" i="108"/>
  <c r="AM22" i="108"/>
  <c r="BV20" i="108"/>
  <c r="BP20" i="108"/>
  <c r="BO20" i="108"/>
  <c r="BN20" i="108"/>
  <c r="BM20" i="108"/>
  <c r="BL20" i="108"/>
  <c r="BK20" i="108"/>
  <c r="BJ20" i="108"/>
  <c r="BI20" i="108"/>
  <c r="BH20" i="108"/>
  <c r="BG20" i="108"/>
  <c r="BF20" i="108"/>
  <c r="BE20" i="108"/>
  <c r="BD20" i="108"/>
  <c r="BC20" i="108"/>
  <c r="BB20" i="108"/>
  <c r="BA20" i="108"/>
  <c r="AZ20" i="108"/>
  <c r="AY20" i="108"/>
  <c r="AX20" i="108"/>
  <c r="AW20" i="108"/>
  <c r="AV20" i="108"/>
  <c r="AU20" i="108"/>
  <c r="AT20" i="108"/>
  <c r="AS20" i="108"/>
  <c r="AR20" i="108"/>
  <c r="AQ20" i="108"/>
  <c r="AP20" i="108"/>
  <c r="AO20" i="108"/>
  <c r="AN20" i="108"/>
  <c r="AM20" i="108"/>
  <c r="BP18" i="108"/>
  <c r="BO18" i="108"/>
  <c r="BO92" i="108" s="1"/>
  <c r="BN18" i="108"/>
  <c r="BM18" i="108"/>
  <c r="BL18" i="108"/>
  <c r="BK18" i="108"/>
  <c r="BJ18" i="108"/>
  <c r="BI18" i="108"/>
  <c r="BH18" i="108"/>
  <c r="BG18" i="108"/>
  <c r="BG92" i="108" s="1"/>
  <c r="F205" i="108" s="1"/>
  <c r="BF18" i="108"/>
  <c r="BE18" i="108"/>
  <c r="BD18" i="108"/>
  <c r="BC18" i="108"/>
  <c r="BB18" i="108"/>
  <c r="BA18" i="108"/>
  <c r="AZ18" i="108"/>
  <c r="AY18" i="108"/>
  <c r="AY92" i="108" s="1"/>
  <c r="F198" i="108" s="1"/>
  <c r="AX18" i="108"/>
  <c r="AW18" i="108"/>
  <c r="AV18" i="108"/>
  <c r="AU18" i="108"/>
  <c r="AT18" i="108"/>
  <c r="AS18" i="108"/>
  <c r="AR18" i="108"/>
  <c r="AQ18" i="108"/>
  <c r="AQ92" i="108" s="1"/>
  <c r="AA2" i="108" s="1"/>
  <c r="AP18" i="108"/>
  <c r="AO18" i="108"/>
  <c r="AN18" i="108"/>
  <c r="AM18" i="108"/>
  <c r="BP16" i="108"/>
  <c r="BO16" i="108"/>
  <c r="BN16" i="108"/>
  <c r="BM16" i="108"/>
  <c r="BL16" i="108"/>
  <c r="BK16" i="108"/>
  <c r="BK92" i="108" s="1"/>
  <c r="BJ16" i="108"/>
  <c r="BJ92" i="108" s="1"/>
  <c r="F195" i="108" s="1"/>
  <c r="BI16" i="108"/>
  <c r="BI92" i="108" s="1"/>
  <c r="F201" i="108" s="1"/>
  <c r="BH16" i="108"/>
  <c r="BG16" i="108"/>
  <c r="BF16" i="108"/>
  <c r="BE16" i="108"/>
  <c r="BD16" i="108"/>
  <c r="BD92" i="108" s="1"/>
  <c r="F203" i="108" s="1"/>
  <c r="BC16" i="108"/>
  <c r="BC92" i="108" s="1"/>
  <c r="F202" i="108" s="1"/>
  <c r="BB16" i="108"/>
  <c r="BB92" i="108" s="1"/>
  <c r="F192" i="108" s="1"/>
  <c r="BA16" i="108"/>
  <c r="AZ16" i="108"/>
  <c r="AY16" i="108"/>
  <c r="AX16" i="108"/>
  <c r="AW16" i="108"/>
  <c r="AV16" i="108"/>
  <c r="AV92" i="108" s="1"/>
  <c r="F206" i="108" s="1"/>
  <c r="AU16" i="108"/>
  <c r="AU92" i="108" s="1"/>
  <c r="AT16" i="108"/>
  <c r="AT92" i="108" s="1"/>
  <c r="U8" i="108" s="1"/>
  <c r="AP8" i="108" s="1"/>
  <c r="AS16" i="108"/>
  <c r="AR16" i="108"/>
  <c r="AQ16" i="108"/>
  <c r="AP16" i="108"/>
  <c r="AO16" i="108"/>
  <c r="AN16" i="108"/>
  <c r="AM16" i="108"/>
  <c r="D277" i="40"/>
  <c r="D276" i="40"/>
  <c r="BD50" i="40" s="1"/>
  <c r="D275" i="40"/>
  <c r="BI34" i="40" s="1"/>
  <c r="B275" i="40"/>
  <c r="Q273" i="40"/>
  <c r="O273" i="40"/>
  <c r="M273" i="40"/>
  <c r="AZ272" i="40"/>
  <c r="AY272" i="40"/>
  <c r="AW272" i="40"/>
  <c r="AV272" i="40"/>
  <c r="AN272" i="40"/>
  <c r="Q272" i="40"/>
  <c r="O272" i="40"/>
  <c r="M272" i="40"/>
  <c r="AZ271" i="40"/>
  <c r="AY271" i="40"/>
  <c r="AW271" i="40"/>
  <c r="AV271" i="40"/>
  <c r="Q271" i="40"/>
  <c r="O271" i="40"/>
  <c r="M271" i="40"/>
  <c r="AZ270" i="40"/>
  <c r="AY270" i="40"/>
  <c r="AW270" i="40"/>
  <c r="AV270" i="40"/>
  <c r="AN270" i="40"/>
  <c r="Q270" i="40"/>
  <c r="O270" i="40"/>
  <c r="M270" i="40"/>
  <c r="AZ269" i="40"/>
  <c r="AY269" i="40"/>
  <c r="AW269" i="40"/>
  <c r="AV269" i="40"/>
  <c r="Q269" i="40"/>
  <c r="O269" i="40"/>
  <c r="M269" i="40"/>
  <c r="AZ268" i="40"/>
  <c r="AY268" i="40"/>
  <c r="AW268" i="40"/>
  <c r="AV268" i="40"/>
  <c r="AN268" i="40"/>
  <c r="Q268" i="40"/>
  <c r="O268" i="40"/>
  <c r="M268" i="40"/>
  <c r="AZ267" i="40"/>
  <c r="AY267" i="40"/>
  <c r="AW267" i="40"/>
  <c r="AV267" i="40"/>
  <c r="Q267" i="40"/>
  <c r="O267" i="40"/>
  <c r="M267" i="40"/>
  <c r="AZ266" i="40"/>
  <c r="AY266" i="40"/>
  <c r="AW266" i="40"/>
  <c r="AV266" i="40"/>
  <c r="AN266" i="40"/>
  <c r="Q266" i="40"/>
  <c r="O266" i="40"/>
  <c r="M266" i="40"/>
  <c r="AZ265" i="40"/>
  <c r="AY265" i="40"/>
  <c r="AW265" i="40"/>
  <c r="AV265" i="40"/>
  <c r="Q265" i="40"/>
  <c r="O265" i="40"/>
  <c r="M265" i="40"/>
  <c r="AZ264" i="40"/>
  <c r="AY264" i="40"/>
  <c r="AW264" i="40"/>
  <c r="AV264" i="40"/>
  <c r="AN264" i="40"/>
  <c r="Q264" i="40"/>
  <c r="O264" i="40"/>
  <c r="M264" i="40"/>
  <c r="AZ263" i="40"/>
  <c r="AY263" i="40"/>
  <c r="AW263" i="40"/>
  <c r="AV263" i="40"/>
  <c r="Q263" i="40"/>
  <c r="O263" i="40"/>
  <c r="M263" i="40"/>
  <c r="AZ262" i="40"/>
  <c r="AY262" i="40"/>
  <c r="AW262" i="40"/>
  <c r="AV262" i="40"/>
  <c r="AN262" i="40"/>
  <c r="Q262" i="40"/>
  <c r="O262" i="40"/>
  <c r="M262" i="40"/>
  <c r="AZ261" i="40"/>
  <c r="AY261" i="40"/>
  <c r="AW261" i="40"/>
  <c r="Q261" i="40"/>
  <c r="O261" i="40"/>
  <c r="M261" i="40"/>
  <c r="AZ260" i="40"/>
  <c r="AY260" i="40"/>
  <c r="AW260" i="40"/>
  <c r="AV260" i="40"/>
  <c r="AN260" i="40"/>
  <c r="Q260" i="40"/>
  <c r="O260" i="40"/>
  <c r="M260" i="40"/>
  <c r="AZ259" i="40"/>
  <c r="AY259" i="40"/>
  <c r="AW259" i="40"/>
  <c r="AV259" i="40"/>
  <c r="Q259" i="40"/>
  <c r="O259" i="40"/>
  <c r="M259" i="40"/>
  <c r="AZ258" i="40"/>
  <c r="AW258" i="40"/>
  <c r="AV258" i="40"/>
  <c r="AN258" i="40"/>
  <c r="Q258" i="40"/>
  <c r="O258" i="40"/>
  <c r="M258" i="40"/>
  <c r="AZ257" i="40"/>
  <c r="Q257" i="40"/>
  <c r="O257" i="40"/>
  <c r="M257" i="40"/>
  <c r="AZ256" i="40"/>
  <c r="AN256" i="40"/>
  <c r="Q256" i="40"/>
  <c r="O256" i="40"/>
  <c r="M256" i="40"/>
  <c r="AZ255" i="40"/>
  <c r="AW255" i="40"/>
  <c r="AV255" i="40"/>
  <c r="Q255" i="40"/>
  <c r="O255" i="40"/>
  <c r="M255" i="40"/>
  <c r="AZ254" i="40"/>
  <c r="AN254" i="40"/>
  <c r="Q254" i="40"/>
  <c r="O254" i="40"/>
  <c r="M254" i="40"/>
  <c r="AZ253" i="40"/>
  <c r="AY253" i="40"/>
  <c r="AW253" i="40"/>
  <c r="AV253" i="40"/>
  <c r="Q253" i="40"/>
  <c r="O253" i="40"/>
  <c r="M253" i="40"/>
  <c r="AZ252" i="40"/>
  <c r="AY252" i="40"/>
  <c r="AW252" i="40"/>
  <c r="AV252" i="40"/>
  <c r="AN252" i="40"/>
  <c r="Q252" i="40"/>
  <c r="O252" i="40"/>
  <c r="M252" i="40"/>
  <c r="AZ251" i="40"/>
  <c r="AY251" i="40"/>
  <c r="AW251" i="40"/>
  <c r="AV251" i="40"/>
  <c r="Q251" i="40"/>
  <c r="O251" i="40"/>
  <c r="M251" i="40"/>
  <c r="AZ250" i="40"/>
  <c r="AY250" i="40"/>
  <c r="AW250" i="40"/>
  <c r="AV250" i="40"/>
  <c r="AN250" i="40"/>
  <c r="Q250" i="40"/>
  <c r="O250" i="40"/>
  <c r="M250" i="40"/>
  <c r="AZ249" i="40"/>
  <c r="AY249" i="40"/>
  <c r="AW249" i="40"/>
  <c r="AV249" i="40"/>
  <c r="Q249" i="40"/>
  <c r="O249" i="40"/>
  <c r="M249" i="40"/>
  <c r="AZ248" i="40"/>
  <c r="AY248" i="40"/>
  <c r="AW248" i="40"/>
  <c r="AV248" i="40"/>
  <c r="AN248" i="40"/>
  <c r="Q248" i="40"/>
  <c r="O248" i="40"/>
  <c r="M248" i="40"/>
  <c r="AZ247" i="40"/>
  <c r="AY247" i="40"/>
  <c r="AW247" i="40"/>
  <c r="AV247" i="40"/>
  <c r="Q247" i="40"/>
  <c r="O247" i="40"/>
  <c r="M247" i="40"/>
  <c r="AZ246" i="40"/>
  <c r="AY246" i="40"/>
  <c r="AW246" i="40"/>
  <c r="AV246" i="40"/>
  <c r="AN246" i="40"/>
  <c r="Q246" i="40"/>
  <c r="O246" i="40"/>
  <c r="M246" i="40"/>
  <c r="AZ245" i="40"/>
  <c r="AY245" i="40"/>
  <c r="AW245" i="40"/>
  <c r="AV245" i="40"/>
  <c r="Q245" i="40"/>
  <c r="O245" i="40"/>
  <c r="M245" i="40"/>
  <c r="AZ244" i="40"/>
  <c r="AY244" i="40"/>
  <c r="AW244" i="40"/>
  <c r="AV244" i="40"/>
  <c r="AN244" i="40"/>
  <c r="Q244" i="40"/>
  <c r="O244" i="40"/>
  <c r="M244" i="40"/>
  <c r="AZ243" i="40"/>
  <c r="AY243" i="40"/>
  <c r="AW243" i="40"/>
  <c r="AV243" i="40"/>
  <c r="Q243" i="40"/>
  <c r="O243" i="40"/>
  <c r="M243" i="40"/>
  <c r="AZ242" i="40"/>
  <c r="AY242" i="40"/>
  <c r="AW242" i="40"/>
  <c r="AV242" i="40"/>
  <c r="AN242" i="40"/>
  <c r="Q242" i="40"/>
  <c r="O242" i="40"/>
  <c r="M242" i="40"/>
  <c r="AZ241" i="40"/>
  <c r="AY241" i="40"/>
  <c r="AW241" i="40"/>
  <c r="AV241" i="40"/>
  <c r="Q241" i="40"/>
  <c r="O241" i="40"/>
  <c r="M241" i="40"/>
  <c r="AZ240" i="40"/>
  <c r="AY240" i="40"/>
  <c r="AW240" i="40"/>
  <c r="AV240" i="40"/>
  <c r="AN240" i="40"/>
  <c r="Q240" i="40"/>
  <c r="O240" i="40"/>
  <c r="M240" i="40"/>
  <c r="AZ239" i="40"/>
  <c r="AY239" i="40"/>
  <c r="AW239" i="40"/>
  <c r="AV239" i="40"/>
  <c r="Q239" i="40"/>
  <c r="O239" i="40"/>
  <c r="M239" i="40"/>
  <c r="AZ238" i="40"/>
  <c r="AY238" i="40"/>
  <c r="AW238" i="40"/>
  <c r="AV238" i="40"/>
  <c r="AN238" i="40"/>
  <c r="Q238" i="40"/>
  <c r="O238" i="40"/>
  <c r="M238" i="40"/>
  <c r="AZ237" i="40"/>
  <c r="AY237" i="40"/>
  <c r="AW237" i="40"/>
  <c r="AV237" i="40"/>
  <c r="Q237" i="40"/>
  <c r="O237" i="40"/>
  <c r="M237" i="40"/>
  <c r="AZ236" i="40"/>
  <c r="AY236" i="40"/>
  <c r="AW236" i="40"/>
  <c r="AV236" i="40"/>
  <c r="AN236" i="40"/>
  <c r="Q236" i="40"/>
  <c r="O236" i="40"/>
  <c r="M236" i="40"/>
  <c r="AZ235" i="40"/>
  <c r="AY235" i="40"/>
  <c r="AW235" i="40"/>
  <c r="AV235" i="40"/>
  <c r="Q235" i="40"/>
  <c r="O235" i="40"/>
  <c r="M235" i="40"/>
  <c r="AZ234" i="40"/>
  <c r="AY234" i="40"/>
  <c r="AW234" i="40"/>
  <c r="AV234" i="40"/>
  <c r="AN234" i="40"/>
  <c r="Q234" i="40"/>
  <c r="Q275" i="40" s="1"/>
  <c r="AO92" i="40" s="1"/>
  <c r="D10" i="40" s="1"/>
  <c r="O234" i="40"/>
  <c r="O275" i="40" s="1"/>
  <c r="AN92" i="40" s="1"/>
  <c r="D8" i="40" s="1"/>
  <c r="M234" i="40"/>
  <c r="AT234" i="40" s="1"/>
  <c r="H181" i="40"/>
  <c r="AV261" i="40" s="1"/>
  <c r="H180" i="40"/>
  <c r="H179" i="40"/>
  <c r="H178" i="40"/>
  <c r="AY258" i="40" s="1"/>
  <c r="H177" i="40"/>
  <c r="H176" i="40"/>
  <c r="AV257" i="40" s="1"/>
  <c r="H175" i="40"/>
  <c r="AY256" i="40" s="1"/>
  <c r="H174" i="40"/>
  <c r="H173" i="40"/>
  <c r="H172" i="40"/>
  <c r="AY255" i="40" s="1"/>
  <c r="H171" i="40"/>
  <c r="H170" i="40"/>
  <c r="AY254" i="40" s="1"/>
  <c r="H169" i="40"/>
  <c r="H168" i="40"/>
  <c r="H167" i="40"/>
  <c r="H166" i="40"/>
  <c r="H165" i="40"/>
  <c r="H164" i="40"/>
  <c r="H163" i="40"/>
  <c r="H162" i="40"/>
  <c r="H161" i="40"/>
  <c r="H160" i="40"/>
  <c r="H159" i="40"/>
  <c r="H158" i="40"/>
  <c r="H157" i="40"/>
  <c r="H156" i="40"/>
  <c r="H155" i="40"/>
  <c r="H154" i="40"/>
  <c r="H153" i="40"/>
  <c r="H152" i="40"/>
  <c r="H151" i="40"/>
  <c r="H150" i="40"/>
  <c r="H149" i="40"/>
  <c r="H148" i="40"/>
  <c r="H147" i="40"/>
  <c r="H146" i="40"/>
  <c r="H145" i="40"/>
  <c r="H144" i="40"/>
  <c r="H143" i="40"/>
  <c r="H142" i="40"/>
  <c r="H141" i="40"/>
  <c r="H140" i="40"/>
  <c r="H139" i="40"/>
  <c r="H138" i="40"/>
  <c r="H137" i="40"/>
  <c r="H136" i="40"/>
  <c r="H135" i="40"/>
  <c r="H134" i="40"/>
  <c r="H133" i="40"/>
  <c r="H132" i="40"/>
  <c r="H131" i="40"/>
  <c r="H130" i="40"/>
  <c r="H129" i="40"/>
  <c r="H128" i="40"/>
  <c r="H127" i="40"/>
  <c r="H126" i="40"/>
  <c r="H125" i="40"/>
  <c r="H124" i="40"/>
  <c r="H123" i="40"/>
  <c r="H122" i="40"/>
  <c r="H121" i="40"/>
  <c r="H120" i="40"/>
  <c r="H119" i="40"/>
  <c r="H118" i="40"/>
  <c r="H117" i="40"/>
  <c r="H116" i="40"/>
  <c r="H115" i="40"/>
  <c r="H114" i="40"/>
  <c r="H113" i="40"/>
  <c r="H112" i="40"/>
  <c r="H111" i="40"/>
  <c r="H110" i="40"/>
  <c r="H109" i="40"/>
  <c r="H108" i="40"/>
  <c r="H107" i="40"/>
  <c r="H106" i="40"/>
  <c r="H105" i="40"/>
  <c r="H104" i="40"/>
  <c r="H103" i="40"/>
  <c r="B188" i="40" s="1" a="1"/>
  <c r="B188" i="40" s="1"/>
  <c r="BU90" i="40"/>
  <c r="BT90" i="40"/>
  <c r="BS90" i="40"/>
  <c r="BS92" i="40" s="1"/>
  <c r="BR90" i="40"/>
  <c r="BQ90" i="40"/>
  <c r="BP90" i="40"/>
  <c r="BO90" i="40"/>
  <c r="BN90" i="40"/>
  <c r="BM90" i="40"/>
  <c r="BL90" i="40"/>
  <c r="BK90" i="40"/>
  <c r="AU90" i="40"/>
  <c r="AR90" i="40"/>
  <c r="AQ90" i="40"/>
  <c r="AO90" i="40"/>
  <c r="AN90" i="40"/>
  <c r="AM90" i="40"/>
  <c r="BQ89" i="40"/>
  <c r="BP89" i="40"/>
  <c r="BO89" i="40"/>
  <c r="BN89" i="40"/>
  <c r="BM89" i="40"/>
  <c r="BL89" i="40"/>
  <c r="BK89" i="40"/>
  <c r="AU89" i="40"/>
  <c r="AR89" i="40"/>
  <c r="AQ89" i="40"/>
  <c r="AO89" i="40"/>
  <c r="AN89" i="40"/>
  <c r="AM89" i="40"/>
  <c r="BU88" i="40"/>
  <c r="BT88" i="40"/>
  <c r="BT92" i="40" s="1"/>
  <c r="BS88" i="40"/>
  <c r="BR88" i="40"/>
  <c r="BQ88" i="40"/>
  <c r="BQ92" i="40" s="1"/>
  <c r="BP88" i="40"/>
  <c r="BO88" i="40"/>
  <c r="BN88" i="40"/>
  <c r="BM88" i="40"/>
  <c r="BL88" i="40"/>
  <c r="BK88" i="40"/>
  <c r="AU88" i="40"/>
  <c r="AR88" i="40"/>
  <c r="AQ88" i="40"/>
  <c r="AO88" i="40"/>
  <c r="AN88" i="40"/>
  <c r="AM88" i="40"/>
  <c r="BQ87" i="40"/>
  <c r="BP87" i="40"/>
  <c r="BO87" i="40"/>
  <c r="BN87" i="40"/>
  <c r="BM87" i="40"/>
  <c r="BL87" i="40"/>
  <c r="BK87" i="40"/>
  <c r="AU87" i="40"/>
  <c r="AR87" i="40"/>
  <c r="AQ87" i="40"/>
  <c r="AO87" i="40"/>
  <c r="AN87" i="40"/>
  <c r="AM87" i="40"/>
  <c r="BU86" i="40"/>
  <c r="BU92" i="40" s="1"/>
  <c r="BT86" i="40"/>
  <c r="BS86" i="40"/>
  <c r="BR86" i="40"/>
  <c r="BR92" i="40" s="1"/>
  <c r="BQ86" i="40"/>
  <c r="BP86" i="40"/>
  <c r="BO86" i="40"/>
  <c r="BN86" i="40"/>
  <c r="BM86" i="40"/>
  <c r="BL86" i="40"/>
  <c r="BK86" i="40"/>
  <c r="AU86" i="40"/>
  <c r="AR86" i="40"/>
  <c r="AQ86" i="40"/>
  <c r="AO86" i="40"/>
  <c r="AN86" i="40"/>
  <c r="AM86" i="40"/>
  <c r="BP82" i="40"/>
  <c r="BO82" i="40"/>
  <c r="BN82" i="40"/>
  <c r="BM82" i="40"/>
  <c r="BL82" i="40"/>
  <c r="BK82" i="40"/>
  <c r="BJ82" i="40"/>
  <c r="BI82" i="40"/>
  <c r="BH82" i="40"/>
  <c r="BG82" i="40"/>
  <c r="BF82" i="40"/>
  <c r="BE82" i="40"/>
  <c r="BD82" i="40"/>
  <c r="BC82" i="40"/>
  <c r="BB82" i="40"/>
  <c r="BA82" i="40"/>
  <c r="AZ82" i="40"/>
  <c r="AY82" i="40"/>
  <c r="AX82" i="40"/>
  <c r="AW82" i="40"/>
  <c r="AV82" i="40"/>
  <c r="AU82" i="40"/>
  <c r="AT82" i="40"/>
  <c r="AS82" i="40"/>
  <c r="AR82" i="40"/>
  <c r="AQ82" i="40"/>
  <c r="AP82" i="40"/>
  <c r="AO82" i="40"/>
  <c r="AN82" i="40"/>
  <c r="AM82" i="40"/>
  <c r="BP80" i="40"/>
  <c r="BO80" i="40"/>
  <c r="BN80" i="40"/>
  <c r="BM80" i="40"/>
  <c r="BL80" i="40"/>
  <c r="BK80" i="40"/>
  <c r="BJ80" i="40"/>
  <c r="BI80" i="40"/>
  <c r="BH80" i="40"/>
  <c r="BG80" i="40"/>
  <c r="BF80" i="40"/>
  <c r="BE80" i="40"/>
  <c r="BD80" i="40"/>
  <c r="BC80" i="40"/>
  <c r="BB80" i="40"/>
  <c r="BA80" i="40"/>
  <c r="AZ80" i="40"/>
  <c r="AY80" i="40"/>
  <c r="AX80" i="40"/>
  <c r="AW80" i="40"/>
  <c r="AV80" i="40"/>
  <c r="AU80" i="40"/>
  <c r="AT80" i="40"/>
  <c r="AS80" i="40"/>
  <c r="AR80" i="40"/>
  <c r="AQ80" i="40"/>
  <c r="AP80" i="40"/>
  <c r="AO80" i="40"/>
  <c r="AN80" i="40"/>
  <c r="AM80" i="40"/>
  <c r="BP78" i="40"/>
  <c r="BO78" i="40"/>
  <c r="BN78" i="40"/>
  <c r="BM78" i="40"/>
  <c r="BL78" i="40"/>
  <c r="BK78" i="40"/>
  <c r="BJ78" i="40"/>
  <c r="BI78" i="40"/>
  <c r="BH78" i="40"/>
  <c r="BG78" i="40"/>
  <c r="BF78" i="40"/>
  <c r="BE78" i="40"/>
  <c r="BD78" i="40"/>
  <c r="BC78" i="40"/>
  <c r="BB78" i="40"/>
  <c r="BA78" i="40"/>
  <c r="AZ78" i="40"/>
  <c r="AY78" i="40"/>
  <c r="AX78" i="40"/>
  <c r="AW78" i="40"/>
  <c r="AV78" i="40"/>
  <c r="AU78" i="40"/>
  <c r="AT78" i="40"/>
  <c r="AS78" i="40"/>
  <c r="AR78" i="40"/>
  <c r="AQ78" i="40"/>
  <c r="AP78" i="40"/>
  <c r="AO78" i="40"/>
  <c r="AN78" i="40"/>
  <c r="AM78" i="40"/>
  <c r="BP74" i="40"/>
  <c r="BO74" i="40"/>
  <c r="BN74" i="40"/>
  <c r="BM74" i="40"/>
  <c r="BL74" i="40"/>
  <c r="BK74" i="40"/>
  <c r="BJ74" i="40"/>
  <c r="BI74" i="40"/>
  <c r="BH74" i="40"/>
  <c r="BG74" i="40"/>
  <c r="BF74" i="40"/>
  <c r="BE74" i="40"/>
  <c r="BD74" i="40"/>
  <c r="BC74" i="40"/>
  <c r="BB74" i="40"/>
  <c r="BA74" i="40"/>
  <c r="AZ74" i="40"/>
  <c r="AY74" i="40"/>
  <c r="AX74" i="40"/>
  <c r="AW74" i="40"/>
  <c r="AV74" i="40"/>
  <c r="AU74" i="40"/>
  <c r="AT74" i="40"/>
  <c r="AS74" i="40"/>
  <c r="AR74" i="40"/>
  <c r="AQ74" i="40"/>
  <c r="AP74" i="40"/>
  <c r="AO74" i="40"/>
  <c r="AN74" i="40"/>
  <c r="AM74" i="40"/>
  <c r="BP72" i="40"/>
  <c r="BO72" i="40"/>
  <c r="BN72" i="40"/>
  <c r="BM72" i="40"/>
  <c r="BL72" i="40"/>
  <c r="BK72" i="40"/>
  <c r="BJ72" i="40"/>
  <c r="BI72" i="40"/>
  <c r="BH72" i="40"/>
  <c r="BG72" i="40"/>
  <c r="BF72" i="40"/>
  <c r="BE72" i="40"/>
  <c r="BD72" i="40"/>
  <c r="BC72" i="40"/>
  <c r="BB72" i="40"/>
  <c r="BA72" i="40"/>
  <c r="AZ72" i="40"/>
  <c r="AY72" i="40"/>
  <c r="AX72" i="40"/>
  <c r="AW72" i="40"/>
  <c r="AV72" i="40"/>
  <c r="AU72" i="40"/>
  <c r="AT72" i="40"/>
  <c r="AS72" i="40"/>
  <c r="AR72" i="40"/>
  <c r="AQ72" i="40"/>
  <c r="AP72" i="40"/>
  <c r="AO72" i="40"/>
  <c r="AN72" i="40"/>
  <c r="AM72" i="40"/>
  <c r="BP70" i="40"/>
  <c r="BO70" i="40"/>
  <c r="BN70" i="40"/>
  <c r="BM70" i="40"/>
  <c r="BL70" i="40"/>
  <c r="BK70" i="40"/>
  <c r="BJ70" i="40"/>
  <c r="BI70" i="40"/>
  <c r="BH70" i="40"/>
  <c r="BG70" i="40"/>
  <c r="BF70" i="40"/>
  <c r="BE70" i="40"/>
  <c r="BD70" i="40"/>
  <c r="BC70" i="40"/>
  <c r="BB70" i="40"/>
  <c r="BA70" i="40"/>
  <c r="AZ70" i="40"/>
  <c r="AY70" i="40"/>
  <c r="AX70" i="40"/>
  <c r="AW70" i="40"/>
  <c r="AV70" i="40"/>
  <c r="AU70" i="40"/>
  <c r="AT70" i="40"/>
  <c r="AS70" i="40"/>
  <c r="AR70" i="40"/>
  <c r="AQ70" i="40"/>
  <c r="AP70" i="40"/>
  <c r="AO70" i="40"/>
  <c r="AN70" i="40"/>
  <c r="AM70" i="40"/>
  <c r="BP66" i="40"/>
  <c r="BO66" i="40"/>
  <c r="BN66" i="40"/>
  <c r="BM66" i="40"/>
  <c r="BL66" i="40"/>
  <c r="BK66" i="40"/>
  <c r="BJ66" i="40"/>
  <c r="BI66" i="40"/>
  <c r="BH66" i="40"/>
  <c r="BG66" i="40"/>
  <c r="BF66" i="40"/>
  <c r="BE66" i="40"/>
  <c r="BD66" i="40"/>
  <c r="BC66" i="40"/>
  <c r="BB66" i="40"/>
  <c r="BA66" i="40"/>
  <c r="AZ66" i="40"/>
  <c r="AY66" i="40"/>
  <c r="AX66" i="40"/>
  <c r="AW66" i="40"/>
  <c r="AV66" i="40"/>
  <c r="AU66" i="40"/>
  <c r="AT66" i="40"/>
  <c r="AS66" i="40"/>
  <c r="AR66" i="40"/>
  <c r="AQ66" i="40"/>
  <c r="AP66" i="40"/>
  <c r="AO66" i="40"/>
  <c r="AN66" i="40"/>
  <c r="AM66" i="40"/>
  <c r="BP64" i="40"/>
  <c r="BO64" i="40"/>
  <c r="BN64" i="40"/>
  <c r="BM64" i="40"/>
  <c r="BL64" i="40"/>
  <c r="BK64" i="40"/>
  <c r="BJ64" i="40"/>
  <c r="BI64" i="40"/>
  <c r="BH64" i="40"/>
  <c r="BG64" i="40"/>
  <c r="BF64" i="40"/>
  <c r="BE64" i="40"/>
  <c r="BD64" i="40"/>
  <c r="BC64" i="40"/>
  <c r="BB64" i="40"/>
  <c r="BA64" i="40"/>
  <c r="AZ64" i="40"/>
  <c r="AY64" i="40"/>
  <c r="AX64" i="40"/>
  <c r="AW64" i="40"/>
  <c r="AV64" i="40"/>
  <c r="AU64" i="40"/>
  <c r="AT64" i="40"/>
  <c r="AS64" i="40"/>
  <c r="AR64" i="40"/>
  <c r="AQ64" i="40"/>
  <c r="AP64" i="40"/>
  <c r="AO64" i="40"/>
  <c r="AN64" i="40"/>
  <c r="AM64" i="40"/>
  <c r="BP62" i="40"/>
  <c r="BO62" i="40"/>
  <c r="BN62" i="40"/>
  <c r="BM62" i="40"/>
  <c r="BL62" i="40"/>
  <c r="BK62" i="40"/>
  <c r="BJ62" i="40"/>
  <c r="BI62" i="40"/>
  <c r="BH62" i="40"/>
  <c r="BG62" i="40"/>
  <c r="BF62" i="40"/>
  <c r="BE62" i="40"/>
  <c r="BD62" i="40"/>
  <c r="BC62" i="40"/>
  <c r="BB62" i="40"/>
  <c r="BA62" i="40"/>
  <c r="AZ62" i="40"/>
  <c r="AY62" i="40"/>
  <c r="AX62" i="40"/>
  <c r="AW62" i="40"/>
  <c r="AV62" i="40"/>
  <c r="AU62" i="40"/>
  <c r="AT62" i="40"/>
  <c r="AS62" i="40"/>
  <c r="AR62" i="40"/>
  <c r="AQ62" i="40"/>
  <c r="AP62" i="40"/>
  <c r="AO62" i="40"/>
  <c r="AN62" i="40"/>
  <c r="AM62" i="40"/>
  <c r="BP60" i="40"/>
  <c r="BO60" i="40"/>
  <c r="BN60" i="40"/>
  <c r="BM60" i="40"/>
  <c r="BL60" i="40"/>
  <c r="BK60" i="40"/>
  <c r="BJ60" i="40"/>
  <c r="BI60" i="40"/>
  <c r="BH60" i="40"/>
  <c r="BG60" i="40"/>
  <c r="BF60" i="40"/>
  <c r="BE60" i="40"/>
  <c r="BD60" i="40"/>
  <c r="BC60" i="40"/>
  <c r="BB60" i="40"/>
  <c r="BA60" i="40"/>
  <c r="AZ60" i="40"/>
  <c r="AY60" i="40"/>
  <c r="AX60" i="40"/>
  <c r="AW60" i="40"/>
  <c r="AV60" i="40"/>
  <c r="AU60" i="40"/>
  <c r="AT60" i="40"/>
  <c r="AS60" i="40"/>
  <c r="AR60" i="40"/>
  <c r="AQ60" i="40"/>
  <c r="AP60" i="40"/>
  <c r="AO60" i="40"/>
  <c r="AN60" i="40"/>
  <c r="AM60" i="40"/>
  <c r="BP58" i="40"/>
  <c r="BO58" i="40"/>
  <c r="BN58" i="40"/>
  <c r="BM58" i="40"/>
  <c r="BL58" i="40"/>
  <c r="BK58" i="40"/>
  <c r="BJ58" i="40"/>
  <c r="BI58" i="40"/>
  <c r="BH58" i="40"/>
  <c r="BG58" i="40"/>
  <c r="BF58" i="40"/>
  <c r="BE58" i="40"/>
  <c r="BD58" i="40"/>
  <c r="BC58" i="40"/>
  <c r="BB58" i="40"/>
  <c r="BA58" i="40"/>
  <c r="AZ58" i="40"/>
  <c r="AY58" i="40"/>
  <c r="AX58" i="40"/>
  <c r="AW58" i="40"/>
  <c r="AV58" i="40"/>
  <c r="AU58" i="40"/>
  <c r="AT58" i="40"/>
  <c r="AS58" i="40"/>
  <c r="AR58" i="40"/>
  <c r="AQ58" i="40"/>
  <c r="AP58" i="40"/>
  <c r="AO58" i="40"/>
  <c r="AN58" i="40"/>
  <c r="AM58" i="40"/>
  <c r="BP56" i="40"/>
  <c r="BO56" i="40"/>
  <c r="BN56" i="40"/>
  <c r="BM56" i="40"/>
  <c r="BL56" i="40"/>
  <c r="BK56" i="40"/>
  <c r="BJ56" i="40"/>
  <c r="BI56" i="40"/>
  <c r="BH56" i="40"/>
  <c r="BG56" i="40"/>
  <c r="BF56" i="40"/>
  <c r="BE56" i="40"/>
  <c r="BD56" i="40"/>
  <c r="BC56" i="40"/>
  <c r="BB56" i="40"/>
  <c r="BA56" i="40"/>
  <c r="AZ56" i="40"/>
  <c r="AY56" i="40"/>
  <c r="AX56" i="40"/>
  <c r="AW56" i="40"/>
  <c r="AV56" i="40"/>
  <c r="AU56" i="40"/>
  <c r="AT56" i="40"/>
  <c r="AS56" i="40"/>
  <c r="AR56" i="40"/>
  <c r="AQ56" i="40"/>
  <c r="AP56" i="40"/>
  <c r="AO56" i="40"/>
  <c r="AN56" i="40"/>
  <c r="AM56" i="40"/>
  <c r="BP54" i="40"/>
  <c r="BO54" i="40"/>
  <c r="BN54" i="40"/>
  <c r="BM54" i="40"/>
  <c r="BL54" i="40"/>
  <c r="BK54" i="40"/>
  <c r="BJ54" i="40"/>
  <c r="BI54" i="40"/>
  <c r="BH54" i="40"/>
  <c r="BG54" i="40"/>
  <c r="BF54" i="40"/>
  <c r="BE54" i="40"/>
  <c r="BD54" i="40"/>
  <c r="BC54" i="40"/>
  <c r="BB54" i="40"/>
  <c r="BA54" i="40"/>
  <c r="AZ54" i="40"/>
  <c r="AY54" i="40"/>
  <c r="AX54" i="40"/>
  <c r="AW54" i="40"/>
  <c r="AV54" i="40"/>
  <c r="AU54" i="40"/>
  <c r="AT54" i="40"/>
  <c r="AS54" i="40"/>
  <c r="AR54" i="40"/>
  <c r="AQ54" i="40"/>
  <c r="AP54" i="40"/>
  <c r="AO54" i="40"/>
  <c r="AN54" i="40"/>
  <c r="AM54" i="40"/>
  <c r="BP52" i="40"/>
  <c r="BO52" i="40"/>
  <c r="BN52" i="40"/>
  <c r="BM52" i="40"/>
  <c r="BL52" i="40"/>
  <c r="BK52" i="40"/>
  <c r="BJ52" i="40"/>
  <c r="BI52" i="40"/>
  <c r="BH52" i="40"/>
  <c r="BG52" i="40"/>
  <c r="BF52" i="40"/>
  <c r="BE52" i="40"/>
  <c r="BD52" i="40"/>
  <c r="BC52" i="40"/>
  <c r="BB52" i="40"/>
  <c r="BA52" i="40"/>
  <c r="AZ52" i="40"/>
  <c r="AY52" i="40"/>
  <c r="AX52" i="40"/>
  <c r="AW52" i="40"/>
  <c r="AV52" i="40"/>
  <c r="AU52" i="40"/>
  <c r="AT52" i="40"/>
  <c r="AS52" i="40"/>
  <c r="AR52" i="40"/>
  <c r="AQ52" i="40"/>
  <c r="AP52" i="40"/>
  <c r="AO52" i="40"/>
  <c r="AN52" i="40"/>
  <c r="AM52" i="40"/>
  <c r="BP50" i="40"/>
  <c r="BO50" i="40"/>
  <c r="BN50" i="40"/>
  <c r="BM50" i="40"/>
  <c r="BL50" i="40"/>
  <c r="BK50" i="40"/>
  <c r="BJ50" i="40"/>
  <c r="BH50" i="40"/>
  <c r="BG50" i="40"/>
  <c r="BF50" i="40"/>
  <c r="BE50" i="40"/>
  <c r="BC50" i="40"/>
  <c r="BB50" i="40"/>
  <c r="AZ50" i="40"/>
  <c r="AY50" i="40"/>
  <c r="AX50" i="40"/>
  <c r="AW50" i="40"/>
  <c r="AU50" i="40"/>
  <c r="AT50" i="40"/>
  <c r="AS50" i="40"/>
  <c r="AR50" i="40"/>
  <c r="AQ50" i="40"/>
  <c r="AP50" i="40"/>
  <c r="AO50" i="40"/>
  <c r="AN50" i="40"/>
  <c r="AM50" i="40"/>
  <c r="BP48" i="40"/>
  <c r="BO48" i="40"/>
  <c r="BN48" i="40"/>
  <c r="BM48" i="40"/>
  <c r="BL48" i="40"/>
  <c r="BK48" i="40"/>
  <c r="BJ48" i="40"/>
  <c r="BI48" i="40"/>
  <c r="BH48" i="40"/>
  <c r="BG48" i="40"/>
  <c r="BF48" i="40"/>
  <c r="BE48" i="40"/>
  <c r="BD48" i="40"/>
  <c r="BC48" i="40"/>
  <c r="BB48" i="40"/>
  <c r="BA48" i="40"/>
  <c r="AZ48" i="40"/>
  <c r="AY48" i="40"/>
  <c r="AX48" i="40"/>
  <c r="AW48" i="40"/>
  <c r="AV48" i="40"/>
  <c r="AU48" i="40"/>
  <c r="AT48" i="40"/>
  <c r="AS48" i="40"/>
  <c r="AR48" i="40"/>
  <c r="AQ48" i="40"/>
  <c r="AP48" i="40"/>
  <c r="AO48" i="40"/>
  <c r="AN48" i="40"/>
  <c r="AM48" i="40"/>
  <c r="BO46" i="40"/>
  <c r="BN46" i="40"/>
  <c r="BL46" i="40"/>
  <c r="BK46" i="40"/>
  <c r="BJ46" i="40"/>
  <c r="BI46" i="40"/>
  <c r="BG46" i="40"/>
  <c r="BF46" i="40"/>
  <c r="BD46" i="40"/>
  <c r="BC46" i="40"/>
  <c r="BB46" i="40"/>
  <c r="BA46" i="40"/>
  <c r="AY46" i="40"/>
  <c r="AX46" i="40"/>
  <c r="AV46" i="40"/>
  <c r="AU46" i="40"/>
  <c r="AT46" i="40"/>
  <c r="AS46" i="40"/>
  <c r="AQ46" i="40"/>
  <c r="AP46" i="40"/>
  <c r="AO46" i="40"/>
  <c r="AN46" i="40"/>
  <c r="AM46" i="40"/>
  <c r="BP44" i="40"/>
  <c r="BO44" i="40"/>
  <c r="BN44" i="40"/>
  <c r="BM44" i="40"/>
  <c r="BL44" i="40"/>
  <c r="BK44" i="40"/>
  <c r="BJ44" i="40"/>
  <c r="BI44" i="40"/>
  <c r="BH44" i="40"/>
  <c r="BG44" i="40"/>
  <c r="BF44" i="40"/>
  <c r="BE44" i="40"/>
  <c r="BD44" i="40"/>
  <c r="BC44" i="40"/>
  <c r="BB44" i="40"/>
  <c r="BA44" i="40"/>
  <c r="AZ44" i="40"/>
  <c r="AY44" i="40"/>
  <c r="AX44" i="40"/>
  <c r="AW44" i="40"/>
  <c r="AV44" i="40"/>
  <c r="AU44" i="40"/>
  <c r="AT44" i="40"/>
  <c r="AS44" i="40"/>
  <c r="AR44" i="40"/>
  <c r="AQ44" i="40"/>
  <c r="AP44" i="40"/>
  <c r="AO44" i="40"/>
  <c r="AN44" i="40"/>
  <c r="AM44" i="40"/>
  <c r="BP42" i="40"/>
  <c r="BO42" i="40"/>
  <c r="BN42" i="40"/>
  <c r="BM42" i="40"/>
  <c r="BL42" i="40"/>
  <c r="BK42" i="40"/>
  <c r="BJ42" i="40"/>
  <c r="BI42" i="40"/>
  <c r="BH42" i="40"/>
  <c r="BG42" i="40"/>
  <c r="BF42" i="40"/>
  <c r="BE42" i="40"/>
  <c r="BD42" i="40"/>
  <c r="BC42" i="40"/>
  <c r="BB42" i="40"/>
  <c r="BA42" i="40"/>
  <c r="AZ42" i="40"/>
  <c r="AY42" i="40"/>
  <c r="AX42" i="40"/>
  <c r="AW42" i="40"/>
  <c r="AV42" i="40"/>
  <c r="AU42" i="40"/>
  <c r="AT42" i="40"/>
  <c r="AS42" i="40"/>
  <c r="AR42" i="40"/>
  <c r="AQ42" i="40"/>
  <c r="AP42" i="40"/>
  <c r="AO42" i="40"/>
  <c r="AN42" i="40"/>
  <c r="AM42" i="40"/>
  <c r="BP40" i="40"/>
  <c r="BO40" i="40"/>
  <c r="BN40" i="40"/>
  <c r="BM40" i="40"/>
  <c r="BL40" i="40"/>
  <c r="BK40" i="40"/>
  <c r="BJ40" i="40"/>
  <c r="BI40" i="40"/>
  <c r="BH40" i="40"/>
  <c r="BG40" i="40"/>
  <c r="BF40" i="40"/>
  <c r="BE40" i="40"/>
  <c r="BD40" i="40"/>
  <c r="BC40" i="40"/>
  <c r="BB40" i="40"/>
  <c r="BA40" i="40"/>
  <c r="AZ40" i="40"/>
  <c r="AY40" i="40"/>
  <c r="AX40" i="40"/>
  <c r="AW40" i="40"/>
  <c r="AV40" i="40"/>
  <c r="AU40" i="40"/>
  <c r="AT40" i="40"/>
  <c r="AS40" i="40"/>
  <c r="AR40" i="40"/>
  <c r="AQ40" i="40"/>
  <c r="AP40" i="40"/>
  <c r="AO40" i="40"/>
  <c r="AN40" i="40"/>
  <c r="AM40" i="40"/>
  <c r="CH38" i="40"/>
  <c r="CG38" i="40"/>
  <c r="CF38" i="40"/>
  <c r="CE38" i="40"/>
  <c r="CD38" i="40"/>
  <c r="CC38" i="40"/>
  <c r="CB38" i="40"/>
  <c r="CA38" i="40"/>
  <c r="BL92" i="40" s="1"/>
  <c r="BZ38" i="40"/>
  <c r="BY38" i="40"/>
  <c r="BX38" i="40"/>
  <c r="BW38" i="40"/>
  <c r="BV38" i="40"/>
  <c r="BP38" i="40"/>
  <c r="BO38" i="40"/>
  <c r="BN38" i="40"/>
  <c r="BM38" i="40"/>
  <c r="BL38" i="40"/>
  <c r="BK38" i="40"/>
  <c r="BJ38" i="40"/>
  <c r="BI38" i="40"/>
  <c r="BH38" i="40"/>
  <c r="BG38" i="40"/>
  <c r="BF38" i="40"/>
  <c r="BE38" i="40"/>
  <c r="BD38" i="40"/>
  <c r="BC38" i="40"/>
  <c r="BB38" i="40"/>
  <c r="BA38" i="40"/>
  <c r="AZ38" i="40"/>
  <c r="AY38" i="40"/>
  <c r="AX38" i="40"/>
  <c r="AW38" i="40"/>
  <c r="AV38" i="40"/>
  <c r="AU38" i="40"/>
  <c r="AT38" i="40"/>
  <c r="AS38" i="40"/>
  <c r="AR38" i="40"/>
  <c r="AQ38" i="40"/>
  <c r="AP38" i="40"/>
  <c r="AO38" i="40"/>
  <c r="AN38" i="40"/>
  <c r="AM38" i="40"/>
  <c r="BP36" i="40"/>
  <c r="BO36" i="40"/>
  <c r="BN36" i="40"/>
  <c r="BM36" i="40"/>
  <c r="BL36" i="40"/>
  <c r="BK36" i="40"/>
  <c r="BJ36" i="40"/>
  <c r="BI36" i="40"/>
  <c r="BH36" i="40"/>
  <c r="BG36" i="40"/>
  <c r="BF36" i="40"/>
  <c r="BE36" i="40"/>
  <c r="BD36" i="40"/>
  <c r="BC36" i="40"/>
  <c r="BB36" i="40"/>
  <c r="BA36" i="40"/>
  <c r="AZ36" i="40"/>
  <c r="AY36" i="40"/>
  <c r="AX36" i="40"/>
  <c r="AW36" i="40"/>
  <c r="AV36" i="40"/>
  <c r="AU36" i="40"/>
  <c r="AT36" i="40"/>
  <c r="AS36" i="40"/>
  <c r="AR36" i="40"/>
  <c r="AQ36" i="40"/>
  <c r="AP36" i="40"/>
  <c r="AO36" i="40"/>
  <c r="AN36" i="40"/>
  <c r="AM36" i="40"/>
  <c r="BL34" i="40"/>
  <c r="BK34" i="40"/>
  <c r="BJ34" i="40"/>
  <c r="BD34" i="40"/>
  <c r="BC34" i="40"/>
  <c r="BB34" i="40"/>
  <c r="AV34" i="40"/>
  <c r="AU34" i="40"/>
  <c r="AT34" i="40"/>
  <c r="AP34" i="40"/>
  <c r="AO34" i="40"/>
  <c r="AN34" i="40"/>
  <c r="AM34" i="40"/>
  <c r="BP32" i="40"/>
  <c r="BO32" i="40"/>
  <c r="BN32" i="40"/>
  <c r="BM32" i="40"/>
  <c r="BL32" i="40"/>
  <c r="BK32" i="40"/>
  <c r="BJ32" i="40"/>
  <c r="BI32" i="40"/>
  <c r="BH32" i="40"/>
  <c r="BG32" i="40"/>
  <c r="BF32" i="40"/>
  <c r="BE32" i="40"/>
  <c r="BD32" i="40"/>
  <c r="BC32" i="40"/>
  <c r="BB32" i="40"/>
  <c r="BA32" i="40"/>
  <c r="AZ32" i="40"/>
  <c r="AY32" i="40"/>
  <c r="AX32" i="40"/>
  <c r="AW32" i="40"/>
  <c r="AV32" i="40"/>
  <c r="AU32" i="40"/>
  <c r="AT32" i="40"/>
  <c r="AS32" i="40"/>
  <c r="AR32" i="40"/>
  <c r="AQ32" i="40"/>
  <c r="AP32" i="40"/>
  <c r="AO32" i="40"/>
  <c r="AN32" i="40"/>
  <c r="AM32" i="40"/>
  <c r="BY30" i="40"/>
  <c r="BX30" i="40"/>
  <c r="BW30" i="40"/>
  <c r="BV30" i="40"/>
  <c r="BP30" i="40"/>
  <c r="BO30" i="40"/>
  <c r="BN30" i="40"/>
  <c r="BM30" i="40"/>
  <c r="BL30" i="40"/>
  <c r="BK30" i="40"/>
  <c r="BJ30" i="40"/>
  <c r="BI30" i="40"/>
  <c r="BH30" i="40"/>
  <c r="BG30" i="40"/>
  <c r="BF30" i="40"/>
  <c r="BE30" i="40"/>
  <c r="BD30" i="40"/>
  <c r="BC30" i="40"/>
  <c r="BB30" i="40"/>
  <c r="BA30" i="40"/>
  <c r="AZ30" i="40"/>
  <c r="AY30" i="40"/>
  <c r="AX30" i="40"/>
  <c r="AW30" i="40"/>
  <c r="AV30" i="40"/>
  <c r="AU30" i="40"/>
  <c r="AT30" i="40"/>
  <c r="AS30" i="40"/>
  <c r="AR30" i="40"/>
  <c r="AQ30" i="40"/>
  <c r="AP30" i="40"/>
  <c r="AO30" i="40"/>
  <c r="AN30" i="40"/>
  <c r="AM30" i="40"/>
  <c r="BV29" i="40"/>
  <c r="BY28" i="40"/>
  <c r="BX28" i="40"/>
  <c r="BW28" i="40"/>
  <c r="BV28" i="40"/>
  <c r="BP28" i="40"/>
  <c r="BO28" i="40"/>
  <c r="BN28" i="40"/>
  <c r="BM28" i="40"/>
  <c r="BL28" i="40"/>
  <c r="BK28" i="40"/>
  <c r="BJ28" i="40"/>
  <c r="BI28" i="40"/>
  <c r="BH28" i="40"/>
  <c r="BG28" i="40"/>
  <c r="BF28" i="40"/>
  <c r="BE28" i="40"/>
  <c r="BD28" i="40"/>
  <c r="BC28" i="40"/>
  <c r="BB28" i="40"/>
  <c r="BA28" i="40"/>
  <c r="AZ28" i="40"/>
  <c r="AY28" i="40"/>
  <c r="AX28" i="40"/>
  <c r="AW28" i="40"/>
  <c r="AV28" i="40"/>
  <c r="AU28" i="40"/>
  <c r="AT28" i="40"/>
  <c r="AS28" i="40"/>
  <c r="AR28" i="40"/>
  <c r="AQ28" i="40"/>
  <c r="AP28" i="40"/>
  <c r="AO28" i="40"/>
  <c r="AN28" i="40"/>
  <c r="AM28" i="40"/>
  <c r="BV27" i="40"/>
  <c r="BY26" i="40"/>
  <c r="BY32" i="40" s="1"/>
  <c r="AP92" i="40" s="1"/>
  <c r="U6" i="40" s="1"/>
  <c r="BX26" i="40"/>
  <c r="BX32" i="40" s="1"/>
  <c r="BW26" i="40"/>
  <c r="BW32" i="40" s="1"/>
  <c r="BV26" i="40"/>
  <c r="BV32" i="40" s="1"/>
  <c r="BP26" i="40"/>
  <c r="BO26" i="40"/>
  <c r="BN26" i="40"/>
  <c r="BM26" i="40"/>
  <c r="BL26" i="40"/>
  <c r="BK26" i="40"/>
  <c r="BJ26" i="40"/>
  <c r="BI26" i="40"/>
  <c r="BH26" i="40"/>
  <c r="BG26" i="40"/>
  <c r="BF26" i="40"/>
  <c r="BE26" i="40"/>
  <c r="BD26" i="40"/>
  <c r="BC26" i="40"/>
  <c r="BB26" i="40"/>
  <c r="BA26" i="40"/>
  <c r="AZ26" i="40"/>
  <c r="AY26" i="40"/>
  <c r="AX26" i="40"/>
  <c r="AW26" i="40"/>
  <c r="AV26" i="40"/>
  <c r="AU26" i="40"/>
  <c r="AT26" i="40"/>
  <c r="AS26" i="40"/>
  <c r="AR26" i="40"/>
  <c r="AQ26" i="40"/>
  <c r="AP26" i="40"/>
  <c r="AO26" i="40"/>
  <c r="AN26" i="40"/>
  <c r="AM26" i="40"/>
  <c r="BP24" i="40"/>
  <c r="BO24" i="40"/>
  <c r="BN24" i="40"/>
  <c r="BM24" i="40"/>
  <c r="BL24" i="40"/>
  <c r="BK24" i="40"/>
  <c r="BJ24" i="40"/>
  <c r="BI24" i="40"/>
  <c r="BH24" i="40"/>
  <c r="BG24" i="40"/>
  <c r="BF24" i="40"/>
  <c r="BE24" i="40"/>
  <c r="BD24" i="40"/>
  <c r="BC24" i="40"/>
  <c r="BB24" i="40"/>
  <c r="BA24" i="40"/>
  <c r="AZ24" i="40"/>
  <c r="AY24" i="40"/>
  <c r="AX24" i="40"/>
  <c r="AW24" i="40"/>
  <c r="AV24" i="40"/>
  <c r="AU24" i="40"/>
  <c r="AT24" i="40"/>
  <c r="AS24" i="40"/>
  <c r="AR24" i="40"/>
  <c r="AQ24" i="40"/>
  <c r="AP24" i="40"/>
  <c r="AO24" i="40"/>
  <c r="AN24" i="40"/>
  <c r="AM24" i="40"/>
  <c r="BP22" i="40"/>
  <c r="BO22" i="40"/>
  <c r="BN22" i="40"/>
  <c r="BM22" i="40"/>
  <c r="BL22" i="40"/>
  <c r="BK22" i="40"/>
  <c r="BJ22" i="40"/>
  <c r="BI22" i="40"/>
  <c r="BH22" i="40"/>
  <c r="BG22" i="40"/>
  <c r="BF22" i="40"/>
  <c r="BE22" i="40"/>
  <c r="BD22" i="40"/>
  <c r="BC22" i="40"/>
  <c r="BB22" i="40"/>
  <c r="BA22" i="40"/>
  <c r="AZ22" i="40"/>
  <c r="AY22" i="40"/>
  <c r="AX22" i="40"/>
  <c r="AW22" i="40"/>
  <c r="AV22" i="40"/>
  <c r="AU22" i="40"/>
  <c r="AT22" i="40"/>
  <c r="AS22" i="40"/>
  <c r="AR22" i="40"/>
  <c r="AQ22" i="40"/>
  <c r="AP22" i="40"/>
  <c r="AO22" i="40"/>
  <c r="AN22" i="40"/>
  <c r="AM22" i="40"/>
  <c r="BV20" i="40"/>
  <c r="BP20" i="40"/>
  <c r="BO20" i="40"/>
  <c r="BN20" i="40"/>
  <c r="BM20" i="40"/>
  <c r="BL20" i="40"/>
  <c r="BK20" i="40"/>
  <c r="BJ20" i="40"/>
  <c r="BI20" i="40"/>
  <c r="BH20" i="40"/>
  <c r="BG20" i="40"/>
  <c r="BF20" i="40"/>
  <c r="BE20" i="40"/>
  <c r="BD20" i="40"/>
  <c r="BC20" i="40"/>
  <c r="BB20" i="40"/>
  <c r="BA20" i="40"/>
  <c r="AZ20" i="40"/>
  <c r="AY20" i="40"/>
  <c r="AX20" i="40"/>
  <c r="AW20" i="40"/>
  <c r="AV20" i="40"/>
  <c r="AU20" i="40"/>
  <c r="AT20" i="40"/>
  <c r="AS20" i="40"/>
  <c r="AR20" i="40"/>
  <c r="AQ20" i="40"/>
  <c r="AP20" i="40"/>
  <c r="AO20" i="40"/>
  <c r="AN20" i="40"/>
  <c r="AM20" i="40"/>
  <c r="BP18" i="40"/>
  <c r="BO18" i="40"/>
  <c r="BN18" i="40"/>
  <c r="BM18" i="40"/>
  <c r="BL18" i="40"/>
  <c r="BK18" i="40"/>
  <c r="BJ18" i="40"/>
  <c r="BI18" i="40"/>
  <c r="BH18" i="40"/>
  <c r="BG18" i="40"/>
  <c r="BF18" i="40"/>
  <c r="BE18" i="40"/>
  <c r="BD18" i="40"/>
  <c r="BC18" i="40"/>
  <c r="BB18" i="40"/>
  <c r="BA18" i="40"/>
  <c r="AZ18" i="40"/>
  <c r="AY18" i="40"/>
  <c r="AX18" i="40"/>
  <c r="AW18" i="40"/>
  <c r="AV18" i="40"/>
  <c r="AU18" i="40"/>
  <c r="AT18" i="40"/>
  <c r="AS18" i="40"/>
  <c r="AR18" i="40"/>
  <c r="AQ18" i="40"/>
  <c r="AP18" i="40"/>
  <c r="AO18" i="40"/>
  <c r="AN18" i="40"/>
  <c r="AM18" i="40"/>
  <c r="BP16" i="40"/>
  <c r="BO16" i="40"/>
  <c r="BN16" i="40"/>
  <c r="BM16" i="40"/>
  <c r="BL16" i="40"/>
  <c r="BK16" i="40"/>
  <c r="BK92" i="40" s="1"/>
  <c r="BJ16" i="40"/>
  <c r="BJ92" i="40" s="1"/>
  <c r="F195" i="40" s="1"/>
  <c r="BI16" i="40"/>
  <c r="BH16" i="40"/>
  <c r="BG16" i="40"/>
  <c r="BF16" i="40"/>
  <c r="BE16" i="40"/>
  <c r="BD16" i="40"/>
  <c r="BD92" i="40" s="1"/>
  <c r="F203" i="40" s="1"/>
  <c r="BC16" i="40"/>
  <c r="BC92" i="40" s="1"/>
  <c r="F202" i="40" s="1"/>
  <c r="BB16" i="40"/>
  <c r="BB92" i="40" s="1"/>
  <c r="F192" i="40" s="1"/>
  <c r="BA16" i="40"/>
  <c r="AZ16" i="40"/>
  <c r="AY16" i="40"/>
  <c r="AX16" i="40"/>
  <c r="AW16" i="40"/>
  <c r="AV16" i="40"/>
  <c r="AU16" i="40"/>
  <c r="AU92" i="40" s="1"/>
  <c r="AT16" i="40"/>
  <c r="AT92" i="40" s="1"/>
  <c r="U8" i="40" s="1"/>
  <c r="AP8" i="40" s="1"/>
  <c r="AS16" i="40"/>
  <c r="AR16" i="40"/>
  <c r="AQ16" i="40"/>
  <c r="AP16" i="40"/>
  <c r="AO16" i="40"/>
  <c r="AN16" i="40"/>
  <c r="AM16" i="40"/>
  <c r="D277" i="39"/>
  <c r="D276" i="39"/>
  <c r="BD50" i="39" s="1"/>
  <c r="D275" i="39"/>
  <c r="B275" i="39"/>
  <c r="Q273" i="39"/>
  <c r="O273" i="39"/>
  <c r="M273" i="39"/>
  <c r="AZ272" i="39"/>
  <c r="AY272" i="39"/>
  <c r="AW272" i="39"/>
  <c r="AV272" i="39"/>
  <c r="AN272" i="39"/>
  <c r="Q272" i="39"/>
  <c r="O272" i="39"/>
  <c r="M272" i="39"/>
  <c r="AZ271" i="39"/>
  <c r="AY271" i="39"/>
  <c r="AW271" i="39"/>
  <c r="AV271" i="39"/>
  <c r="Q271" i="39"/>
  <c r="O271" i="39"/>
  <c r="M271" i="39"/>
  <c r="AZ270" i="39"/>
  <c r="AY270" i="39"/>
  <c r="AW270" i="39"/>
  <c r="AV270" i="39"/>
  <c r="AN270" i="39"/>
  <c r="Q270" i="39"/>
  <c r="O270" i="39"/>
  <c r="M270" i="39"/>
  <c r="AZ269" i="39"/>
  <c r="AY269" i="39"/>
  <c r="AW269" i="39"/>
  <c r="AV269" i="39"/>
  <c r="Q269" i="39"/>
  <c r="O269" i="39"/>
  <c r="M269" i="39"/>
  <c r="AZ268" i="39"/>
  <c r="AY268" i="39"/>
  <c r="AW268" i="39"/>
  <c r="AV268" i="39"/>
  <c r="AN268" i="39"/>
  <c r="Q268" i="39"/>
  <c r="O268" i="39"/>
  <c r="M268" i="39"/>
  <c r="AZ267" i="39"/>
  <c r="AY267" i="39"/>
  <c r="AW267" i="39"/>
  <c r="AV267" i="39"/>
  <c r="Q267" i="39"/>
  <c r="O267" i="39"/>
  <c r="M267" i="39"/>
  <c r="AZ266" i="39"/>
  <c r="AY266" i="39"/>
  <c r="AW266" i="39"/>
  <c r="AV266" i="39"/>
  <c r="AN266" i="39"/>
  <c r="Q266" i="39"/>
  <c r="O266" i="39"/>
  <c r="M266" i="39"/>
  <c r="AZ265" i="39"/>
  <c r="AY265" i="39"/>
  <c r="AW265" i="39"/>
  <c r="AV265" i="39"/>
  <c r="Q265" i="39"/>
  <c r="O265" i="39"/>
  <c r="M265" i="39"/>
  <c r="AZ264" i="39"/>
  <c r="AY264" i="39"/>
  <c r="AW264" i="39"/>
  <c r="AV264" i="39"/>
  <c r="AN264" i="39"/>
  <c r="Q264" i="39"/>
  <c r="O264" i="39"/>
  <c r="M264" i="39"/>
  <c r="AZ263" i="39"/>
  <c r="AY263" i="39"/>
  <c r="AW263" i="39"/>
  <c r="AV263" i="39"/>
  <c r="Q263" i="39"/>
  <c r="O263" i="39"/>
  <c r="M263" i="39"/>
  <c r="AZ262" i="39"/>
  <c r="AY262" i="39"/>
  <c r="AW262" i="39"/>
  <c r="AV262" i="39"/>
  <c r="AN262" i="39"/>
  <c r="Q262" i="39"/>
  <c r="O262" i="39"/>
  <c r="M262" i="39"/>
  <c r="AZ261" i="39"/>
  <c r="AY261" i="39"/>
  <c r="AW261" i="39"/>
  <c r="Q261" i="39"/>
  <c r="O261" i="39"/>
  <c r="M261" i="39"/>
  <c r="AZ260" i="39"/>
  <c r="AV260" i="39"/>
  <c r="AN260" i="39"/>
  <c r="Q260" i="39"/>
  <c r="O260" i="39"/>
  <c r="M260" i="39"/>
  <c r="AZ259" i="39"/>
  <c r="AW259" i="39"/>
  <c r="AV259" i="39"/>
  <c r="Q259" i="39"/>
  <c r="O259" i="39"/>
  <c r="M259" i="39"/>
  <c r="AZ258" i="39"/>
  <c r="AN258" i="39"/>
  <c r="Q258" i="39"/>
  <c r="O258" i="39"/>
  <c r="M258" i="39"/>
  <c r="AZ257" i="39"/>
  <c r="Q257" i="39"/>
  <c r="O257" i="39"/>
  <c r="M257" i="39"/>
  <c r="AZ256" i="39"/>
  <c r="AN256" i="39"/>
  <c r="Q256" i="39"/>
  <c r="O256" i="39"/>
  <c r="M256" i="39"/>
  <c r="AZ255" i="39"/>
  <c r="Q255" i="39"/>
  <c r="O255" i="39"/>
  <c r="M255" i="39"/>
  <c r="AZ254" i="39"/>
  <c r="AY254" i="39"/>
  <c r="AN254" i="39"/>
  <c r="Q254" i="39"/>
  <c r="O254" i="39"/>
  <c r="M254" i="39"/>
  <c r="AZ253" i="39"/>
  <c r="AY253" i="39"/>
  <c r="AW253" i="39"/>
  <c r="AV253" i="39"/>
  <c r="Q253" i="39"/>
  <c r="O253" i="39"/>
  <c r="M253" i="39"/>
  <c r="AZ252" i="39"/>
  <c r="AY252" i="39"/>
  <c r="AW252" i="39"/>
  <c r="AV252" i="39"/>
  <c r="AN252" i="39"/>
  <c r="Q252" i="39"/>
  <c r="O252" i="39"/>
  <c r="M252" i="39"/>
  <c r="AZ251" i="39"/>
  <c r="AY251" i="39"/>
  <c r="AW251" i="39"/>
  <c r="AV251" i="39"/>
  <c r="Q251" i="39"/>
  <c r="O251" i="39"/>
  <c r="M251" i="39"/>
  <c r="AZ250" i="39"/>
  <c r="AY250" i="39"/>
  <c r="AW250" i="39"/>
  <c r="AV250" i="39"/>
  <c r="AN250" i="39"/>
  <c r="Q250" i="39"/>
  <c r="O250" i="39"/>
  <c r="M250" i="39"/>
  <c r="AZ249" i="39"/>
  <c r="AY249" i="39"/>
  <c r="AW249" i="39"/>
  <c r="AV249" i="39"/>
  <c r="Q249" i="39"/>
  <c r="O249" i="39"/>
  <c r="M249" i="39"/>
  <c r="AZ248" i="39"/>
  <c r="AY248" i="39"/>
  <c r="AW248" i="39"/>
  <c r="AV248" i="39"/>
  <c r="AN248" i="39"/>
  <c r="Q248" i="39"/>
  <c r="O248" i="39"/>
  <c r="M248" i="39"/>
  <c r="AZ247" i="39"/>
  <c r="AY247" i="39"/>
  <c r="AW247" i="39"/>
  <c r="AV247" i="39"/>
  <c r="Q247" i="39"/>
  <c r="O247" i="39"/>
  <c r="M247" i="39"/>
  <c r="AZ246" i="39"/>
  <c r="AY246" i="39"/>
  <c r="AW246" i="39"/>
  <c r="AV246" i="39"/>
  <c r="AN246" i="39"/>
  <c r="Q246" i="39"/>
  <c r="O246" i="39"/>
  <c r="M246" i="39"/>
  <c r="AZ245" i="39"/>
  <c r="AY245" i="39"/>
  <c r="AW245" i="39"/>
  <c r="AV245" i="39"/>
  <c r="Q245" i="39"/>
  <c r="O245" i="39"/>
  <c r="M245" i="39"/>
  <c r="AZ244" i="39"/>
  <c r="AY244" i="39"/>
  <c r="AW244" i="39"/>
  <c r="AV244" i="39"/>
  <c r="AN244" i="39"/>
  <c r="Q244" i="39"/>
  <c r="O244" i="39"/>
  <c r="M244" i="39"/>
  <c r="AZ243" i="39"/>
  <c r="AY243" i="39"/>
  <c r="AW243" i="39"/>
  <c r="AV243" i="39"/>
  <c r="Q243" i="39"/>
  <c r="O243" i="39"/>
  <c r="M243" i="39"/>
  <c r="AZ242" i="39"/>
  <c r="AY242" i="39"/>
  <c r="AW242" i="39"/>
  <c r="AV242" i="39"/>
  <c r="AN242" i="39"/>
  <c r="Q242" i="39"/>
  <c r="O242" i="39"/>
  <c r="M242" i="39"/>
  <c r="AZ241" i="39"/>
  <c r="AY241" i="39"/>
  <c r="AW241" i="39"/>
  <c r="AV241" i="39"/>
  <c r="Q241" i="39"/>
  <c r="O241" i="39"/>
  <c r="M241" i="39"/>
  <c r="AZ240" i="39"/>
  <c r="AY240" i="39"/>
  <c r="AW240" i="39"/>
  <c r="AV240" i="39"/>
  <c r="AN240" i="39"/>
  <c r="Q240" i="39"/>
  <c r="Q275" i="39" s="1"/>
  <c r="O240" i="39"/>
  <c r="M240" i="39"/>
  <c r="AZ239" i="39"/>
  <c r="AY239" i="39"/>
  <c r="AW239" i="39"/>
  <c r="AV239" i="39"/>
  <c r="Q239" i="39"/>
  <c r="O239" i="39"/>
  <c r="M239" i="39"/>
  <c r="AZ238" i="39"/>
  <c r="AY238" i="39"/>
  <c r="AW238" i="39"/>
  <c r="AV238" i="39"/>
  <c r="AN238" i="39"/>
  <c r="Q238" i="39"/>
  <c r="O238" i="39"/>
  <c r="M238" i="39"/>
  <c r="AZ237" i="39"/>
  <c r="AY237" i="39"/>
  <c r="AW237" i="39"/>
  <c r="AV237" i="39"/>
  <c r="Q237" i="39"/>
  <c r="O237" i="39"/>
  <c r="M237" i="39"/>
  <c r="AZ236" i="39"/>
  <c r="AY236" i="39"/>
  <c r="AW236" i="39"/>
  <c r="AV236" i="39"/>
  <c r="AN236" i="39"/>
  <c r="Q236" i="39"/>
  <c r="O236" i="39"/>
  <c r="M236" i="39"/>
  <c r="AZ235" i="39"/>
  <c r="AY235" i="39"/>
  <c r="AW235" i="39"/>
  <c r="AV235" i="39"/>
  <c r="Q235" i="39"/>
  <c r="O235" i="39"/>
  <c r="M235" i="39"/>
  <c r="AZ234" i="39"/>
  <c r="AY234" i="39"/>
  <c r="AW234" i="39"/>
  <c r="AV234" i="39"/>
  <c r="AN234" i="39"/>
  <c r="Q234" i="39"/>
  <c r="O234" i="39"/>
  <c r="O275" i="39" s="1"/>
  <c r="M234" i="39"/>
  <c r="AT234" i="39" s="1"/>
  <c r="H181" i="39"/>
  <c r="AV261" i="39" s="1"/>
  <c r="H180" i="39"/>
  <c r="AY260" i="39" s="1"/>
  <c r="H179" i="39"/>
  <c r="AY259" i="39" s="1"/>
  <c r="H178" i="39"/>
  <c r="AY258" i="39" s="1"/>
  <c r="H177" i="39"/>
  <c r="H176" i="39"/>
  <c r="AY257" i="39" s="1"/>
  <c r="H175" i="39"/>
  <c r="AY256" i="39" s="1"/>
  <c r="H174" i="39"/>
  <c r="H173" i="39"/>
  <c r="H172" i="39"/>
  <c r="AY255" i="39" s="1"/>
  <c r="H171" i="39"/>
  <c r="H170" i="39"/>
  <c r="AW254" i="39" s="1"/>
  <c r="H169" i="39"/>
  <c r="H168" i="39"/>
  <c r="H167" i="39"/>
  <c r="H166" i="39"/>
  <c r="H165" i="39"/>
  <c r="H164" i="39"/>
  <c r="H163" i="39"/>
  <c r="H162" i="39"/>
  <c r="H161" i="39"/>
  <c r="H160" i="39"/>
  <c r="H159" i="39"/>
  <c r="H158" i="39"/>
  <c r="H157" i="39"/>
  <c r="H156" i="39"/>
  <c r="H155" i="39"/>
  <c r="H154" i="39"/>
  <c r="H153" i="39"/>
  <c r="H152" i="39"/>
  <c r="H151" i="39"/>
  <c r="H150" i="39"/>
  <c r="H149" i="39"/>
  <c r="H148" i="39"/>
  <c r="H147" i="39"/>
  <c r="H146" i="39"/>
  <c r="H145" i="39"/>
  <c r="H144" i="39"/>
  <c r="H143" i="39"/>
  <c r="H142" i="39"/>
  <c r="H141" i="39"/>
  <c r="H140" i="39"/>
  <c r="H139" i="39"/>
  <c r="H138" i="39"/>
  <c r="H137" i="39"/>
  <c r="H136" i="39"/>
  <c r="H135" i="39"/>
  <c r="H134" i="39"/>
  <c r="H133" i="39"/>
  <c r="H132" i="39"/>
  <c r="H131" i="39"/>
  <c r="H130" i="39"/>
  <c r="H129" i="39"/>
  <c r="H128" i="39"/>
  <c r="H127" i="39"/>
  <c r="H126" i="39"/>
  <c r="H125" i="39"/>
  <c r="H124" i="39"/>
  <c r="H123" i="39"/>
  <c r="H122" i="39"/>
  <c r="H121" i="39"/>
  <c r="H120" i="39"/>
  <c r="H119" i="39"/>
  <c r="H118" i="39"/>
  <c r="H117" i="39"/>
  <c r="H116" i="39"/>
  <c r="H115" i="39"/>
  <c r="H114" i="39"/>
  <c r="H113" i="39"/>
  <c r="H112" i="39"/>
  <c r="H111" i="39"/>
  <c r="H110" i="39"/>
  <c r="H109" i="39"/>
  <c r="H108" i="39"/>
  <c r="H107" i="39"/>
  <c r="H106" i="39"/>
  <c r="H105" i="39"/>
  <c r="H104" i="39"/>
  <c r="H103" i="39"/>
  <c r="B188" i="39" s="1" a="1"/>
  <c r="B188" i="39" s="1"/>
  <c r="BS92" i="39"/>
  <c r="BU90" i="39"/>
  <c r="BT90" i="39"/>
  <c r="BS90" i="39"/>
  <c r="BR90" i="39"/>
  <c r="BQ90" i="39"/>
  <c r="BP90" i="39"/>
  <c r="BO90" i="39"/>
  <c r="BN90" i="39"/>
  <c r="BM90" i="39"/>
  <c r="BL90" i="39"/>
  <c r="BK90" i="39"/>
  <c r="AU90" i="39"/>
  <c r="AR90" i="39"/>
  <c r="AQ90" i="39"/>
  <c r="AO90" i="39"/>
  <c r="AN90" i="39"/>
  <c r="AM90" i="39"/>
  <c r="BQ89" i="39"/>
  <c r="BP89" i="39"/>
  <c r="BO89" i="39"/>
  <c r="BN89" i="39"/>
  <c r="BM89" i="39"/>
  <c r="BL89" i="39"/>
  <c r="BK89" i="39"/>
  <c r="AU89" i="39"/>
  <c r="AR89" i="39"/>
  <c r="AQ89" i="39"/>
  <c r="AO89" i="39"/>
  <c r="AN89" i="39"/>
  <c r="AM89" i="39"/>
  <c r="BU88" i="39"/>
  <c r="BT88" i="39"/>
  <c r="BT92" i="39" s="1"/>
  <c r="BS88" i="39"/>
  <c r="BR88" i="39"/>
  <c r="BQ88" i="39"/>
  <c r="BP88" i="39"/>
  <c r="BO88" i="39"/>
  <c r="BN88" i="39"/>
  <c r="BM88" i="39"/>
  <c r="BL88" i="39"/>
  <c r="BK88" i="39"/>
  <c r="AU88" i="39"/>
  <c r="AR88" i="39"/>
  <c r="AQ88" i="39"/>
  <c r="AO88" i="39"/>
  <c r="AN88" i="39"/>
  <c r="AM88" i="39"/>
  <c r="BQ87" i="39"/>
  <c r="BQ92" i="39" s="1"/>
  <c r="BP87" i="39"/>
  <c r="BO87" i="39"/>
  <c r="BN87" i="39"/>
  <c r="BM87" i="39"/>
  <c r="BL87" i="39"/>
  <c r="BK87" i="39"/>
  <c r="AU87" i="39"/>
  <c r="AR87" i="39"/>
  <c r="AQ87" i="39"/>
  <c r="AO87" i="39"/>
  <c r="AN87" i="39"/>
  <c r="AM87" i="39"/>
  <c r="BU86" i="39"/>
  <c r="BU92" i="39" s="1"/>
  <c r="BT86" i="39"/>
  <c r="BS86" i="39"/>
  <c r="BR86" i="39"/>
  <c r="BR92" i="39" s="1"/>
  <c r="BQ86" i="39"/>
  <c r="BP86" i="39"/>
  <c r="BO86" i="39"/>
  <c r="BN86" i="39"/>
  <c r="BM86" i="39"/>
  <c r="BL86" i="39"/>
  <c r="BK86" i="39"/>
  <c r="AU86" i="39"/>
  <c r="AR86" i="39"/>
  <c r="AQ86" i="39"/>
  <c r="AO86" i="39"/>
  <c r="AN86" i="39"/>
  <c r="AM86" i="39"/>
  <c r="BP82" i="39"/>
  <c r="BO82" i="39"/>
  <c r="BN82" i="39"/>
  <c r="BM82" i="39"/>
  <c r="BL82" i="39"/>
  <c r="BK82" i="39"/>
  <c r="BJ82" i="39"/>
  <c r="BI82" i="39"/>
  <c r="BH82" i="39"/>
  <c r="BG82" i="39"/>
  <c r="BF82" i="39"/>
  <c r="BE82" i="39"/>
  <c r="BD82" i="39"/>
  <c r="BC82" i="39"/>
  <c r="BB82" i="39"/>
  <c r="BA82" i="39"/>
  <c r="AZ82" i="39"/>
  <c r="AY82" i="39"/>
  <c r="AX82" i="39"/>
  <c r="AW82" i="39"/>
  <c r="AV82" i="39"/>
  <c r="AU82" i="39"/>
  <c r="AT82" i="39"/>
  <c r="AS82" i="39"/>
  <c r="AR82" i="39"/>
  <c r="AQ82" i="39"/>
  <c r="AP82" i="39"/>
  <c r="AO82" i="39"/>
  <c r="AN82" i="39"/>
  <c r="AM82" i="39"/>
  <c r="BP80" i="39"/>
  <c r="BO80" i="39"/>
  <c r="BN80" i="39"/>
  <c r="BM80" i="39"/>
  <c r="BL80" i="39"/>
  <c r="BK80" i="39"/>
  <c r="BJ80" i="39"/>
  <c r="BI80" i="39"/>
  <c r="BH80" i="39"/>
  <c r="BG80" i="39"/>
  <c r="BF80" i="39"/>
  <c r="BE80" i="39"/>
  <c r="BD80" i="39"/>
  <c r="BC80" i="39"/>
  <c r="BB80" i="39"/>
  <c r="BA80" i="39"/>
  <c r="AZ80" i="39"/>
  <c r="AY80" i="39"/>
  <c r="AX80" i="39"/>
  <c r="AW80" i="39"/>
  <c r="AV80" i="39"/>
  <c r="AU80" i="39"/>
  <c r="AT80" i="39"/>
  <c r="AS80" i="39"/>
  <c r="AR80" i="39"/>
  <c r="AQ80" i="39"/>
  <c r="AP80" i="39"/>
  <c r="AO80" i="39"/>
  <c r="AN80" i="39"/>
  <c r="AM80" i="39"/>
  <c r="BP78" i="39"/>
  <c r="BO78" i="39"/>
  <c r="BN78" i="39"/>
  <c r="BM78" i="39"/>
  <c r="BL78" i="39"/>
  <c r="BK78" i="39"/>
  <c r="BJ78" i="39"/>
  <c r="BI78" i="39"/>
  <c r="BH78" i="39"/>
  <c r="BG78" i="39"/>
  <c r="BF78" i="39"/>
  <c r="BE78" i="39"/>
  <c r="BD78" i="39"/>
  <c r="BC78" i="39"/>
  <c r="BB78" i="39"/>
  <c r="BA78" i="39"/>
  <c r="AZ78" i="39"/>
  <c r="AY78" i="39"/>
  <c r="AX78" i="39"/>
  <c r="AW78" i="39"/>
  <c r="AV78" i="39"/>
  <c r="AU78" i="39"/>
  <c r="AT78" i="39"/>
  <c r="AS78" i="39"/>
  <c r="AR78" i="39"/>
  <c r="AQ78" i="39"/>
  <c r="AP78" i="39"/>
  <c r="AO78" i="39"/>
  <c r="AN78" i="39"/>
  <c r="AM78" i="39"/>
  <c r="BP74" i="39"/>
  <c r="BO74" i="39"/>
  <c r="BN74" i="39"/>
  <c r="BM74" i="39"/>
  <c r="BL74" i="39"/>
  <c r="BK74" i="39"/>
  <c r="BJ74" i="39"/>
  <c r="BI74" i="39"/>
  <c r="BH74" i="39"/>
  <c r="BG74" i="39"/>
  <c r="BF74" i="39"/>
  <c r="BE74" i="39"/>
  <c r="BD74" i="39"/>
  <c r="BC74" i="39"/>
  <c r="BB74" i="39"/>
  <c r="BA74" i="39"/>
  <c r="AZ74" i="39"/>
  <c r="AY74" i="39"/>
  <c r="AX74" i="39"/>
  <c r="AW74" i="39"/>
  <c r="AV74" i="39"/>
  <c r="AU74" i="39"/>
  <c r="AT74" i="39"/>
  <c r="AS74" i="39"/>
  <c r="AR74" i="39"/>
  <c r="AQ74" i="39"/>
  <c r="AP74" i="39"/>
  <c r="AO74" i="39"/>
  <c r="AN74" i="39"/>
  <c r="AM74" i="39"/>
  <c r="BP72" i="39"/>
  <c r="BO72" i="39"/>
  <c r="BN72" i="39"/>
  <c r="BM72" i="39"/>
  <c r="BL72" i="39"/>
  <c r="BK72" i="39"/>
  <c r="BJ72" i="39"/>
  <c r="BI72" i="39"/>
  <c r="BH72" i="39"/>
  <c r="BG72" i="39"/>
  <c r="BF72" i="39"/>
  <c r="BE72" i="39"/>
  <c r="BD72" i="39"/>
  <c r="BC72" i="39"/>
  <c r="BB72" i="39"/>
  <c r="BA72" i="39"/>
  <c r="AZ72" i="39"/>
  <c r="AY72" i="39"/>
  <c r="AX72" i="39"/>
  <c r="AW72" i="39"/>
  <c r="AV72" i="39"/>
  <c r="AU72" i="39"/>
  <c r="AT72" i="39"/>
  <c r="AS72" i="39"/>
  <c r="AR72" i="39"/>
  <c r="AQ72" i="39"/>
  <c r="AP72" i="39"/>
  <c r="AO72" i="39"/>
  <c r="AN72" i="39"/>
  <c r="AM72" i="39"/>
  <c r="BP70" i="39"/>
  <c r="BO70" i="39"/>
  <c r="BN70" i="39"/>
  <c r="BM70" i="39"/>
  <c r="BL70" i="39"/>
  <c r="BK70" i="39"/>
  <c r="BJ70" i="39"/>
  <c r="BI70" i="39"/>
  <c r="BH70" i="39"/>
  <c r="BG70" i="39"/>
  <c r="BF70" i="39"/>
  <c r="BE70" i="39"/>
  <c r="BD70" i="39"/>
  <c r="BC70" i="39"/>
  <c r="BB70" i="39"/>
  <c r="BA70" i="39"/>
  <c r="AZ70" i="39"/>
  <c r="AY70" i="39"/>
  <c r="AX70" i="39"/>
  <c r="AW70" i="39"/>
  <c r="AV70" i="39"/>
  <c r="AU70" i="39"/>
  <c r="AT70" i="39"/>
  <c r="AS70" i="39"/>
  <c r="AR70" i="39"/>
  <c r="AQ70" i="39"/>
  <c r="AP70" i="39"/>
  <c r="AO70" i="39"/>
  <c r="AN70" i="39"/>
  <c r="AM70" i="39"/>
  <c r="BP66" i="39"/>
  <c r="BO66" i="39"/>
  <c r="BN66" i="39"/>
  <c r="BM66" i="39"/>
  <c r="BL66" i="39"/>
  <c r="BK66" i="39"/>
  <c r="BJ66" i="39"/>
  <c r="BI66" i="39"/>
  <c r="BH66" i="39"/>
  <c r="BG66" i="39"/>
  <c r="BF66" i="39"/>
  <c r="BE66" i="39"/>
  <c r="BD66" i="39"/>
  <c r="BC66" i="39"/>
  <c r="BB66" i="39"/>
  <c r="BA66" i="39"/>
  <c r="AZ66" i="39"/>
  <c r="AY66" i="39"/>
  <c r="AX66" i="39"/>
  <c r="AW66" i="39"/>
  <c r="AV66" i="39"/>
  <c r="AU66" i="39"/>
  <c r="AT66" i="39"/>
  <c r="AS66" i="39"/>
  <c r="AR66" i="39"/>
  <c r="AQ66" i="39"/>
  <c r="AP66" i="39"/>
  <c r="AO66" i="39"/>
  <c r="AN66" i="39"/>
  <c r="AM66" i="39"/>
  <c r="BP64" i="39"/>
  <c r="BO64" i="39"/>
  <c r="BN64" i="39"/>
  <c r="BM64" i="39"/>
  <c r="BL64" i="39"/>
  <c r="BK64" i="39"/>
  <c r="BJ64" i="39"/>
  <c r="BI64" i="39"/>
  <c r="BH64" i="39"/>
  <c r="BG64" i="39"/>
  <c r="BF64" i="39"/>
  <c r="BE64" i="39"/>
  <c r="BD64" i="39"/>
  <c r="BC64" i="39"/>
  <c r="BB64" i="39"/>
  <c r="BA64" i="39"/>
  <c r="AZ64" i="39"/>
  <c r="AY64" i="39"/>
  <c r="AX64" i="39"/>
  <c r="AW64" i="39"/>
  <c r="AV64" i="39"/>
  <c r="AU64" i="39"/>
  <c r="AT64" i="39"/>
  <c r="AS64" i="39"/>
  <c r="AR64" i="39"/>
  <c r="AQ64" i="39"/>
  <c r="AP64" i="39"/>
  <c r="AO64" i="39"/>
  <c r="AN64" i="39"/>
  <c r="AM64" i="39"/>
  <c r="BP62" i="39"/>
  <c r="BO62" i="39"/>
  <c r="BN62" i="39"/>
  <c r="BM62" i="39"/>
  <c r="BL62" i="39"/>
  <c r="BK62" i="39"/>
  <c r="BJ62" i="39"/>
  <c r="BI62" i="39"/>
  <c r="BH62" i="39"/>
  <c r="BG62" i="39"/>
  <c r="BF62" i="39"/>
  <c r="BE62" i="39"/>
  <c r="BD62" i="39"/>
  <c r="BC62" i="39"/>
  <c r="BB62" i="39"/>
  <c r="BA62" i="39"/>
  <c r="AZ62" i="39"/>
  <c r="AY62" i="39"/>
  <c r="AX62" i="39"/>
  <c r="AW62" i="39"/>
  <c r="AV62" i="39"/>
  <c r="AU62" i="39"/>
  <c r="AT62" i="39"/>
  <c r="AS62" i="39"/>
  <c r="AR62" i="39"/>
  <c r="AQ62" i="39"/>
  <c r="AP62" i="39"/>
  <c r="AO62" i="39"/>
  <c r="AN62" i="39"/>
  <c r="AM62" i="39"/>
  <c r="BP60" i="39"/>
  <c r="BO60" i="39"/>
  <c r="BN60" i="39"/>
  <c r="BM60" i="39"/>
  <c r="BL60" i="39"/>
  <c r="BK60" i="39"/>
  <c r="BJ60" i="39"/>
  <c r="BI60" i="39"/>
  <c r="BH60" i="39"/>
  <c r="BG60" i="39"/>
  <c r="BF60" i="39"/>
  <c r="BE60" i="39"/>
  <c r="BD60" i="39"/>
  <c r="BC60" i="39"/>
  <c r="BB60" i="39"/>
  <c r="BA60" i="39"/>
  <c r="AZ60" i="39"/>
  <c r="AY60" i="39"/>
  <c r="AX60" i="39"/>
  <c r="AW60" i="39"/>
  <c r="AV60" i="39"/>
  <c r="AU60" i="39"/>
  <c r="AT60" i="39"/>
  <c r="AS60" i="39"/>
  <c r="AR60" i="39"/>
  <c r="AQ60" i="39"/>
  <c r="AP60" i="39"/>
  <c r="AO60" i="39"/>
  <c r="AN60" i="39"/>
  <c r="AM60" i="39"/>
  <c r="BP58" i="39"/>
  <c r="BO58" i="39"/>
  <c r="BN58" i="39"/>
  <c r="BM58" i="39"/>
  <c r="BL58" i="39"/>
  <c r="BK58" i="39"/>
  <c r="BJ58" i="39"/>
  <c r="BI58" i="39"/>
  <c r="BH58" i="39"/>
  <c r="BG58" i="39"/>
  <c r="BF58" i="39"/>
  <c r="BE58" i="39"/>
  <c r="BD58" i="39"/>
  <c r="BC58" i="39"/>
  <c r="BB58" i="39"/>
  <c r="BA58" i="39"/>
  <c r="AZ58" i="39"/>
  <c r="AY58" i="39"/>
  <c r="AX58" i="39"/>
  <c r="AW58" i="39"/>
  <c r="AV58" i="39"/>
  <c r="AU58" i="39"/>
  <c r="AT58" i="39"/>
  <c r="AS58" i="39"/>
  <c r="AR58" i="39"/>
  <c r="AQ58" i="39"/>
  <c r="AP58" i="39"/>
  <c r="AO58" i="39"/>
  <c r="AN58" i="39"/>
  <c r="AM58" i="39"/>
  <c r="BP56" i="39"/>
  <c r="BO56" i="39"/>
  <c r="BN56" i="39"/>
  <c r="BM56" i="39"/>
  <c r="BL56" i="39"/>
  <c r="BK56" i="39"/>
  <c r="BJ56" i="39"/>
  <c r="BI56" i="39"/>
  <c r="BH56" i="39"/>
  <c r="BG56" i="39"/>
  <c r="BF56" i="39"/>
  <c r="BE56" i="39"/>
  <c r="BD56" i="39"/>
  <c r="BC56" i="39"/>
  <c r="BB56" i="39"/>
  <c r="BA56" i="39"/>
  <c r="AZ56" i="39"/>
  <c r="AY56" i="39"/>
  <c r="AX56" i="39"/>
  <c r="AW56" i="39"/>
  <c r="AV56" i="39"/>
  <c r="AU56" i="39"/>
  <c r="AT56" i="39"/>
  <c r="AS56" i="39"/>
  <c r="AR56" i="39"/>
  <c r="AQ56" i="39"/>
  <c r="AP56" i="39"/>
  <c r="AO56" i="39"/>
  <c r="AN56" i="39"/>
  <c r="AM56" i="39"/>
  <c r="BP54" i="39"/>
  <c r="BO54" i="39"/>
  <c r="BN54" i="39"/>
  <c r="BM54" i="39"/>
  <c r="BL54" i="39"/>
  <c r="BK54" i="39"/>
  <c r="BJ54" i="39"/>
  <c r="BI54" i="39"/>
  <c r="BH54" i="39"/>
  <c r="BG54" i="39"/>
  <c r="BF54" i="39"/>
  <c r="BE54" i="39"/>
  <c r="BD54" i="39"/>
  <c r="BC54" i="39"/>
  <c r="BB54" i="39"/>
  <c r="BA54" i="39"/>
  <c r="AZ54" i="39"/>
  <c r="AY54" i="39"/>
  <c r="AX54" i="39"/>
  <c r="AW54" i="39"/>
  <c r="AV54" i="39"/>
  <c r="AU54" i="39"/>
  <c r="AT54" i="39"/>
  <c r="AS54" i="39"/>
  <c r="AR54" i="39"/>
  <c r="AQ54" i="39"/>
  <c r="AP54" i="39"/>
  <c r="AO54" i="39"/>
  <c r="AN54" i="39"/>
  <c r="AM54" i="39"/>
  <c r="BP52" i="39"/>
  <c r="BO52" i="39"/>
  <c r="BN52" i="39"/>
  <c r="BM52" i="39"/>
  <c r="BL52" i="39"/>
  <c r="BK52" i="39"/>
  <c r="BJ52" i="39"/>
  <c r="BI52" i="39"/>
  <c r="BH52" i="39"/>
  <c r="BG52" i="39"/>
  <c r="BF52" i="39"/>
  <c r="BE52" i="39"/>
  <c r="BD52" i="39"/>
  <c r="BC52" i="39"/>
  <c r="BB52" i="39"/>
  <c r="BA52" i="39"/>
  <c r="AZ52" i="39"/>
  <c r="AY52" i="39"/>
  <c r="AX52" i="39"/>
  <c r="AW52" i="39"/>
  <c r="AV52" i="39"/>
  <c r="AU52" i="39"/>
  <c r="AT52" i="39"/>
  <c r="AS52" i="39"/>
  <c r="AR52" i="39"/>
  <c r="AQ52" i="39"/>
  <c r="AP52" i="39"/>
  <c r="AO52" i="39"/>
  <c r="AN52" i="39"/>
  <c r="AM52" i="39"/>
  <c r="BP50" i="39"/>
  <c r="BO50" i="39"/>
  <c r="BN50" i="39"/>
  <c r="BM50" i="39"/>
  <c r="BL50" i="39"/>
  <c r="BK50" i="39"/>
  <c r="BJ50" i="39"/>
  <c r="BH50" i="39"/>
  <c r="BF50" i="39"/>
  <c r="BE50" i="39"/>
  <c r="BC50" i="39"/>
  <c r="BB50" i="39"/>
  <c r="AZ50" i="39"/>
  <c r="AX50" i="39"/>
  <c r="AW50" i="39"/>
  <c r="AU50" i="39"/>
  <c r="AT50" i="39"/>
  <c r="AS50" i="39"/>
  <c r="AR50" i="39"/>
  <c r="AP50" i="39"/>
  <c r="AO50" i="39"/>
  <c r="AN50" i="39"/>
  <c r="AM50" i="39"/>
  <c r="BP48" i="39"/>
  <c r="BO48" i="39"/>
  <c r="BN48" i="39"/>
  <c r="BM48" i="39"/>
  <c r="BL48" i="39"/>
  <c r="BK48" i="39"/>
  <c r="BJ48" i="39"/>
  <c r="BI48" i="39"/>
  <c r="BH48" i="39"/>
  <c r="BG48" i="39"/>
  <c r="BF48" i="39"/>
  <c r="BE48" i="39"/>
  <c r="BD48" i="39"/>
  <c r="BC48" i="39"/>
  <c r="BB48" i="39"/>
  <c r="BA48" i="39"/>
  <c r="AZ48" i="39"/>
  <c r="AY48" i="39"/>
  <c r="AX48" i="39"/>
  <c r="AW48" i="39"/>
  <c r="AV48" i="39"/>
  <c r="AU48" i="39"/>
  <c r="AT48" i="39"/>
  <c r="AS48" i="39"/>
  <c r="AR48" i="39"/>
  <c r="AQ48" i="39"/>
  <c r="AP48" i="39"/>
  <c r="AO48" i="39"/>
  <c r="AN48" i="39"/>
  <c r="AM48" i="39"/>
  <c r="BO46" i="39"/>
  <c r="BN46" i="39"/>
  <c r="BL46" i="39"/>
  <c r="BJ46" i="39"/>
  <c r="BI46" i="39"/>
  <c r="BG46" i="39"/>
  <c r="BF46" i="39"/>
  <c r="BD46" i="39"/>
  <c r="BB46" i="39"/>
  <c r="BA46" i="39"/>
  <c r="AY46" i="39"/>
  <c r="AX46" i="39"/>
  <c r="AV46" i="39"/>
  <c r="AT46" i="39"/>
  <c r="AS46" i="39"/>
  <c r="AQ46" i="39"/>
  <c r="AP46" i="39"/>
  <c r="AO46" i="39"/>
  <c r="AN46" i="39"/>
  <c r="AM46" i="39"/>
  <c r="BP44" i="39"/>
  <c r="BO44" i="39"/>
  <c r="BN44" i="39"/>
  <c r="BM44" i="39"/>
  <c r="BL44" i="39"/>
  <c r="BK44" i="39"/>
  <c r="BJ44" i="39"/>
  <c r="BI44" i="39"/>
  <c r="BH44" i="39"/>
  <c r="BG44" i="39"/>
  <c r="BF44" i="39"/>
  <c r="BE44" i="39"/>
  <c r="BD44" i="39"/>
  <c r="BC44" i="39"/>
  <c r="BB44" i="39"/>
  <c r="BA44" i="39"/>
  <c r="AZ44" i="39"/>
  <c r="AY44" i="39"/>
  <c r="AX44" i="39"/>
  <c r="AW44" i="39"/>
  <c r="AV44" i="39"/>
  <c r="AU44" i="39"/>
  <c r="AT44" i="39"/>
  <c r="AS44" i="39"/>
  <c r="AR44" i="39"/>
  <c r="AQ44" i="39"/>
  <c r="AP44" i="39"/>
  <c r="AO44" i="39"/>
  <c r="AN44" i="39"/>
  <c r="AM44" i="39"/>
  <c r="BP42" i="39"/>
  <c r="BO42" i="39"/>
  <c r="BN42" i="39"/>
  <c r="BM42" i="39"/>
  <c r="BL42" i="39"/>
  <c r="BK42" i="39"/>
  <c r="BJ42" i="39"/>
  <c r="BI42" i="39"/>
  <c r="BH42" i="39"/>
  <c r="BG42" i="39"/>
  <c r="BF42" i="39"/>
  <c r="BE42" i="39"/>
  <c r="BD42" i="39"/>
  <c r="BC42" i="39"/>
  <c r="BB42" i="39"/>
  <c r="BA42" i="39"/>
  <c r="AZ42" i="39"/>
  <c r="AY42" i="39"/>
  <c r="AX42" i="39"/>
  <c r="AW42" i="39"/>
  <c r="AV42" i="39"/>
  <c r="AU42" i="39"/>
  <c r="AT42" i="39"/>
  <c r="AS42" i="39"/>
  <c r="AR42" i="39"/>
  <c r="AQ42" i="39"/>
  <c r="AP42" i="39"/>
  <c r="AO42" i="39"/>
  <c r="AN42" i="39"/>
  <c r="AM42" i="39"/>
  <c r="BP40" i="39"/>
  <c r="BO40" i="39"/>
  <c r="BN40" i="39"/>
  <c r="BM40" i="39"/>
  <c r="BL40" i="39"/>
  <c r="BK40" i="39"/>
  <c r="BJ40" i="39"/>
  <c r="BI40" i="39"/>
  <c r="BH40" i="39"/>
  <c r="BG40" i="39"/>
  <c r="BF40" i="39"/>
  <c r="BE40" i="39"/>
  <c r="BD40" i="39"/>
  <c r="BC40" i="39"/>
  <c r="BB40" i="39"/>
  <c r="BA40" i="39"/>
  <c r="AZ40" i="39"/>
  <c r="AY40" i="39"/>
  <c r="AX40" i="39"/>
  <c r="AW40" i="39"/>
  <c r="AV40" i="39"/>
  <c r="AU40" i="39"/>
  <c r="AT40" i="39"/>
  <c r="AS40" i="39"/>
  <c r="AR40" i="39"/>
  <c r="AQ40" i="39"/>
  <c r="AP40" i="39"/>
  <c r="AO40" i="39"/>
  <c r="AN40" i="39"/>
  <c r="AM40" i="39"/>
  <c r="CH38" i="39"/>
  <c r="CG38" i="39"/>
  <c r="CF38" i="39"/>
  <c r="CE38" i="39"/>
  <c r="CD38" i="39"/>
  <c r="CC38" i="39"/>
  <c r="CB38" i="39"/>
  <c r="CA38" i="39"/>
  <c r="BL92" i="39" s="1"/>
  <c r="BZ38" i="39"/>
  <c r="BY38" i="39"/>
  <c r="BX38" i="39"/>
  <c r="BW38" i="39"/>
  <c r="BV38" i="39"/>
  <c r="BP38" i="39"/>
  <c r="BO38" i="39"/>
  <c r="BN38" i="39"/>
  <c r="BM38" i="39"/>
  <c r="BL38" i="39"/>
  <c r="BK38" i="39"/>
  <c r="BJ38" i="39"/>
  <c r="BI38" i="39"/>
  <c r="BH38" i="39"/>
  <c r="BG38" i="39"/>
  <c r="BF38" i="39"/>
  <c r="BE38" i="39"/>
  <c r="BD38" i="39"/>
  <c r="BC38" i="39"/>
  <c r="BB38" i="39"/>
  <c r="BA38" i="39"/>
  <c r="AZ38" i="39"/>
  <c r="AY38" i="39"/>
  <c r="AX38" i="39"/>
  <c r="AW38" i="39"/>
  <c r="AV38" i="39"/>
  <c r="AU38" i="39"/>
  <c r="AT38" i="39"/>
  <c r="AS38" i="39"/>
  <c r="AR38" i="39"/>
  <c r="AQ38" i="39"/>
  <c r="AP38" i="39"/>
  <c r="AO38" i="39"/>
  <c r="AN38" i="39"/>
  <c r="AM38" i="39"/>
  <c r="BP36" i="39"/>
  <c r="BO36" i="39"/>
  <c r="BN36" i="39"/>
  <c r="BM36" i="39"/>
  <c r="BL36" i="39"/>
  <c r="BK36" i="39"/>
  <c r="BJ36" i="39"/>
  <c r="BI36" i="39"/>
  <c r="BH36" i="39"/>
  <c r="BG36" i="39"/>
  <c r="BF36" i="39"/>
  <c r="BE36" i="39"/>
  <c r="BD36" i="39"/>
  <c r="BC36" i="39"/>
  <c r="BB36" i="39"/>
  <c r="BA36" i="39"/>
  <c r="AZ36" i="39"/>
  <c r="AY36" i="39"/>
  <c r="AX36" i="39"/>
  <c r="AW36" i="39"/>
  <c r="AV36" i="39"/>
  <c r="AU36" i="39"/>
  <c r="AT36" i="39"/>
  <c r="AS36" i="39"/>
  <c r="AR36" i="39"/>
  <c r="AQ36" i="39"/>
  <c r="AP36" i="39"/>
  <c r="AO36" i="39"/>
  <c r="AN36" i="39"/>
  <c r="AM36" i="39"/>
  <c r="BP34" i="39"/>
  <c r="BO34" i="39"/>
  <c r="BN34" i="39"/>
  <c r="BM34" i="39"/>
  <c r="BL34" i="39"/>
  <c r="BK34" i="39"/>
  <c r="BJ34" i="39"/>
  <c r="BI34" i="39"/>
  <c r="BH34" i="39"/>
  <c r="BG34" i="39"/>
  <c r="BF34" i="39"/>
  <c r="BE34" i="39"/>
  <c r="BD34" i="39"/>
  <c r="BC34" i="39"/>
  <c r="BB34" i="39"/>
  <c r="BA34" i="39"/>
  <c r="AZ34" i="39"/>
  <c r="AY34" i="39"/>
  <c r="AX34" i="39"/>
  <c r="AW34" i="39"/>
  <c r="AV34" i="39"/>
  <c r="AU34" i="39"/>
  <c r="AT34" i="39"/>
  <c r="AS34" i="39"/>
  <c r="AR34" i="39"/>
  <c r="AQ34" i="39"/>
  <c r="AP34" i="39"/>
  <c r="AO34" i="39"/>
  <c r="AN34" i="39"/>
  <c r="AM34" i="39"/>
  <c r="BP32" i="39"/>
  <c r="BO32" i="39"/>
  <c r="BN32" i="39"/>
  <c r="BM32" i="39"/>
  <c r="BL32" i="39"/>
  <c r="BK32" i="39"/>
  <c r="BJ32" i="39"/>
  <c r="BI32" i="39"/>
  <c r="BH32" i="39"/>
  <c r="BG32" i="39"/>
  <c r="BF32" i="39"/>
  <c r="BE32" i="39"/>
  <c r="BD32" i="39"/>
  <c r="BC32" i="39"/>
  <c r="BB32" i="39"/>
  <c r="BA32" i="39"/>
  <c r="AZ32" i="39"/>
  <c r="AY32" i="39"/>
  <c r="AX32" i="39"/>
  <c r="AW32" i="39"/>
  <c r="AV32" i="39"/>
  <c r="AU32" i="39"/>
  <c r="AT32" i="39"/>
  <c r="AS32" i="39"/>
  <c r="AR32" i="39"/>
  <c r="AQ32" i="39"/>
  <c r="AP32" i="39"/>
  <c r="AO32" i="39"/>
  <c r="AN32" i="39"/>
  <c r="AM32" i="39"/>
  <c r="BY30" i="39"/>
  <c r="BX30" i="39"/>
  <c r="BW30" i="39"/>
  <c r="BV30" i="39"/>
  <c r="BP30" i="39"/>
  <c r="BO30" i="39"/>
  <c r="BN30" i="39"/>
  <c r="BN92" i="39" s="1"/>
  <c r="BM30" i="39"/>
  <c r="BL30" i="39"/>
  <c r="BK30" i="39"/>
  <c r="BJ30" i="39"/>
  <c r="BI30" i="39"/>
  <c r="BH30" i="39"/>
  <c r="BG30" i="39"/>
  <c r="BF30" i="39"/>
  <c r="BF92" i="39" s="1"/>
  <c r="F193" i="39" s="1"/>
  <c r="BE30" i="39"/>
  <c r="BD30" i="39"/>
  <c r="BC30" i="39"/>
  <c r="BB30" i="39"/>
  <c r="BA30" i="39"/>
  <c r="AZ30" i="39"/>
  <c r="AY30" i="39"/>
  <c r="AX30" i="39"/>
  <c r="AX92" i="39" s="1"/>
  <c r="F204" i="39" s="1"/>
  <c r="AW30" i="39"/>
  <c r="AV30" i="39"/>
  <c r="AU30" i="39"/>
  <c r="AT30" i="39"/>
  <c r="AS30" i="39"/>
  <c r="AR30" i="39"/>
  <c r="AQ30" i="39"/>
  <c r="AP30" i="39"/>
  <c r="AO30" i="39"/>
  <c r="AN30" i="39"/>
  <c r="AM30" i="39"/>
  <c r="BV29" i="39"/>
  <c r="BY28" i="39"/>
  <c r="BX28" i="39"/>
  <c r="BW28" i="39"/>
  <c r="BV28" i="39"/>
  <c r="BP28" i="39"/>
  <c r="BO28" i="39"/>
  <c r="BN28" i="39"/>
  <c r="BM28" i="39"/>
  <c r="BL28" i="39"/>
  <c r="BK28" i="39"/>
  <c r="BJ28" i="39"/>
  <c r="BI28" i="39"/>
  <c r="BH28" i="39"/>
  <c r="BG28" i="39"/>
  <c r="BF28" i="39"/>
  <c r="BE28" i="39"/>
  <c r="BD28" i="39"/>
  <c r="BC28" i="39"/>
  <c r="BB28" i="39"/>
  <c r="BA28" i="39"/>
  <c r="AZ28" i="39"/>
  <c r="AY28" i="39"/>
  <c r="AX28" i="39"/>
  <c r="AW28" i="39"/>
  <c r="AV28" i="39"/>
  <c r="AU28" i="39"/>
  <c r="AT28" i="39"/>
  <c r="AS28" i="39"/>
  <c r="AR28" i="39"/>
  <c r="AQ28" i="39"/>
  <c r="AP28" i="39"/>
  <c r="AO28" i="39"/>
  <c r="AN28" i="39"/>
  <c r="AM28" i="39"/>
  <c r="BV27" i="39"/>
  <c r="BY26" i="39"/>
  <c r="BY32" i="39" s="1"/>
  <c r="AP92" i="39" s="1"/>
  <c r="U6" i="39" s="1"/>
  <c r="BX26" i="39"/>
  <c r="BX32" i="39" s="1"/>
  <c r="BW26" i="39"/>
  <c r="BW32" i="39" s="1"/>
  <c r="BV26" i="39"/>
  <c r="BV32" i="39" s="1"/>
  <c r="BP26" i="39"/>
  <c r="BO26" i="39"/>
  <c r="BN26" i="39"/>
  <c r="BM26" i="39"/>
  <c r="BL26" i="39"/>
  <c r="BK26" i="39"/>
  <c r="BJ26" i="39"/>
  <c r="BI26" i="39"/>
  <c r="BH26" i="39"/>
  <c r="BG26" i="39"/>
  <c r="BF26" i="39"/>
  <c r="BE26" i="39"/>
  <c r="BD26" i="39"/>
  <c r="BC26" i="39"/>
  <c r="BB26" i="39"/>
  <c r="BA26" i="39"/>
  <c r="AZ26" i="39"/>
  <c r="AY26" i="39"/>
  <c r="AX26" i="39"/>
  <c r="AW26" i="39"/>
  <c r="AV26" i="39"/>
  <c r="AU26" i="39"/>
  <c r="AT26" i="39"/>
  <c r="AS26" i="39"/>
  <c r="AR26" i="39"/>
  <c r="AQ26" i="39"/>
  <c r="AP26" i="39"/>
  <c r="AO26" i="39"/>
  <c r="AN26" i="39"/>
  <c r="AM26" i="39"/>
  <c r="BP24" i="39"/>
  <c r="BO24" i="39"/>
  <c r="BN24" i="39"/>
  <c r="BM24" i="39"/>
  <c r="BL24" i="39"/>
  <c r="BK24" i="39"/>
  <c r="BJ24" i="39"/>
  <c r="BI24" i="39"/>
  <c r="BH24" i="39"/>
  <c r="BG24" i="39"/>
  <c r="BF24" i="39"/>
  <c r="BE24" i="39"/>
  <c r="BD24" i="39"/>
  <c r="BC24" i="39"/>
  <c r="BB24" i="39"/>
  <c r="BA24" i="39"/>
  <c r="AZ24" i="39"/>
  <c r="AY24" i="39"/>
  <c r="AX24" i="39"/>
  <c r="AW24" i="39"/>
  <c r="AV24" i="39"/>
  <c r="AU24" i="39"/>
  <c r="AT24" i="39"/>
  <c r="AS24" i="39"/>
  <c r="AR24" i="39"/>
  <c r="AQ24" i="39"/>
  <c r="AP24" i="39"/>
  <c r="AO24" i="39"/>
  <c r="AN24" i="39"/>
  <c r="AM24" i="39"/>
  <c r="BP22" i="39"/>
  <c r="BO22" i="39"/>
  <c r="BN22" i="39"/>
  <c r="BM22" i="39"/>
  <c r="BL22" i="39"/>
  <c r="BK22" i="39"/>
  <c r="BJ22" i="39"/>
  <c r="BI22" i="39"/>
  <c r="BH22" i="39"/>
  <c r="BG22" i="39"/>
  <c r="BF22" i="39"/>
  <c r="BE22" i="39"/>
  <c r="BD22" i="39"/>
  <c r="BC22" i="39"/>
  <c r="BB22" i="39"/>
  <c r="BA22" i="39"/>
  <c r="AZ22" i="39"/>
  <c r="AY22" i="39"/>
  <c r="AX22" i="39"/>
  <c r="AW22" i="39"/>
  <c r="AV22" i="39"/>
  <c r="AU22" i="39"/>
  <c r="AT22" i="39"/>
  <c r="AS22" i="39"/>
  <c r="AR22" i="39"/>
  <c r="AQ22" i="39"/>
  <c r="AP22" i="39"/>
  <c r="AO22" i="39"/>
  <c r="AN22" i="39"/>
  <c r="AM22" i="39"/>
  <c r="BV20" i="39"/>
  <c r="BP20" i="39"/>
  <c r="BO20" i="39"/>
  <c r="BN20" i="39"/>
  <c r="BM20" i="39"/>
  <c r="BL20" i="39"/>
  <c r="BK20" i="39"/>
  <c r="BJ20" i="39"/>
  <c r="BI20" i="39"/>
  <c r="BH20" i="39"/>
  <c r="BG20" i="39"/>
  <c r="BF20" i="39"/>
  <c r="BE20" i="39"/>
  <c r="BD20" i="39"/>
  <c r="BC20" i="39"/>
  <c r="BB20" i="39"/>
  <c r="BA20" i="39"/>
  <c r="AZ20" i="39"/>
  <c r="AY20" i="39"/>
  <c r="AX20" i="39"/>
  <c r="AW20" i="39"/>
  <c r="AV20" i="39"/>
  <c r="AU20" i="39"/>
  <c r="AT20" i="39"/>
  <c r="AS20" i="39"/>
  <c r="AR20" i="39"/>
  <c r="AQ20" i="39"/>
  <c r="AP20" i="39"/>
  <c r="AO20" i="39"/>
  <c r="AN20" i="39"/>
  <c r="AM20" i="39"/>
  <c r="BP18" i="39"/>
  <c r="BO18" i="39"/>
  <c r="BN18" i="39"/>
  <c r="BM18" i="39"/>
  <c r="BL18" i="39"/>
  <c r="BK18" i="39"/>
  <c r="BJ18" i="39"/>
  <c r="BI18" i="39"/>
  <c r="BH18" i="39"/>
  <c r="BG18" i="39"/>
  <c r="BF18" i="39"/>
  <c r="BE18" i="39"/>
  <c r="BD18" i="39"/>
  <c r="BC18" i="39"/>
  <c r="BB18" i="39"/>
  <c r="BA18" i="39"/>
  <c r="AZ18" i="39"/>
  <c r="AY18" i="39"/>
  <c r="AX18" i="39"/>
  <c r="AW18" i="39"/>
  <c r="AV18" i="39"/>
  <c r="AU18" i="39"/>
  <c r="AT18" i="39"/>
  <c r="AS18" i="39"/>
  <c r="AR18" i="39"/>
  <c r="AQ18" i="39"/>
  <c r="AP18" i="39"/>
  <c r="AO18" i="39"/>
  <c r="AN18" i="39"/>
  <c r="AM18" i="39"/>
  <c r="BP16" i="39"/>
  <c r="BO16" i="39"/>
  <c r="BO92" i="39" s="1"/>
  <c r="BN16" i="39"/>
  <c r="BM16" i="39"/>
  <c r="BL16" i="39"/>
  <c r="BK16" i="39"/>
  <c r="BJ16" i="39"/>
  <c r="BJ92" i="39" s="1"/>
  <c r="F195" i="39" s="1"/>
  <c r="BI16" i="39"/>
  <c r="BH16" i="39"/>
  <c r="BG16" i="39"/>
  <c r="BF16" i="39"/>
  <c r="BE16" i="39"/>
  <c r="BD16" i="39"/>
  <c r="BD92" i="39" s="1"/>
  <c r="F203" i="39" s="1"/>
  <c r="BC16" i="39"/>
  <c r="BB16" i="39"/>
  <c r="BB92" i="39" s="1"/>
  <c r="F192" i="39" s="1"/>
  <c r="BA16" i="39"/>
  <c r="AZ16" i="39"/>
  <c r="AY16" i="39"/>
  <c r="AX16" i="39"/>
  <c r="AW16" i="39"/>
  <c r="AV16" i="39"/>
  <c r="AU16" i="39"/>
  <c r="AT16" i="39"/>
  <c r="AT92" i="39" s="1"/>
  <c r="U8" i="39" s="1"/>
  <c r="AP8" i="39" s="1"/>
  <c r="AS16" i="39"/>
  <c r="AS92" i="39" s="1"/>
  <c r="AR16" i="39"/>
  <c r="AQ16" i="39"/>
  <c r="AP16" i="39"/>
  <c r="AO16" i="39"/>
  <c r="AN16" i="39"/>
  <c r="AM16" i="39"/>
  <c r="D277" i="38"/>
  <c r="D276" i="38"/>
  <c r="D275" i="38"/>
  <c r="B275" i="38"/>
  <c r="Q273" i="38"/>
  <c r="O273" i="38"/>
  <c r="M273" i="38"/>
  <c r="AZ272" i="38"/>
  <c r="AY272" i="38"/>
  <c r="AW272" i="38"/>
  <c r="AV272" i="38"/>
  <c r="AN272" i="38"/>
  <c r="Q272" i="38"/>
  <c r="O272" i="38"/>
  <c r="M272" i="38"/>
  <c r="AZ271" i="38"/>
  <c r="AY271" i="38"/>
  <c r="AW271" i="38"/>
  <c r="AV271" i="38"/>
  <c r="Q271" i="38"/>
  <c r="O271" i="38"/>
  <c r="M271" i="38"/>
  <c r="AZ270" i="38"/>
  <c r="AY270" i="38"/>
  <c r="AW270" i="38"/>
  <c r="AV270" i="38"/>
  <c r="AN270" i="38"/>
  <c r="Q270" i="38"/>
  <c r="O270" i="38"/>
  <c r="M270" i="38"/>
  <c r="AZ269" i="38"/>
  <c r="AY269" i="38"/>
  <c r="AW269" i="38"/>
  <c r="AV269" i="38"/>
  <c r="Q269" i="38"/>
  <c r="O269" i="38"/>
  <c r="M269" i="38"/>
  <c r="AZ268" i="38"/>
  <c r="AY268" i="38"/>
  <c r="AW268" i="38"/>
  <c r="AV268" i="38"/>
  <c r="AN268" i="38"/>
  <c r="Q268" i="38"/>
  <c r="O268" i="38"/>
  <c r="M268" i="38"/>
  <c r="AZ267" i="38"/>
  <c r="AY267" i="38"/>
  <c r="AW267" i="38"/>
  <c r="AV267" i="38"/>
  <c r="Q267" i="38"/>
  <c r="O267" i="38"/>
  <c r="M267" i="38"/>
  <c r="AZ266" i="38"/>
  <c r="AY266" i="38"/>
  <c r="AW266" i="38"/>
  <c r="AV266" i="38"/>
  <c r="AN266" i="38"/>
  <c r="Q266" i="38"/>
  <c r="O266" i="38"/>
  <c r="M266" i="38"/>
  <c r="AZ265" i="38"/>
  <c r="AY265" i="38"/>
  <c r="AW265" i="38"/>
  <c r="AV265" i="38"/>
  <c r="Q265" i="38"/>
  <c r="O265" i="38"/>
  <c r="M265" i="38"/>
  <c r="AZ264" i="38"/>
  <c r="AY264" i="38"/>
  <c r="AW264" i="38"/>
  <c r="AV264" i="38"/>
  <c r="AN264" i="38"/>
  <c r="Q264" i="38"/>
  <c r="O264" i="38"/>
  <c r="M264" i="38"/>
  <c r="AZ263" i="38"/>
  <c r="AY263" i="38"/>
  <c r="AW263" i="38"/>
  <c r="AV263" i="38"/>
  <c r="Q263" i="38"/>
  <c r="O263" i="38"/>
  <c r="M263" i="38"/>
  <c r="AZ262" i="38"/>
  <c r="AY262" i="38"/>
  <c r="AW262" i="38"/>
  <c r="AV262" i="38"/>
  <c r="AN262" i="38"/>
  <c r="Q262" i="38"/>
  <c r="O262" i="38"/>
  <c r="M262" i="38"/>
  <c r="AZ261" i="38"/>
  <c r="AY261" i="38"/>
  <c r="AW261" i="38"/>
  <c r="Q261" i="38"/>
  <c r="O261" i="38"/>
  <c r="M261" i="38"/>
  <c r="AZ260" i="38"/>
  <c r="AV260" i="38"/>
  <c r="AN260" i="38"/>
  <c r="Q260" i="38"/>
  <c r="O260" i="38"/>
  <c r="M260" i="38"/>
  <c r="AZ259" i="38"/>
  <c r="AV259" i="38"/>
  <c r="Q259" i="38"/>
  <c r="O259" i="38"/>
  <c r="M259" i="38"/>
  <c r="AZ258" i="38"/>
  <c r="AN258" i="38"/>
  <c r="Q258" i="38"/>
  <c r="O258" i="38"/>
  <c r="M258" i="38"/>
  <c r="AZ257" i="38"/>
  <c r="AY257" i="38"/>
  <c r="Q257" i="38"/>
  <c r="O257" i="38"/>
  <c r="M257" i="38"/>
  <c r="AZ256" i="38"/>
  <c r="AN256" i="38"/>
  <c r="Q256" i="38"/>
  <c r="O256" i="38"/>
  <c r="M256" i="38"/>
  <c r="AZ255" i="38"/>
  <c r="AY255" i="38"/>
  <c r="AW255" i="38"/>
  <c r="Q255" i="38"/>
  <c r="O255" i="38"/>
  <c r="M255" i="38"/>
  <c r="AZ254" i="38"/>
  <c r="AW254" i="38"/>
  <c r="AN254" i="38"/>
  <c r="Q254" i="38"/>
  <c r="O254" i="38"/>
  <c r="M254" i="38"/>
  <c r="AZ253" i="38"/>
  <c r="AY253" i="38"/>
  <c r="AW253" i="38"/>
  <c r="AV253" i="38"/>
  <c r="Q253" i="38"/>
  <c r="O253" i="38"/>
  <c r="M253" i="38"/>
  <c r="AZ252" i="38"/>
  <c r="AY252" i="38"/>
  <c r="AW252" i="38"/>
  <c r="AV252" i="38"/>
  <c r="AN252" i="38"/>
  <c r="Q252" i="38"/>
  <c r="O252" i="38"/>
  <c r="M252" i="38"/>
  <c r="AZ251" i="38"/>
  <c r="AY251" i="38"/>
  <c r="AW251" i="38"/>
  <c r="AV251" i="38"/>
  <c r="Q251" i="38"/>
  <c r="O251" i="38"/>
  <c r="M251" i="38"/>
  <c r="AZ250" i="38"/>
  <c r="AY250" i="38"/>
  <c r="AW250" i="38"/>
  <c r="AV250" i="38"/>
  <c r="AN250" i="38"/>
  <c r="Q250" i="38"/>
  <c r="O250" i="38"/>
  <c r="M250" i="38"/>
  <c r="AZ249" i="38"/>
  <c r="AY249" i="38"/>
  <c r="AW249" i="38"/>
  <c r="AV249" i="38"/>
  <c r="Q249" i="38"/>
  <c r="O249" i="38"/>
  <c r="M249" i="38"/>
  <c r="AZ248" i="38"/>
  <c r="AY248" i="38"/>
  <c r="AW248" i="38"/>
  <c r="AV248" i="38"/>
  <c r="AN248" i="38"/>
  <c r="Q248" i="38"/>
  <c r="O248" i="38"/>
  <c r="M248" i="38"/>
  <c r="AZ247" i="38"/>
  <c r="AY247" i="38"/>
  <c r="AW247" i="38"/>
  <c r="AV247" i="38"/>
  <c r="Q247" i="38"/>
  <c r="O247" i="38"/>
  <c r="M247" i="38"/>
  <c r="AZ246" i="38"/>
  <c r="AY246" i="38"/>
  <c r="AW246" i="38"/>
  <c r="AV246" i="38"/>
  <c r="AN246" i="38"/>
  <c r="Q246" i="38"/>
  <c r="O246" i="38"/>
  <c r="M246" i="38"/>
  <c r="AZ245" i="38"/>
  <c r="AY245" i="38"/>
  <c r="AW245" i="38"/>
  <c r="AV245" i="38"/>
  <c r="Q245" i="38"/>
  <c r="O245" i="38"/>
  <c r="M245" i="38"/>
  <c r="AZ244" i="38"/>
  <c r="AY244" i="38"/>
  <c r="AW244" i="38"/>
  <c r="AV244" i="38"/>
  <c r="AN244" i="38"/>
  <c r="Q244" i="38"/>
  <c r="O244" i="38"/>
  <c r="M244" i="38"/>
  <c r="AZ243" i="38"/>
  <c r="AY243" i="38"/>
  <c r="AW243" i="38"/>
  <c r="AV243" i="38"/>
  <c r="Q243" i="38"/>
  <c r="O243" i="38"/>
  <c r="M243" i="38"/>
  <c r="AZ242" i="38"/>
  <c r="AY242" i="38"/>
  <c r="AW242" i="38"/>
  <c r="AV242" i="38"/>
  <c r="AN242" i="38"/>
  <c r="Q242" i="38"/>
  <c r="O242" i="38"/>
  <c r="M242" i="38"/>
  <c r="AZ241" i="38"/>
  <c r="AY241" i="38"/>
  <c r="AW241" i="38"/>
  <c r="AV241" i="38"/>
  <c r="Q241" i="38"/>
  <c r="O241" i="38"/>
  <c r="M241" i="38"/>
  <c r="AZ240" i="38"/>
  <c r="AY240" i="38"/>
  <c r="AW240" i="38"/>
  <c r="AV240" i="38"/>
  <c r="AN240" i="38"/>
  <c r="Q240" i="38"/>
  <c r="O240" i="38"/>
  <c r="M240" i="38"/>
  <c r="AZ239" i="38"/>
  <c r="AY239" i="38"/>
  <c r="AW239" i="38"/>
  <c r="AV239" i="38"/>
  <c r="Q239" i="38"/>
  <c r="O239" i="38"/>
  <c r="M239" i="38"/>
  <c r="AZ238" i="38"/>
  <c r="AY238" i="38"/>
  <c r="AW238" i="38"/>
  <c r="AV238" i="38"/>
  <c r="AN238" i="38"/>
  <c r="Q238" i="38"/>
  <c r="O238" i="38"/>
  <c r="O275" i="38" s="1"/>
  <c r="M238" i="38"/>
  <c r="AZ237" i="38"/>
  <c r="AY237" i="38"/>
  <c r="AW237" i="38"/>
  <c r="AV237" i="38"/>
  <c r="Q237" i="38"/>
  <c r="O237" i="38"/>
  <c r="M237" i="38"/>
  <c r="AZ236" i="38"/>
  <c r="AY236" i="38"/>
  <c r="AW236" i="38"/>
  <c r="AV236" i="38"/>
  <c r="AN236" i="38"/>
  <c r="Q236" i="38"/>
  <c r="O236" i="38"/>
  <c r="M236" i="38"/>
  <c r="AZ235" i="38"/>
  <c r="AY235" i="38"/>
  <c r="AW235" i="38"/>
  <c r="AV235" i="38"/>
  <c r="Q235" i="38"/>
  <c r="Q275" i="38" s="1"/>
  <c r="O235" i="38"/>
  <c r="M235" i="38"/>
  <c r="AZ234" i="38"/>
  <c r="AY234" i="38"/>
  <c r="AW234" i="38"/>
  <c r="AV234" i="38"/>
  <c r="AN234" i="38"/>
  <c r="Q234" i="38"/>
  <c r="O234" i="38"/>
  <c r="M234" i="38"/>
  <c r="AT234" i="38" s="1"/>
  <c r="H181" i="38"/>
  <c r="AV261" i="38" s="1"/>
  <c r="H180" i="38"/>
  <c r="AY260" i="38" s="1"/>
  <c r="H179" i="38"/>
  <c r="AY259" i="38" s="1"/>
  <c r="H178" i="38"/>
  <c r="AY258" i="38" s="1"/>
  <c r="H177" i="38"/>
  <c r="H176" i="38"/>
  <c r="AW257" i="38" s="1"/>
  <c r="H175" i="38"/>
  <c r="AY256" i="38" s="1"/>
  <c r="H174" i="38"/>
  <c r="H173" i="38"/>
  <c r="H172" i="38"/>
  <c r="AV255" i="38" s="1"/>
  <c r="H171" i="38"/>
  <c r="H170" i="38"/>
  <c r="AY254" i="38" s="1"/>
  <c r="H169" i="38"/>
  <c r="H168" i="38"/>
  <c r="H167" i="38"/>
  <c r="H166" i="38"/>
  <c r="H165" i="38"/>
  <c r="H164" i="38"/>
  <c r="H163" i="38"/>
  <c r="H162" i="38"/>
  <c r="H161" i="38"/>
  <c r="H160" i="38"/>
  <c r="H159" i="38"/>
  <c r="H158" i="38"/>
  <c r="H157" i="38"/>
  <c r="H156" i="38"/>
  <c r="H155" i="38"/>
  <c r="H154" i="38"/>
  <c r="H153" i="38"/>
  <c r="H152" i="38"/>
  <c r="H151" i="38"/>
  <c r="H150" i="38"/>
  <c r="H149" i="38"/>
  <c r="H148" i="38"/>
  <c r="H147" i="38"/>
  <c r="H146" i="38"/>
  <c r="H145" i="38"/>
  <c r="H144" i="38"/>
  <c r="H143" i="38"/>
  <c r="H142" i="38"/>
  <c r="H141" i="38"/>
  <c r="H140" i="38"/>
  <c r="H139" i="38"/>
  <c r="H138" i="38"/>
  <c r="H137" i="38"/>
  <c r="H136" i="38"/>
  <c r="H135" i="38"/>
  <c r="H134" i="38"/>
  <c r="H133" i="38"/>
  <c r="H132" i="38"/>
  <c r="H131" i="38"/>
  <c r="H130" i="38"/>
  <c r="H129" i="38"/>
  <c r="H128" i="38"/>
  <c r="H127" i="38"/>
  <c r="H126" i="38"/>
  <c r="H125" i="38"/>
  <c r="H124" i="38"/>
  <c r="H123" i="38"/>
  <c r="H122" i="38"/>
  <c r="H121" i="38"/>
  <c r="H120" i="38"/>
  <c r="H119" i="38"/>
  <c r="H118" i="38"/>
  <c r="H117" i="38"/>
  <c r="H116" i="38"/>
  <c r="H115" i="38"/>
  <c r="H114" i="38"/>
  <c r="H113" i="38"/>
  <c r="H112" i="38"/>
  <c r="H111" i="38"/>
  <c r="H110" i="38"/>
  <c r="H109" i="38"/>
  <c r="H108" i="38"/>
  <c r="H107" i="38"/>
  <c r="H106" i="38"/>
  <c r="H105" i="38"/>
  <c r="H104" i="38"/>
  <c r="H103" i="38"/>
  <c r="B188" i="38" s="1" a="1"/>
  <c r="B188" i="38" s="1"/>
  <c r="BR92" i="38"/>
  <c r="BU90" i="38"/>
  <c r="BT90" i="38"/>
  <c r="BS90" i="38"/>
  <c r="BR90" i="38"/>
  <c r="BQ90" i="38"/>
  <c r="BP90" i="38"/>
  <c r="BO90" i="38"/>
  <c r="BN90" i="38"/>
  <c r="BM90" i="38"/>
  <c r="BL90" i="38"/>
  <c r="BK90" i="38"/>
  <c r="AU90" i="38"/>
  <c r="AR90" i="38"/>
  <c r="AQ90" i="38"/>
  <c r="AO90" i="38"/>
  <c r="AN90" i="38"/>
  <c r="AM90" i="38"/>
  <c r="BQ89" i="38"/>
  <c r="BP89" i="38"/>
  <c r="BO89" i="38"/>
  <c r="BN89" i="38"/>
  <c r="BM89" i="38"/>
  <c r="BL89" i="38"/>
  <c r="BK89" i="38"/>
  <c r="AU89" i="38"/>
  <c r="AR89" i="38"/>
  <c r="AQ89" i="38"/>
  <c r="AO89" i="38"/>
  <c r="AN89" i="38"/>
  <c r="AM89" i="38"/>
  <c r="BU88" i="38"/>
  <c r="BT88" i="38"/>
  <c r="BS88" i="38"/>
  <c r="BS92" i="38" s="1"/>
  <c r="BR88" i="38"/>
  <c r="BQ88" i="38"/>
  <c r="BP88" i="38"/>
  <c r="BO88" i="38"/>
  <c r="BN88" i="38"/>
  <c r="BM88" i="38"/>
  <c r="BL88" i="38"/>
  <c r="BK88" i="38"/>
  <c r="AU88" i="38"/>
  <c r="AR88" i="38"/>
  <c r="AQ88" i="38"/>
  <c r="AO88" i="38"/>
  <c r="AN88" i="38"/>
  <c r="AM88" i="38"/>
  <c r="BQ87" i="38"/>
  <c r="BP87" i="38"/>
  <c r="BO87" i="38"/>
  <c r="BN87" i="38"/>
  <c r="BM87" i="38"/>
  <c r="BL87" i="38"/>
  <c r="BK87" i="38"/>
  <c r="AU87" i="38"/>
  <c r="AR87" i="38"/>
  <c r="AQ87" i="38"/>
  <c r="AO87" i="38"/>
  <c r="AN87" i="38"/>
  <c r="AM87" i="38"/>
  <c r="BU86" i="38"/>
  <c r="BU92" i="38" s="1"/>
  <c r="BT86" i="38"/>
  <c r="BT92" i="38" s="1"/>
  <c r="BS86" i="38"/>
  <c r="BR86" i="38"/>
  <c r="BQ86" i="38"/>
  <c r="BQ92" i="38" s="1"/>
  <c r="BP86" i="38"/>
  <c r="BO86" i="38"/>
  <c r="BN86" i="38"/>
  <c r="BM86" i="38"/>
  <c r="BL86" i="38"/>
  <c r="BK86" i="38"/>
  <c r="AU86" i="38"/>
  <c r="AR86" i="38"/>
  <c r="AQ86" i="38"/>
  <c r="AO86" i="38"/>
  <c r="AN86" i="38"/>
  <c r="AM86" i="38"/>
  <c r="BP82" i="38"/>
  <c r="BO82" i="38"/>
  <c r="BN82" i="38"/>
  <c r="BM82" i="38"/>
  <c r="BL82" i="38"/>
  <c r="BK82" i="38"/>
  <c r="BJ82" i="38"/>
  <c r="BI82" i="38"/>
  <c r="BH82" i="38"/>
  <c r="BG82" i="38"/>
  <c r="BF82" i="38"/>
  <c r="BE82" i="38"/>
  <c r="BD82" i="38"/>
  <c r="BC82" i="38"/>
  <c r="BB82" i="38"/>
  <c r="BA82" i="38"/>
  <c r="AZ82" i="38"/>
  <c r="AY82" i="38"/>
  <c r="AX82" i="38"/>
  <c r="AW82" i="38"/>
  <c r="AV82" i="38"/>
  <c r="AU82" i="38"/>
  <c r="AT82" i="38"/>
  <c r="AS82" i="38"/>
  <c r="AR82" i="38"/>
  <c r="AQ82" i="38"/>
  <c r="AP82" i="38"/>
  <c r="AO82" i="38"/>
  <c r="AN82" i="38"/>
  <c r="AM82" i="38"/>
  <c r="BP80" i="38"/>
  <c r="BO80" i="38"/>
  <c r="BN80" i="38"/>
  <c r="BM80" i="38"/>
  <c r="BL80" i="38"/>
  <c r="BK80" i="38"/>
  <c r="BJ80" i="38"/>
  <c r="BI80" i="38"/>
  <c r="BH80" i="38"/>
  <c r="BG80" i="38"/>
  <c r="BF80" i="38"/>
  <c r="BE80" i="38"/>
  <c r="BD80" i="38"/>
  <c r="BC80" i="38"/>
  <c r="BB80" i="38"/>
  <c r="BA80" i="38"/>
  <c r="AZ80" i="38"/>
  <c r="AY80" i="38"/>
  <c r="AX80" i="38"/>
  <c r="AW80" i="38"/>
  <c r="AV80" i="38"/>
  <c r="AU80" i="38"/>
  <c r="AT80" i="38"/>
  <c r="AS80" i="38"/>
  <c r="AR80" i="38"/>
  <c r="AQ80" i="38"/>
  <c r="AP80" i="38"/>
  <c r="AO80" i="38"/>
  <c r="AN80" i="38"/>
  <c r="AM80" i="38"/>
  <c r="BP78" i="38"/>
  <c r="BO78" i="38"/>
  <c r="BN78" i="38"/>
  <c r="BM78" i="38"/>
  <c r="BL78" i="38"/>
  <c r="BK78" i="38"/>
  <c r="BJ78" i="38"/>
  <c r="BI78" i="38"/>
  <c r="BH78" i="38"/>
  <c r="BG78" i="38"/>
  <c r="BF78" i="38"/>
  <c r="BE78" i="38"/>
  <c r="BD78" i="38"/>
  <c r="BC78" i="38"/>
  <c r="BB78" i="38"/>
  <c r="BA78" i="38"/>
  <c r="AZ78" i="38"/>
  <c r="AY78" i="38"/>
  <c r="AX78" i="38"/>
  <c r="AW78" i="38"/>
  <c r="AV78" i="38"/>
  <c r="AU78" i="38"/>
  <c r="AT78" i="38"/>
  <c r="AS78" i="38"/>
  <c r="AR78" i="38"/>
  <c r="AQ78" i="38"/>
  <c r="AP78" i="38"/>
  <c r="AO78" i="38"/>
  <c r="AN78" i="38"/>
  <c r="AM78" i="38"/>
  <c r="BP74" i="38"/>
  <c r="BO74" i="38"/>
  <c r="BN74" i="38"/>
  <c r="BM74" i="38"/>
  <c r="BL74" i="38"/>
  <c r="BK74" i="38"/>
  <c r="BJ74" i="38"/>
  <c r="BI74" i="38"/>
  <c r="BH74" i="38"/>
  <c r="BG74" i="38"/>
  <c r="BF74" i="38"/>
  <c r="BE74" i="38"/>
  <c r="BD74" i="38"/>
  <c r="BC74" i="38"/>
  <c r="BB74" i="38"/>
  <c r="BA74" i="38"/>
  <c r="AZ74" i="38"/>
  <c r="AY74" i="38"/>
  <c r="AX74" i="38"/>
  <c r="AW74" i="38"/>
  <c r="AV74" i="38"/>
  <c r="AU74" i="38"/>
  <c r="AT74" i="38"/>
  <c r="AS74" i="38"/>
  <c r="AR74" i="38"/>
  <c r="AQ74" i="38"/>
  <c r="AP74" i="38"/>
  <c r="AO74" i="38"/>
  <c r="AN74" i="38"/>
  <c r="AM74" i="38"/>
  <c r="BP72" i="38"/>
  <c r="BO72" i="38"/>
  <c r="BN72" i="38"/>
  <c r="BM72" i="38"/>
  <c r="BL72" i="38"/>
  <c r="BK72" i="38"/>
  <c r="BJ72" i="38"/>
  <c r="BI72" i="38"/>
  <c r="BH72" i="38"/>
  <c r="BG72" i="38"/>
  <c r="BF72" i="38"/>
  <c r="BE72" i="38"/>
  <c r="BD72" i="38"/>
  <c r="BC72" i="38"/>
  <c r="BB72" i="38"/>
  <c r="BA72" i="38"/>
  <c r="AZ72" i="38"/>
  <c r="AY72" i="38"/>
  <c r="AX72" i="38"/>
  <c r="AW72" i="38"/>
  <c r="AV72" i="38"/>
  <c r="AU72" i="38"/>
  <c r="AT72" i="38"/>
  <c r="AS72" i="38"/>
  <c r="AR72" i="38"/>
  <c r="AQ72" i="38"/>
  <c r="AP72" i="38"/>
  <c r="AO72" i="38"/>
  <c r="AN72" i="38"/>
  <c r="AM72" i="38"/>
  <c r="BP70" i="38"/>
  <c r="BO70" i="38"/>
  <c r="BN70" i="38"/>
  <c r="BM70" i="38"/>
  <c r="BL70" i="38"/>
  <c r="BK70" i="38"/>
  <c r="BJ70" i="38"/>
  <c r="BI70" i="38"/>
  <c r="BH70" i="38"/>
  <c r="BG70" i="38"/>
  <c r="BF70" i="38"/>
  <c r="BE70" i="38"/>
  <c r="BD70" i="38"/>
  <c r="BC70" i="38"/>
  <c r="BB70" i="38"/>
  <c r="BA70" i="38"/>
  <c r="AZ70" i="38"/>
  <c r="AY70" i="38"/>
  <c r="AX70" i="38"/>
  <c r="AW70" i="38"/>
  <c r="AV70" i="38"/>
  <c r="AU70" i="38"/>
  <c r="AT70" i="38"/>
  <c r="AS70" i="38"/>
  <c r="AR70" i="38"/>
  <c r="AQ70" i="38"/>
  <c r="AP70" i="38"/>
  <c r="AO70" i="38"/>
  <c r="AN70" i="38"/>
  <c r="AM70" i="38"/>
  <c r="BP66" i="38"/>
  <c r="BO66" i="38"/>
  <c r="BN66" i="38"/>
  <c r="BM66" i="38"/>
  <c r="BL66" i="38"/>
  <c r="BK66" i="38"/>
  <c r="BJ66" i="38"/>
  <c r="BI66" i="38"/>
  <c r="BH66" i="38"/>
  <c r="BG66" i="38"/>
  <c r="BF66" i="38"/>
  <c r="BE66" i="38"/>
  <c r="BD66" i="38"/>
  <c r="BC66" i="38"/>
  <c r="BB66" i="38"/>
  <c r="BA66" i="38"/>
  <c r="AZ66" i="38"/>
  <c r="AY66" i="38"/>
  <c r="AX66" i="38"/>
  <c r="AW66" i="38"/>
  <c r="AV66" i="38"/>
  <c r="AU66" i="38"/>
  <c r="AT66" i="38"/>
  <c r="AS66" i="38"/>
  <c r="AR66" i="38"/>
  <c r="AQ66" i="38"/>
  <c r="AP66" i="38"/>
  <c r="AO66" i="38"/>
  <c r="AN66" i="38"/>
  <c r="AM66" i="38"/>
  <c r="BP64" i="38"/>
  <c r="BO64" i="38"/>
  <c r="BN64" i="38"/>
  <c r="BM64" i="38"/>
  <c r="BL64" i="38"/>
  <c r="BK64" i="38"/>
  <c r="BJ64" i="38"/>
  <c r="BI64" i="38"/>
  <c r="BH64" i="38"/>
  <c r="BG64" i="38"/>
  <c r="BF64" i="38"/>
  <c r="BE64" i="38"/>
  <c r="BD64" i="38"/>
  <c r="BC64" i="38"/>
  <c r="BB64" i="38"/>
  <c r="BA64" i="38"/>
  <c r="AZ64" i="38"/>
  <c r="AY64" i="38"/>
  <c r="AX64" i="38"/>
  <c r="AW64" i="38"/>
  <c r="AV64" i="38"/>
  <c r="AU64" i="38"/>
  <c r="AT64" i="38"/>
  <c r="AS64" i="38"/>
  <c r="AR64" i="38"/>
  <c r="AQ64" i="38"/>
  <c r="AP64" i="38"/>
  <c r="AO64" i="38"/>
  <c r="AN64" i="38"/>
  <c r="AM64" i="38"/>
  <c r="BP62" i="38"/>
  <c r="BO62" i="38"/>
  <c r="BN62" i="38"/>
  <c r="BM62" i="38"/>
  <c r="BL62" i="38"/>
  <c r="BK62" i="38"/>
  <c r="BJ62" i="38"/>
  <c r="BI62" i="38"/>
  <c r="BH62" i="38"/>
  <c r="BG62" i="38"/>
  <c r="BF62" i="38"/>
  <c r="BE62" i="38"/>
  <c r="BD62" i="38"/>
  <c r="BC62" i="38"/>
  <c r="BB62" i="38"/>
  <c r="BA62" i="38"/>
  <c r="AZ62" i="38"/>
  <c r="AY62" i="38"/>
  <c r="AX62" i="38"/>
  <c r="AW62" i="38"/>
  <c r="AV62" i="38"/>
  <c r="AU62" i="38"/>
  <c r="AT62" i="38"/>
  <c r="AS62" i="38"/>
  <c r="AR62" i="38"/>
  <c r="AQ62" i="38"/>
  <c r="AP62" i="38"/>
  <c r="AO62" i="38"/>
  <c r="AN62" i="38"/>
  <c r="AM62" i="38"/>
  <c r="BP60" i="38"/>
  <c r="BO60" i="38"/>
  <c r="BN60" i="38"/>
  <c r="BM60" i="38"/>
  <c r="BL60" i="38"/>
  <c r="BK60" i="38"/>
  <c r="BJ60" i="38"/>
  <c r="BI60" i="38"/>
  <c r="BH60" i="38"/>
  <c r="BG60" i="38"/>
  <c r="BF60" i="38"/>
  <c r="BE60" i="38"/>
  <c r="BD60" i="38"/>
  <c r="BC60" i="38"/>
  <c r="BB60" i="38"/>
  <c r="BA60" i="38"/>
  <c r="AZ60" i="38"/>
  <c r="AY60" i="38"/>
  <c r="AX60" i="38"/>
  <c r="AW60" i="38"/>
  <c r="AV60" i="38"/>
  <c r="AU60" i="38"/>
  <c r="AT60" i="38"/>
  <c r="AS60" i="38"/>
  <c r="AR60" i="38"/>
  <c r="AQ60" i="38"/>
  <c r="AP60" i="38"/>
  <c r="AO60" i="38"/>
  <c r="AN60" i="38"/>
  <c r="AM60" i="38"/>
  <c r="BP58" i="38"/>
  <c r="BO58" i="38"/>
  <c r="BN58" i="38"/>
  <c r="BM58" i="38"/>
  <c r="BL58" i="38"/>
  <c r="BK58" i="38"/>
  <c r="BJ58" i="38"/>
  <c r="BI58" i="38"/>
  <c r="BH58" i="38"/>
  <c r="BG58" i="38"/>
  <c r="BF58" i="38"/>
  <c r="BE58" i="38"/>
  <c r="BD58" i="38"/>
  <c r="BC58" i="38"/>
  <c r="BB58" i="38"/>
  <c r="BA58" i="38"/>
  <c r="AZ58" i="38"/>
  <c r="AY58" i="38"/>
  <c r="AX58" i="38"/>
  <c r="AW58" i="38"/>
  <c r="AV58" i="38"/>
  <c r="AU58" i="38"/>
  <c r="AT58" i="38"/>
  <c r="AS58" i="38"/>
  <c r="AR58" i="38"/>
  <c r="AQ58" i="38"/>
  <c r="AP58" i="38"/>
  <c r="AO58" i="38"/>
  <c r="AN58" i="38"/>
  <c r="AM58" i="38"/>
  <c r="BP56" i="38"/>
  <c r="BO56" i="38"/>
  <c r="BN56" i="38"/>
  <c r="BM56" i="38"/>
  <c r="BL56" i="38"/>
  <c r="BK56" i="38"/>
  <c r="BJ56" i="38"/>
  <c r="BI56" i="38"/>
  <c r="BH56" i="38"/>
  <c r="BG56" i="38"/>
  <c r="BF56" i="38"/>
  <c r="BE56" i="38"/>
  <c r="BD56" i="38"/>
  <c r="BC56" i="38"/>
  <c r="BB56" i="38"/>
  <c r="BA56" i="38"/>
  <c r="AZ56" i="38"/>
  <c r="AY56" i="38"/>
  <c r="AX56" i="38"/>
  <c r="AW56" i="38"/>
  <c r="AV56" i="38"/>
  <c r="AU56" i="38"/>
  <c r="AT56" i="38"/>
  <c r="AS56" i="38"/>
  <c r="AR56" i="38"/>
  <c r="AQ56" i="38"/>
  <c r="AP56" i="38"/>
  <c r="AO56" i="38"/>
  <c r="AN56" i="38"/>
  <c r="AM56" i="38"/>
  <c r="BP54" i="38"/>
  <c r="BO54" i="38"/>
  <c r="BN54" i="38"/>
  <c r="BM54" i="38"/>
  <c r="BL54" i="38"/>
  <c r="BK54" i="38"/>
  <c r="BJ54" i="38"/>
  <c r="BI54" i="38"/>
  <c r="BH54" i="38"/>
  <c r="BG54" i="38"/>
  <c r="BF54" i="38"/>
  <c r="BE54" i="38"/>
  <c r="BD54" i="38"/>
  <c r="BC54" i="38"/>
  <c r="BB54" i="38"/>
  <c r="BA54" i="38"/>
  <c r="AZ54" i="38"/>
  <c r="AY54" i="38"/>
  <c r="AX54" i="38"/>
  <c r="AW54" i="38"/>
  <c r="AV54" i="38"/>
  <c r="AU54" i="38"/>
  <c r="AT54" i="38"/>
  <c r="AS54" i="38"/>
  <c r="AR54" i="38"/>
  <c r="AQ54" i="38"/>
  <c r="AP54" i="38"/>
  <c r="AO54" i="38"/>
  <c r="AN54" i="38"/>
  <c r="AM54" i="38"/>
  <c r="BP52" i="38"/>
  <c r="BO52" i="38"/>
  <c r="BN52" i="38"/>
  <c r="BM52" i="38"/>
  <c r="BL52" i="38"/>
  <c r="BK52" i="38"/>
  <c r="BJ52" i="38"/>
  <c r="BI52" i="38"/>
  <c r="BH52" i="38"/>
  <c r="BG52" i="38"/>
  <c r="BF52" i="38"/>
  <c r="BE52" i="38"/>
  <c r="BD52" i="38"/>
  <c r="BC52" i="38"/>
  <c r="BB52" i="38"/>
  <c r="BA52" i="38"/>
  <c r="AZ52" i="38"/>
  <c r="AY52" i="38"/>
  <c r="AX52" i="38"/>
  <c r="AW52" i="38"/>
  <c r="AV52" i="38"/>
  <c r="AU52" i="38"/>
  <c r="AT52" i="38"/>
  <c r="AS52" i="38"/>
  <c r="AR52" i="38"/>
  <c r="AQ52" i="38"/>
  <c r="AP52" i="38"/>
  <c r="AO52" i="38"/>
  <c r="AN52" i="38"/>
  <c r="AM52" i="38"/>
  <c r="BP50" i="38"/>
  <c r="BO50" i="38"/>
  <c r="BN50" i="38"/>
  <c r="BM50" i="38"/>
  <c r="BL50" i="38"/>
  <c r="BK50" i="38"/>
  <c r="BJ50" i="38"/>
  <c r="BI50" i="38"/>
  <c r="BH50" i="38"/>
  <c r="BG50" i="38"/>
  <c r="BF50" i="38"/>
  <c r="BE50" i="38"/>
  <c r="BD50" i="38"/>
  <c r="BC50" i="38"/>
  <c r="BB50" i="38"/>
  <c r="BA50" i="38"/>
  <c r="AZ50" i="38"/>
  <c r="AY50" i="38"/>
  <c r="AX50" i="38"/>
  <c r="AW50" i="38"/>
  <c r="AV50" i="38"/>
  <c r="AU50" i="38"/>
  <c r="AT50" i="38"/>
  <c r="AS50" i="38"/>
  <c r="AR50" i="38"/>
  <c r="AQ50" i="38"/>
  <c r="AP50" i="38"/>
  <c r="AO50" i="38"/>
  <c r="AN50" i="38"/>
  <c r="AM50" i="38"/>
  <c r="BP48" i="38"/>
  <c r="BO48" i="38"/>
  <c r="BN48" i="38"/>
  <c r="BM48" i="38"/>
  <c r="BL48" i="38"/>
  <c r="BK48" i="38"/>
  <c r="BJ48" i="38"/>
  <c r="BI48" i="38"/>
  <c r="BH48" i="38"/>
  <c r="BG48" i="38"/>
  <c r="BF48" i="38"/>
  <c r="BE48" i="38"/>
  <c r="BD48" i="38"/>
  <c r="BC48" i="38"/>
  <c r="BB48" i="38"/>
  <c r="BA48" i="38"/>
  <c r="AZ48" i="38"/>
  <c r="AY48" i="38"/>
  <c r="AX48" i="38"/>
  <c r="AW48" i="38"/>
  <c r="AV48" i="38"/>
  <c r="AU48" i="38"/>
  <c r="AT48" i="38"/>
  <c r="AS48" i="38"/>
  <c r="AR48" i="38"/>
  <c r="AQ48" i="38"/>
  <c r="AP48" i="38"/>
  <c r="AO48" i="38"/>
  <c r="AN48" i="38"/>
  <c r="AM48" i="38"/>
  <c r="BP46" i="38"/>
  <c r="BO46" i="38"/>
  <c r="BN46" i="38"/>
  <c r="BM46" i="38"/>
  <c r="BL46" i="38"/>
  <c r="BK46" i="38"/>
  <c r="BJ46" i="38"/>
  <c r="BI46" i="38"/>
  <c r="BH46" i="38"/>
  <c r="BG46" i="38"/>
  <c r="BF46" i="38"/>
  <c r="BE46" i="38"/>
  <c r="BD46" i="38"/>
  <c r="BC46" i="38"/>
  <c r="BB46" i="38"/>
  <c r="BA46" i="38"/>
  <c r="AZ46" i="38"/>
  <c r="AY46" i="38"/>
  <c r="AX46" i="38"/>
  <c r="AW46" i="38"/>
  <c r="AV46" i="38"/>
  <c r="AU46" i="38"/>
  <c r="AT46" i="38"/>
  <c r="AS46" i="38"/>
  <c r="AR46" i="38"/>
  <c r="AQ46" i="38"/>
  <c r="AP46" i="38"/>
  <c r="AO46" i="38"/>
  <c r="AN46" i="38"/>
  <c r="AM46" i="38"/>
  <c r="BP44" i="38"/>
  <c r="BO44" i="38"/>
  <c r="BN44" i="38"/>
  <c r="BM44" i="38"/>
  <c r="BL44" i="38"/>
  <c r="BK44" i="38"/>
  <c r="BJ44" i="38"/>
  <c r="BI44" i="38"/>
  <c r="BH44" i="38"/>
  <c r="BG44" i="38"/>
  <c r="BF44" i="38"/>
  <c r="BE44" i="38"/>
  <c r="BD44" i="38"/>
  <c r="BC44" i="38"/>
  <c r="BB44" i="38"/>
  <c r="BA44" i="38"/>
  <c r="AZ44" i="38"/>
  <c r="AY44" i="38"/>
  <c r="AX44" i="38"/>
  <c r="AW44" i="38"/>
  <c r="AV44" i="38"/>
  <c r="AU44" i="38"/>
  <c r="AT44" i="38"/>
  <c r="AS44" i="38"/>
  <c r="AR44" i="38"/>
  <c r="AQ44" i="38"/>
  <c r="AP44" i="38"/>
  <c r="AO44" i="38"/>
  <c r="AN44" i="38"/>
  <c r="AM44" i="38"/>
  <c r="BP42" i="38"/>
  <c r="BO42" i="38"/>
  <c r="BN42" i="38"/>
  <c r="BM42" i="38"/>
  <c r="BL42" i="38"/>
  <c r="BK42" i="38"/>
  <c r="BJ42" i="38"/>
  <c r="BI42" i="38"/>
  <c r="BH42" i="38"/>
  <c r="BG42" i="38"/>
  <c r="BF42" i="38"/>
  <c r="BE42" i="38"/>
  <c r="BD42" i="38"/>
  <c r="BC42" i="38"/>
  <c r="BB42" i="38"/>
  <c r="BA42" i="38"/>
  <c r="AZ42" i="38"/>
  <c r="AY42" i="38"/>
  <c r="AX42" i="38"/>
  <c r="AW42" i="38"/>
  <c r="AV42" i="38"/>
  <c r="AU42" i="38"/>
  <c r="AT42" i="38"/>
  <c r="AS42" i="38"/>
  <c r="AR42" i="38"/>
  <c r="AQ42" i="38"/>
  <c r="AP42" i="38"/>
  <c r="AO42" i="38"/>
  <c r="AN42" i="38"/>
  <c r="AM42" i="38"/>
  <c r="BP40" i="38"/>
  <c r="BO40" i="38"/>
  <c r="BN40" i="38"/>
  <c r="BM40" i="38"/>
  <c r="BL40" i="38"/>
  <c r="BK40" i="38"/>
  <c r="BJ40" i="38"/>
  <c r="BI40" i="38"/>
  <c r="BH40" i="38"/>
  <c r="BG40" i="38"/>
  <c r="BF40" i="38"/>
  <c r="BE40" i="38"/>
  <c r="BD40" i="38"/>
  <c r="BC40" i="38"/>
  <c r="BB40" i="38"/>
  <c r="BA40" i="38"/>
  <c r="AZ40" i="38"/>
  <c r="AY40" i="38"/>
  <c r="AX40" i="38"/>
  <c r="AW40" i="38"/>
  <c r="AV40" i="38"/>
  <c r="AU40" i="38"/>
  <c r="AT40" i="38"/>
  <c r="AS40" i="38"/>
  <c r="AR40" i="38"/>
  <c r="AQ40" i="38"/>
  <c r="AP40" i="38"/>
  <c r="AO40" i="38"/>
  <c r="AN40" i="38"/>
  <c r="AM40" i="38"/>
  <c r="CH38" i="38"/>
  <c r="AR92" i="38" s="1"/>
  <c r="AA4" i="38" s="1"/>
  <c r="CG38" i="38"/>
  <c r="CF38" i="38"/>
  <c r="CE38" i="38"/>
  <c r="BP92" i="38" s="1"/>
  <c r="CD38" i="38"/>
  <c r="CC38" i="38"/>
  <c r="CB38" i="38"/>
  <c r="CA38" i="38"/>
  <c r="BL92" i="38" s="1"/>
  <c r="BZ38" i="38"/>
  <c r="BY38" i="38"/>
  <c r="BX38" i="38"/>
  <c r="BW38" i="38"/>
  <c r="BV38" i="38"/>
  <c r="BP38" i="38"/>
  <c r="BO38" i="38"/>
  <c r="BN38" i="38"/>
  <c r="BM38" i="38"/>
  <c r="BL38" i="38"/>
  <c r="BK38" i="38"/>
  <c r="BJ38" i="38"/>
  <c r="BI38" i="38"/>
  <c r="BH38" i="38"/>
  <c r="BG38" i="38"/>
  <c r="BF38" i="38"/>
  <c r="BE38" i="38"/>
  <c r="BD38" i="38"/>
  <c r="BC38" i="38"/>
  <c r="BB38" i="38"/>
  <c r="BA38" i="38"/>
  <c r="AZ38" i="38"/>
  <c r="AY38" i="38"/>
  <c r="AX38" i="38"/>
  <c r="AW38" i="38"/>
  <c r="AV38" i="38"/>
  <c r="AU38" i="38"/>
  <c r="AT38" i="38"/>
  <c r="AS38" i="38"/>
  <c r="AR38" i="38"/>
  <c r="AQ38" i="38"/>
  <c r="AP38" i="38"/>
  <c r="AO38" i="38"/>
  <c r="AN38" i="38"/>
  <c r="AM38" i="38"/>
  <c r="BP36" i="38"/>
  <c r="BO36" i="38"/>
  <c r="BN36" i="38"/>
  <c r="BM36" i="38"/>
  <c r="BL36" i="38"/>
  <c r="BK36" i="38"/>
  <c r="BJ36" i="38"/>
  <c r="BI36" i="38"/>
  <c r="BH36" i="38"/>
  <c r="BG36" i="38"/>
  <c r="BF36" i="38"/>
  <c r="BE36" i="38"/>
  <c r="BD36" i="38"/>
  <c r="BC36" i="38"/>
  <c r="BB36" i="38"/>
  <c r="BA36" i="38"/>
  <c r="AZ36" i="38"/>
  <c r="AY36" i="38"/>
  <c r="AX36" i="38"/>
  <c r="AW36" i="38"/>
  <c r="AV36" i="38"/>
  <c r="AU36" i="38"/>
  <c r="AT36" i="38"/>
  <c r="AS36" i="38"/>
  <c r="AR36" i="38"/>
  <c r="AQ36" i="38"/>
  <c r="AP36" i="38"/>
  <c r="AO36" i="38"/>
  <c r="AN36" i="38"/>
  <c r="AM36" i="38"/>
  <c r="BP34" i="38"/>
  <c r="BO34" i="38"/>
  <c r="BN34" i="38"/>
  <c r="BM34" i="38"/>
  <c r="BL34" i="38"/>
  <c r="BK34" i="38"/>
  <c r="BJ34" i="38"/>
  <c r="BI34" i="38"/>
  <c r="BH34" i="38"/>
  <c r="BG34" i="38"/>
  <c r="BF34" i="38"/>
  <c r="BE34" i="38"/>
  <c r="BD34" i="38"/>
  <c r="BC34" i="38"/>
  <c r="BB34" i="38"/>
  <c r="BA34" i="38"/>
  <c r="AZ34" i="38"/>
  <c r="AY34" i="38"/>
  <c r="AX34" i="38"/>
  <c r="AW34" i="38"/>
  <c r="AV34" i="38"/>
  <c r="AU34" i="38"/>
  <c r="AT34" i="38"/>
  <c r="AS34" i="38"/>
  <c r="AR34" i="38"/>
  <c r="AQ34" i="38"/>
  <c r="AP34" i="38"/>
  <c r="AO34" i="38"/>
  <c r="AN34" i="38"/>
  <c r="AM34" i="38"/>
  <c r="BP32" i="38"/>
  <c r="BO32" i="38"/>
  <c r="BN32" i="38"/>
  <c r="BM32" i="38"/>
  <c r="BL32" i="38"/>
  <c r="BK32" i="38"/>
  <c r="BJ32" i="38"/>
  <c r="BI32" i="38"/>
  <c r="BH32" i="38"/>
  <c r="BG32" i="38"/>
  <c r="BF32" i="38"/>
  <c r="BE32" i="38"/>
  <c r="BD32" i="38"/>
  <c r="BC32" i="38"/>
  <c r="BB32" i="38"/>
  <c r="BA32" i="38"/>
  <c r="AZ32" i="38"/>
  <c r="AY32" i="38"/>
  <c r="AX32" i="38"/>
  <c r="AW32" i="38"/>
  <c r="AV32" i="38"/>
  <c r="AU32" i="38"/>
  <c r="AT32" i="38"/>
  <c r="AS32" i="38"/>
  <c r="AR32" i="38"/>
  <c r="AQ32" i="38"/>
  <c r="AP32" i="38"/>
  <c r="AO32" i="38"/>
  <c r="AN32" i="38"/>
  <c r="AM32" i="38"/>
  <c r="BY30" i="38"/>
  <c r="BX30" i="38"/>
  <c r="BW30" i="38"/>
  <c r="BV30" i="38"/>
  <c r="BP30" i="38"/>
  <c r="BO30" i="38"/>
  <c r="BN30" i="38"/>
  <c r="BM30" i="38"/>
  <c r="BL30" i="38"/>
  <c r="BK30" i="38"/>
  <c r="BJ30" i="38"/>
  <c r="BI30" i="38"/>
  <c r="BH30" i="38"/>
  <c r="BG30" i="38"/>
  <c r="BF30" i="38"/>
  <c r="BE30" i="38"/>
  <c r="BD30" i="38"/>
  <c r="BC30" i="38"/>
  <c r="BB30" i="38"/>
  <c r="BA30" i="38"/>
  <c r="AZ30" i="38"/>
  <c r="AY30" i="38"/>
  <c r="AX30" i="38"/>
  <c r="AW30" i="38"/>
  <c r="AV30" i="38"/>
  <c r="AU30" i="38"/>
  <c r="AT30" i="38"/>
  <c r="AS30" i="38"/>
  <c r="AR30" i="38"/>
  <c r="AQ30" i="38"/>
  <c r="AP30" i="38"/>
  <c r="AO30" i="38"/>
  <c r="AN30" i="38"/>
  <c r="AM30" i="38"/>
  <c r="BV29" i="38"/>
  <c r="BY28" i="38"/>
  <c r="BX28" i="38"/>
  <c r="BW28" i="38"/>
  <c r="BV28" i="38"/>
  <c r="BP28" i="38"/>
  <c r="BO28" i="38"/>
  <c r="BN28" i="38"/>
  <c r="BM28" i="38"/>
  <c r="BL28" i="38"/>
  <c r="BK28" i="38"/>
  <c r="BJ28" i="38"/>
  <c r="BI28" i="38"/>
  <c r="BH28" i="38"/>
  <c r="BG28" i="38"/>
  <c r="BF28" i="38"/>
  <c r="BE28" i="38"/>
  <c r="BD28" i="38"/>
  <c r="BC28" i="38"/>
  <c r="BB28" i="38"/>
  <c r="BA28" i="38"/>
  <c r="AZ28" i="38"/>
  <c r="AY28" i="38"/>
  <c r="AX28" i="38"/>
  <c r="AW28" i="38"/>
  <c r="AV28" i="38"/>
  <c r="AU28" i="38"/>
  <c r="AT28" i="38"/>
  <c r="AS28" i="38"/>
  <c r="AR28" i="38"/>
  <c r="AQ28" i="38"/>
  <c r="AP28" i="38"/>
  <c r="AO28" i="38"/>
  <c r="AN28" i="38"/>
  <c r="AM28" i="38"/>
  <c r="BV27" i="38"/>
  <c r="BY26" i="38"/>
  <c r="BY32" i="38" s="1"/>
  <c r="AP92" i="38" s="1"/>
  <c r="U6" i="38" s="1"/>
  <c r="BX26" i="38"/>
  <c r="BX32" i="38" s="1"/>
  <c r="BW26" i="38"/>
  <c r="BW32" i="38" s="1"/>
  <c r="BV26" i="38"/>
  <c r="BV32" i="38" s="1"/>
  <c r="BP26" i="38"/>
  <c r="BO26" i="38"/>
  <c r="BN26" i="38"/>
  <c r="BM26" i="38"/>
  <c r="BL26" i="38"/>
  <c r="BK26" i="38"/>
  <c r="BJ26" i="38"/>
  <c r="BI26" i="38"/>
  <c r="BH26" i="38"/>
  <c r="BG26" i="38"/>
  <c r="BF26" i="38"/>
  <c r="BE26" i="38"/>
  <c r="BD26" i="38"/>
  <c r="BC26" i="38"/>
  <c r="BB26" i="38"/>
  <c r="BA26" i="38"/>
  <c r="AZ26" i="38"/>
  <c r="AY26" i="38"/>
  <c r="AX26" i="38"/>
  <c r="AW26" i="38"/>
  <c r="AV26" i="38"/>
  <c r="AU26" i="38"/>
  <c r="AT26" i="38"/>
  <c r="AS26" i="38"/>
  <c r="AR26" i="38"/>
  <c r="AQ26" i="38"/>
  <c r="AP26" i="38"/>
  <c r="AO26" i="38"/>
  <c r="AN26" i="38"/>
  <c r="AM26" i="38"/>
  <c r="BP24" i="38"/>
  <c r="BO24" i="38"/>
  <c r="BN24" i="38"/>
  <c r="BN92" i="38" s="1"/>
  <c r="BM24" i="38"/>
  <c r="BL24" i="38"/>
  <c r="BK24" i="38"/>
  <c r="BJ24" i="38"/>
  <c r="BI24" i="38"/>
  <c r="BH24" i="38"/>
  <c r="BG24" i="38"/>
  <c r="BF24" i="38"/>
  <c r="BF92" i="38" s="1"/>
  <c r="F193" i="38" s="1"/>
  <c r="BE24" i="38"/>
  <c r="BD24" i="38"/>
  <c r="BC24" i="38"/>
  <c r="BB24" i="38"/>
  <c r="BA24" i="38"/>
  <c r="AZ24" i="38"/>
  <c r="AY24" i="38"/>
  <c r="AX24" i="38"/>
  <c r="AX92" i="38" s="1"/>
  <c r="F204" i="38" s="1"/>
  <c r="AW24" i="38"/>
  <c r="AV24" i="38"/>
  <c r="AU24" i="38"/>
  <c r="AT24" i="38"/>
  <c r="AS24" i="38"/>
  <c r="AR24" i="38"/>
  <c r="AQ24" i="38"/>
  <c r="AP24" i="38"/>
  <c r="AO24" i="38"/>
  <c r="AN24" i="38"/>
  <c r="AM24" i="38"/>
  <c r="BP22" i="38"/>
  <c r="BO22" i="38"/>
  <c r="BN22" i="38"/>
  <c r="BM22" i="38"/>
  <c r="BL22" i="38"/>
  <c r="BK22" i="38"/>
  <c r="BJ22" i="38"/>
  <c r="BI22" i="38"/>
  <c r="BH22" i="38"/>
  <c r="BG22" i="38"/>
  <c r="BF22" i="38"/>
  <c r="BE22" i="38"/>
  <c r="BD22" i="38"/>
  <c r="BC22" i="38"/>
  <c r="BB22" i="38"/>
  <c r="BA22" i="38"/>
  <c r="AZ22" i="38"/>
  <c r="AY22" i="38"/>
  <c r="AX22" i="38"/>
  <c r="AW22" i="38"/>
  <c r="AV22" i="38"/>
  <c r="AU22" i="38"/>
  <c r="AT22" i="38"/>
  <c r="AS22" i="38"/>
  <c r="AR22" i="38"/>
  <c r="AQ22" i="38"/>
  <c r="AP22" i="38"/>
  <c r="AO22" i="38"/>
  <c r="AN22" i="38"/>
  <c r="AM22" i="38"/>
  <c r="BV20" i="38"/>
  <c r="BP20" i="38"/>
  <c r="BO20" i="38"/>
  <c r="BN20" i="38"/>
  <c r="BM20" i="38"/>
  <c r="BL20" i="38"/>
  <c r="BK20" i="38"/>
  <c r="BJ20" i="38"/>
  <c r="BI20" i="38"/>
  <c r="BH20" i="38"/>
  <c r="BG20" i="38"/>
  <c r="BF20" i="38"/>
  <c r="BE20" i="38"/>
  <c r="BD20" i="38"/>
  <c r="BC20" i="38"/>
  <c r="BB20" i="38"/>
  <c r="BA20" i="38"/>
  <c r="AZ20" i="38"/>
  <c r="AY20" i="38"/>
  <c r="AX20" i="38"/>
  <c r="AW20" i="38"/>
  <c r="AV20" i="38"/>
  <c r="AU20" i="38"/>
  <c r="AT20" i="38"/>
  <c r="AS20" i="38"/>
  <c r="AR20" i="38"/>
  <c r="AQ20" i="38"/>
  <c r="AP20" i="38"/>
  <c r="AO20" i="38"/>
  <c r="AN20" i="38"/>
  <c r="AM20" i="38"/>
  <c r="BP18" i="38"/>
  <c r="BO18" i="38"/>
  <c r="BO92" i="38" s="1"/>
  <c r="BN18" i="38"/>
  <c r="BM18" i="38"/>
  <c r="BL18" i="38"/>
  <c r="BK18" i="38"/>
  <c r="BK92" i="38" s="1"/>
  <c r="BJ18" i="38"/>
  <c r="BJ92" i="38" s="1"/>
  <c r="F195" i="38" s="1"/>
  <c r="BI18" i="38"/>
  <c r="BH18" i="38"/>
  <c r="BG18" i="38"/>
  <c r="BG92" i="38" s="1"/>
  <c r="F205" i="38" s="1"/>
  <c r="BF18" i="38"/>
  <c r="BE18" i="38"/>
  <c r="BD18" i="38"/>
  <c r="BC18" i="38"/>
  <c r="BC92" i="38" s="1"/>
  <c r="F202" i="38" s="1"/>
  <c r="BB18" i="38"/>
  <c r="BB92" i="38" s="1"/>
  <c r="F192" i="38" s="1"/>
  <c r="BA18" i="38"/>
  <c r="AZ18" i="38"/>
  <c r="AY18" i="38"/>
  <c r="AY92" i="38" s="1"/>
  <c r="F198" i="38" s="1"/>
  <c r="AX18" i="38"/>
  <c r="AW18" i="38"/>
  <c r="AV18" i="38"/>
  <c r="AU18" i="38"/>
  <c r="AU92" i="38" s="1"/>
  <c r="AT18" i="38"/>
  <c r="AT92" i="38" s="1"/>
  <c r="U8" i="38" s="1"/>
  <c r="AP8" i="38" s="1"/>
  <c r="AS18" i="38"/>
  <c r="AR18" i="38"/>
  <c r="AQ18" i="38"/>
  <c r="AQ92" i="38" s="1"/>
  <c r="AA2" i="38" s="1"/>
  <c r="AP18" i="38"/>
  <c r="AO18" i="38"/>
  <c r="AN18" i="38"/>
  <c r="AM18" i="38"/>
  <c r="BP16" i="38"/>
  <c r="BO16" i="38"/>
  <c r="BN16" i="38"/>
  <c r="BM16" i="38"/>
  <c r="BL16" i="38"/>
  <c r="BK16" i="38"/>
  <c r="BJ16" i="38"/>
  <c r="BI16" i="38"/>
  <c r="BI92" i="38" s="1"/>
  <c r="F201" i="38" s="1"/>
  <c r="BH16" i="38"/>
  <c r="BH92" i="38" s="1"/>
  <c r="F197" i="38" s="1"/>
  <c r="BG16" i="38"/>
  <c r="BF16" i="38"/>
  <c r="BE16" i="38"/>
  <c r="BE92" i="38" s="1"/>
  <c r="F196" i="38" s="1"/>
  <c r="BD16" i="38"/>
  <c r="BD92" i="38" s="1"/>
  <c r="F203" i="38" s="1"/>
  <c r="BC16" i="38"/>
  <c r="BB16" i="38"/>
  <c r="BA16" i="38"/>
  <c r="BA92" i="38" s="1"/>
  <c r="F194" i="38" s="1"/>
  <c r="AZ16" i="38"/>
  <c r="AZ92" i="38" s="1"/>
  <c r="F200" i="38" s="1"/>
  <c r="D229" i="38" s="1"/>
  <c r="AY16" i="38"/>
  <c r="AX16" i="38"/>
  <c r="AW16" i="38"/>
  <c r="AW92" i="38" s="1"/>
  <c r="F199" i="38" s="1"/>
  <c r="AV16" i="38"/>
  <c r="AV92" i="38" s="1"/>
  <c r="F206" i="38" s="1"/>
  <c r="AU16" i="38"/>
  <c r="AT16" i="38"/>
  <c r="AS16" i="38"/>
  <c r="AS92" i="38" s="1"/>
  <c r="AR16" i="38"/>
  <c r="AQ16" i="38"/>
  <c r="AP16" i="38"/>
  <c r="AO16" i="38"/>
  <c r="AN16" i="38"/>
  <c r="AM16" i="38"/>
  <c r="D277" i="37"/>
  <c r="D276" i="37"/>
  <c r="D275" i="37"/>
  <c r="B275" i="37"/>
  <c r="Q273" i="37"/>
  <c r="O273" i="37"/>
  <c r="M273" i="37"/>
  <c r="AZ272" i="37"/>
  <c r="AY272" i="37"/>
  <c r="AW272" i="37"/>
  <c r="AV272" i="37"/>
  <c r="AN272" i="37"/>
  <c r="Q272" i="37"/>
  <c r="O272" i="37"/>
  <c r="M272" i="37"/>
  <c r="AZ271" i="37"/>
  <c r="AY271" i="37"/>
  <c r="AW271" i="37"/>
  <c r="AV271" i="37"/>
  <c r="Q271" i="37"/>
  <c r="O271" i="37"/>
  <c r="M271" i="37"/>
  <c r="AZ270" i="37"/>
  <c r="AY270" i="37"/>
  <c r="AW270" i="37"/>
  <c r="AV270" i="37"/>
  <c r="AN270" i="37"/>
  <c r="Q270" i="37"/>
  <c r="O270" i="37"/>
  <c r="M270" i="37"/>
  <c r="AZ269" i="37"/>
  <c r="AY269" i="37"/>
  <c r="AW269" i="37"/>
  <c r="AV269" i="37"/>
  <c r="Q269" i="37"/>
  <c r="O269" i="37"/>
  <c r="M269" i="37"/>
  <c r="AZ268" i="37"/>
  <c r="AY268" i="37"/>
  <c r="AW268" i="37"/>
  <c r="AV268" i="37"/>
  <c r="AN268" i="37"/>
  <c r="Q268" i="37"/>
  <c r="O268" i="37"/>
  <c r="M268" i="37"/>
  <c r="AZ267" i="37"/>
  <c r="AY267" i="37"/>
  <c r="AW267" i="37"/>
  <c r="AV267" i="37"/>
  <c r="Q267" i="37"/>
  <c r="O267" i="37"/>
  <c r="M267" i="37"/>
  <c r="AZ266" i="37"/>
  <c r="AY266" i="37"/>
  <c r="AW266" i="37"/>
  <c r="AV266" i="37"/>
  <c r="AN266" i="37"/>
  <c r="Q266" i="37"/>
  <c r="O266" i="37"/>
  <c r="M266" i="37"/>
  <c r="AZ265" i="37"/>
  <c r="AY265" i="37"/>
  <c r="AW265" i="37"/>
  <c r="AV265" i="37"/>
  <c r="Q265" i="37"/>
  <c r="O265" i="37"/>
  <c r="M265" i="37"/>
  <c r="AZ264" i="37"/>
  <c r="AY264" i="37"/>
  <c r="AW264" i="37"/>
  <c r="AV264" i="37"/>
  <c r="AN264" i="37"/>
  <c r="Q264" i="37"/>
  <c r="O264" i="37"/>
  <c r="M264" i="37"/>
  <c r="AZ263" i="37"/>
  <c r="AY263" i="37"/>
  <c r="AW263" i="37"/>
  <c r="AV263" i="37"/>
  <c r="Q263" i="37"/>
  <c r="O263" i="37"/>
  <c r="M263" i="37"/>
  <c r="AZ262" i="37"/>
  <c r="AY262" i="37"/>
  <c r="AW262" i="37"/>
  <c r="AV262" i="37"/>
  <c r="AN262" i="37"/>
  <c r="Q262" i="37"/>
  <c r="O262" i="37"/>
  <c r="M262" i="37"/>
  <c r="AZ261" i="37"/>
  <c r="AY261" i="37"/>
  <c r="AW261" i="37"/>
  <c r="Q261" i="37"/>
  <c r="O261" i="37"/>
  <c r="M261" i="37"/>
  <c r="AZ260" i="37"/>
  <c r="AV260" i="37"/>
  <c r="AN260" i="37"/>
  <c r="Q260" i="37"/>
  <c r="O260" i="37"/>
  <c r="M260" i="37"/>
  <c r="AZ259" i="37"/>
  <c r="AV259" i="37"/>
  <c r="Q259" i="37"/>
  <c r="O259" i="37"/>
  <c r="M259" i="37"/>
  <c r="AZ258" i="37"/>
  <c r="AN258" i="37"/>
  <c r="Q258" i="37"/>
  <c r="O258" i="37"/>
  <c r="M258" i="37"/>
  <c r="AZ257" i="37"/>
  <c r="AY257" i="37"/>
  <c r="Q257" i="37"/>
  <c r="O257" i="37"/>
  <c r="M257" i="37"/>
  <c r="AZ256" i="37"/>
  <c r="AN256" i="37"/>
  <c r="Q256" i="37"/>
  <c r="O256" i="37"/>
  <c r="M256" i="37"/>
  <c r="AZ255" i="37"/>
  <c r="AY255" i="37"/>
  <c r="AW255" i="37"/>
  <c r="Q255" i="37"/>
  <c r="O255" i="37"/>
  <c r="M255" i="37"/>
  <c r="AZ254" i="37"/>
  <c r="AW254" i="37"/>
  <c r="AN254" i="37"/>
  <c r="Q254" i="37"/>
  <c r="O254" i="37"/>
  <c r="M254" i="37"/>
  <c r="AZ253" i="37"/>
  <c r="AY253" i="37"/>
  <c r="AW253" i="37"/>
  <c r="AV253" i="37"/>
  <c r="Q253" i="37"/>
  <c r="O253" i="37"/>
  <c r="M253" i="37"/>
  <c r="AZ252" i="37"/>
  <c r="AY252" i="37"/>
  <c r="AW252" i="37"/>
  <c r="AV252" i="37"/>
  <c r="AN252" i="37"/>
  <c r="Q252" i="37"/>
  <c r="O252" i="37"/>
  <c r="M252" i="37"/>
  <c r="AZ251" i="37"/>
  <c r="AY251" i="37"/>
  <c r="AW251" i="37"/>
  <c r="AV251" i="37"/>
  <c r="Q251" i="37"/>
  <c r="O251" i="37"/>
  <c r="M251" i="37"/>
  <c r="AZ250" i="37"/>
  <c r="AY250" i="37"/>
  <c r="AW250" i="37"/>
  <c r="AV250" i="37"/>
  <c r="AN250" i="37"/>
  <c r="Q250" i="37"/>
  <c r="O250" i="37"/>
  <c r="M250" i="37"/>
  <c r="AZ249" i="37"/>
  <c r="AY249" i="37"/>
  <c r="AW249" i="37"/>
  <c r="AV249" i="37"/>
  <c r="Q249" i="37"/>
  <c r="O249" i="37"/>
  <c r="M249" i="37"/>
  <c r="AZ248" i="37"/>
  <c r="AY248" i="37"/>
  <c r="AW248" i="37"/>
  <c r="AV248" i="37"/>
  <c r="AN248" i="37"/>
  <c r="Q248" i="37"/>
  <c r="O248" i="37"/>
  <c r="M248" i="37"/>
  <c r="AZ247" i="37"/>
  <c r="AY247" i="37"/>
  <c r="AW247" i="37"/>
  <c r="AV247" i="37"/>
  <c r="Q247" i="37"/>
  <c r="O247" i="37"/>
  <c r="M247" i="37"/>
  <c r="AZ246" i="37"/>
  <c r="AY246" i="37"/>
  <c r="AW246" i="37"/>
  <c r="AV246" i="37"/>
  <c r="AN246" i="37"/>
  <c r="Q246" i="37"/>
  <c r="O246" i="37"/>
  <c r="M246" i="37"/>
  <c r="AZ245" i="37"/>
  <c r="AY245" i="37"/>
  <c r="AW245" i="37"/>
  <c r="AV245" i="37"/>
  <c r="Q245" i="37"/>
  <c r="O245" i="37"/>
  <c r="M245" i="37"/>
  <c r="AZ244" i="37"/>
  <c r="AY244" i="37"/>
  <c r="AW244" i="37"/>
  <c r="AV244" i="37"/>
  <c r="AN244" i="37"/>
  <c r="Q244" i="37"/>
  <c r="O244" i="37"/>
  <c r="M244" i="37"/>
  <c r="AZ243" i="37"/>
  <c r="AY243" i="37"/>
  <c r="AW243" i="37"/>
  <c r="AV243" i="37"/>
  <c r="Q243" i="37"/>
  <c r="O243" i="37"/>
  <c r="M243" i="37"/>
  <c r="AZ242" i="37"/>
  <c r="AY242" i="37"/>
  <c r="AW242" i="37"/>
  <c r="AV242" i="37"/>
  <c r="AN242" i="37"/>
  <c r="Q242" i="37"/>
  <c r="O242" i="37"/>
  <c r="M242" i="37"/>
  <c r="AZ241" i="37"/>
  <c r="AY241" i="37"/>
  <c r="AW241" i="37"/>
  <c r="AV241" i="37"/>
  <c r="Q241" i="37"/>
  <c r="O241" i="37"/>
  <c r="M241" i="37"/>
  <c r="AZ240" i="37"/>
  <c r="AY240" i="37"/>
  <c r="AW240" i="37"/>
  <c r="AV240" i="37"/>
  <c r="AN240" i="37"/>
  <c r="Q240" i="37"/>
  <c r="O240" i="37"/>
  <c r="M240" i="37"/>
  <c r="AZ239" i="37"/>
  <c r="AY239" i="37"/>
  <c r="AW239" i="37"/>
  <c r="AV239" i="37"/>
  <c r="Q239" i="37"/>
  <c r="O239" i="37"/>
  <c r="M239" i="37"/>
  <c r="AZ238" i="37"/>
  <c r="AY238" i="37"/>
  <c r="AW238" i="37"/>
  <c r="AV238" i="37"/>
  <c r="AN238" i="37"/>
  <c r="Q238" i="37"/>
  <c r="O238" i="37"/>
  <c r="O275" i="37" s="1"/>
  <c r="M238" i="37"/>
  <c r="AZ237" i="37"/>
  <c r="AY237" i="37"/>
  <c r="AW237" i="37"/>
  <c r="AV237" i="37"/>
  <c r="Q237" i="37"/>
  <c r="O237" i="37"/>
  <c r="M237" i="37"/>
  <c r="AZ236" i="37"/>
  <c r="AY236" i="37"/>
  <c r="AW236" i="37"/>
  <c r="AV236" i="37"/>
  <c r="AN236" i="37"/>
  <c r="Q236" i="37"/>
  <c r="O236" i="37"/>
  <c r="M236" i="37"/>
  <c r="AZ235" i="37"/>
  <c r="AY235" i="37"/>
  <c r="AW235" i="37"/>
  <c r="AV235" i="37"/>
  <c r="Q235" i="37"/>
  <c r="Q275" i="37" s="1"/>
  <c r="O235" i="37"/>
  <c r="M235" i="37"/>
  <c r="AZ234" i="37"/>
  <c r="AY234" i="37"/>
  <c r="AW234" i="37"/>
  <c r="AV234" i="37"/>
  <c r="AN234" i="37"/>
  <c r="Q234" i="37"/>
  <c r="O234" i="37"/>
  <c r="M234" i="37"/>
  <c r="AT234" i="37" s="1"/>
  <c r="H181" i="37"/>
  <c r="AV261" i="37" s="1"/>
  <c r="H180" i="37"/>
  <c r="AY260" i="37" s="1"/>
  <c r="H179" i="37"/>
  <c r="AY259" i="37" s="1"/>
  <c r="H178" i="37"/>
  <c r="AY258" i="37" s="1"/>
  <c r="H177" i="37"/>
  <c r="H176" i="37"/>
  <c r="AW257" i="37" s="1"/>
  <c r="H175" i="37"/>
  <c r="AY256" i="37" s="1"/>
  <c r="H174" i="37"/>
  <c r="H173" i="37"/>
  <c r="H172" i="37"/>
  <c r="AV255" i="37" s="1"/>
  <c r="H171" i="37"/>
  <c r="H170" i="37"/>
  <c r="AY254" i="37" s="1"/>
  <c r="H169" i="37"/>
  <c r="H168" i="37"/>
  <c r="H167" i="37"/>
  <c r="H166" i="37"/>
  <c r="H165" i="37"/>
  <c r="H164" i="37"/>
  <c r="H163" i="37"/>
  <c r="H162" i="37"/>
  <c r="H161" i="37"/>
  <c r="H160" i="37"/>
  <c r="H159" i="37"/>
  <c r="H158" i="37"/>
  <c r="H157" i="37"/>
  <c r="H156" i="37"/>
  <c r="H155" i="37"/>
  <c r="H154" i="37"/>
  <c r="H153" i="37"/>
  <c r="H152" i="37"/>
  <c r="H151" i="37"/>
  <c r="H150" i="37"/>
  <c r="H149" i="37"/>
  <c r="H148" i="37"/>
  <c r="H147" i="37"/>
  <c r="H146" i="37"/>
  <c r="H145" i="37"/>
  <c r="H144" i="37"/>
  <c r="H143" i="37"/>
  <c r="H142" i="37"/>
  <c r="H141" i="37"/>
  <c r="H140" i="37"/>
  <c r="H139" i="37"/>
  <c r="H138" i="37"/>
  <c r="H137" i="37"/>
  <c r="H136" i="37"/>
  <c r="H135" i="37"/>
  <c r="H134" i="37"/>
  <c r="H133" i="37"/>
  <c r="H132" i="37"/>
  <c r="H131" i="37"/>
  <c r="H130" i="37"/>
  <c r="H129" i="37"/>
  <c r="H128" i="37"/>
  <c r="H127" i="37"/>
  <c r="H126" i="37"/>
  <c r="H125" i="37"/>
  <c r="H124" i="37"/>
  <c r="H123" i="37"/>
  <c r="H122" i="37"/>
  <c r="H121" i="37"/>
  <c r="H120" i="37"/>
  <c r="H119" i="37"/>
  <c r="H118" i="37"/>
  <c r="H117" i="37"/>
  <c r="H116" i="37"/>
  <c r="H115" i="37"/>
  <c r="H114" i="37"/>
  <c r="H113" i="37"/>
  <c r="H112" i="37"/>
  <c r="H111" i="37"/>
  <c r="H110" i="37"/>
  <c r="H109" i="37"/>
  <c r="H108" i="37"/>
  <c r="H107" i="37"/>
  <c r="H106" i="37"/>
  <c r="H105" i="37"/>
  <c r="H104" i="37"/>
  <c r="H103" i="37"/>
  <c r="B188" i="37" s="1" a="1"/>
  <c r="B188" i="37" s="1"/>
  <c r="BR92" i="37"/>
  <c r="BU90" i="37"/>
  <c r="BT90" i="37"/>
  <c r="BS90" i="37"/>
  <c r="BR90" i="37"/>
  <c r="BQ90" i="37"/>
  <c r="BP90" i="37"/>
  <c r="BO90" i="37"/>
  <c r="BN90" i="37"/>
  <c r="BM90" i="37"/>
  <c r="BL90" i="37"/>
  <c r="BK90" i="37"/>
  <c r="AU90" i="37"/>
  <c r="AR90" i="37"/>
  <c r="AQ90" i="37"/>
  <c r="AO90" i="37"/>
  <c r="AN90" i="37"/>
  <c r="AM90" i="37"/>
  <c r="BQ89" i="37"/>
  <c r="BP89" i="37"/>
  <c r="BO89" i="37"/>
  <c r="BN89" i="37"/>
  <c r="BM89" i="37"/>
  <c r="BL89" i="37"/>
  <c r="BK89" i="37"/>
  <c r="AU89" i="37"/>
  <c r="AR89" i="37"/>
  <c r="AQ89" i="37"/>
  <c r="AO89" i="37"/>
  <c r="AN89" i="37"/>
  <c r="AM89" i="37"/>
  <c r="BU88" i="37"/>
  <c r="BT88" i="37"/>
  <c r="BS88" i="37"/>
  <c r="BS92" i="37" s="1"/>
  <c r="BR88" i="37"/>
  <c r="BQ88" i="37"/>
  <c r="BP88" i="37"/>
  <c r="BO88" i="37"/>
  <c r="BN88" i="37"/>
  <c r="BM88" i="37"/>
  <c r="BL88" i="37"/>
  <c r="BK88" i="37"/>
  <c r="AU88" i="37"/>
  <c r="AR88" i="37"/>
  <c r="AQ88" i="37"/>
  <c r="AO88" i="37"/>
  <c r="AN88" i="37"/>
  <c r="AM88" i="37"/>
  <c r="BQ87" i="37"/>
  <c r="BP87" i="37"/>
  <c r="BO87" i="37"/>
  <c r="BN87" i="37"/>
  <c r="BM87" i="37"/>
  <c r="BL87" i="37"/>
  <c r="BK87" i="37"/>
  <c r="AU87" i="37"/>
  <c r="AR87" i="37"/>
  <c r="AQ87" i="37"/>
  <c r="AO87" i="37"/>
  <c r="AN87" i="37"/>
  <c r="AM87" i="37"/>
  <c r="BU86" i="37"/>
  <c r="BU92" i="37" s="1"/>
  <c r="BT86" i="37"/>
  <c r="BT92" i="37" s="1"/>
  <c r="BS86" i="37"/>
  <c r="BR86" i="37"/>
  <c r="BQ86" i="37"/>
  <c r="BQ92" i="37" s="1"/>
  <c r="BP86" i="37"/>
  <c r="BO86" i="37"/>
  <c r="BN86" i="37"/>
  <c r="BM86" i="37"/>
  <c r="BL86" i="37"/>
  <c r="BK86" i="37"/>
  <c r="AU86" i="37"/>
  <c r="AR86" i="37"/>
  <c r="AQ86" i="37"/>
  <c r="AO86" i="37"/>
  <c r="AN86" i="37"/>
  <c r="AM86" i="37"/>
  <c r="BP82" i="37"/>
  <c r="BO82" i="37"/>
  <c r="BN82" i="37"/>
  <c r="BM82" i="37"/>
  <c r="BL82" i="37"/>
  <c r="BK82" i="37"/>
  <c r="BJ82" i="37"/>
  <c r="BI82" i="37"/>
  <c r="BH82" i="37"/>
  <c r="BG82" i="37"/>
  <c r="BF82" i="37"/>
  <c r="BE82" i="37"/>
  <c r="BD82" i="37"/>
  <c r="BC82" i="37"/>
  <c r="BB82" i="37"/>
  <c r="BA82" i="37"/>
  <c r="AZ82" i="37"/>
  <c r="AY82" i="37"/>
  <c r="AX82" i="37"/>
  <c r="AW82" i="37"/>
  <c r="AV82" i="37"/>
  <c r="AU82" i="37"/>
  <c r="AT82" i="37"/>
  <c r="AS82" i="37"/>
  <c r="AR82" i="37"/>
  <c r="AQ82" i="37"/>
  <c r="AP82" i="37"/>
  <c r="AO82" i="37"/>
  <c r="AN82" i="37"/>
  <c r="AM82" i="37"/>
  <c r="BP80" i="37"/>
  <c r="BO80" i="37"/>
  <c r="BN80" i="37"/>
  <c r="BM80" i="37"/>
  <c r="BL80" i="37"/>
  <c r="BK80" i="37"/>
  <c r="BJ80" i="37"/>
  <c r="BI80" i="37"/>
  <c r="BH80" i="37"/>
  <c r="BG80" i="37"/>
  <c r="BF80" i="37"/>
  <c r="BE80" i="37"/>
  <c r="BD80" i="37"/>
  <c r="BC80" i="37"/>
  <c r="BB80" i="37"/>
  <c r="BA80" i="37"/>
  <c r="AZ80" i="37"/>
  <c r="AY80" i="37"/>
  <c r="AX80" i="37"/>
  <c r="AW80" i="37"/>
  <c r="AV80" i="37"/>
  <c r="AU80" i="37"/>
  <c r="AT80" i="37"/>
  <c r="AS80" i="37"/>
  <c r="AR80" i="37"/>
  <c r="AQ80" i="37"/>
  <c r="AP80" i="37"/>
  <c r="AO80" i="37"/>
  <c r="AN80" i="37"/>
  <c r="AM80" i="37"/>
  <c r="BP78" i="37"/>
  <c r="BO78" i="37"/>
  <c r="BN78" i="37"/>
  <c r="BM78" i="37"/>
  <c r="BL78" i="37"/>
  <c r="BK78" i="37"/>
  <c r="BJ78" i="37"/>
  <c r="BI78" i="37"/>
  <c r="BH78" i="37"/>
  <c r="BG78" i="37"/>
  <c r="BF78" i="37"/>
  <c r="BE78" i="37"/>
  <c r="BD78" i="37"/>
  <c r="BC78" i="37"/>
  <c r="BB78" i="37"/>
  <c r="BA78" i="37"/>
  <c r="AZ78" i="37"/>
  <c r="AY78" i="37"/>
  <c r="AX78" i="37"/>
  <c r="AW78" i="37"/>
  <c r="AV78" i="37"/>
  <c r="AU78" i="37"/>
  <c r="AT78" i="37"/>
  <c r="AS78" i="37"/>
  <c r="AR78" i="37"/>
  <c r="AQ78" i="37"/>
  <c r="AP78" i="37"/>
  <c r="AO78" i="37"/>
  <c r="AN78" i="37"/>
  <c r="AM78" i="37"/>
  <c r="BP74" i="37"/>
  <c r="BO74" i="37"/>
  <c r="BN74" i="37"/>
  <c r="BM74" i="37"/>
  <c r="BL74" i="37"/>
  <c r="BK74" i="37"/>
  <c r="BJ74" i="37"/>
  <c r="BI74" i="37"/>
  <c r="BH74" i="37"/>
  <c r="BG74" i="37"/>
  <c r="BF74" i="37"/>
  <c r="BE74" i="37"/>
  <c r="BD74" i="37"/>
  <c r="BC74" i="37"/>
  <c r="BB74" i="37"/>
  <c r="BA74" i="37"/>
  <c r="AZ74" i="37"/>
  <c r="AY74" i="37"/>
  <c r="AX74" i="37"/>
  <c r="AW74" i="37"/>
  <c r="AV74" i="37"/>
  <c r="AU74" i="37"/>
  <c r="AT74" i="37"/>
  <c r="AS74" i="37"/>
  <c r="AR74" i="37"/>
  <c r="AQ74" i="37"/>
  <c r="AP74" i="37"/>
  <c r="AO74" i="37"/>
  <c r="AN74" i="37"/>
  <c r="AM74" i="37"/>
  <c r="BP72" i="37"/>
  <c r="BO72" i="37"/>
  <c r="BN72" i="37"/>
  <c r="BM72" i="37"/>
  <c r="BL72" i="37"/>
  <c r="BK72" i="37"/>
  <c r="BJ72" i="37"/>
  <c r="BI72" i="37"/>
  <c r="BH72" i="37"/>
  <c r="BG72" i="37"/>
  <c r="BF72" i="37"/>
  <c r="BE72" i="37"/>
  <c r="BD72" i="37"/>
  <c r="BC72" i="37"/>
  <c r="BB72" i="37"/>
  <c r="BA72" i="37"/>
  <c r="AZ72" i="37"/>
  <c r="AY72" i="37"/>
  <c r="AX72" i="37"/>
  <c r="AW72" i="37"/>
  <c r="AV72" i="37"/>
  <c r="AU72" i="37"/>
  <c r="AT72" i="37"/>
  <c r="AS72" i="37"/>
  <c r="AR72" i="37"/>
  <c r="AQ72" i="37"/>
  <c r="AP72" i="37"/>
  <c r="AO72" i="37"/>
  <c r="AN72" i="37"/>
  <c r="AM72" i="37"/>
  <c r="BP70" i="37"/>
  <c r="BO70" i="37"/>
  <c r="BN70" i="37"/>
  <c r="BM70" i="37"/>
  <c r="BL70" i="37"/>
  <c r="BK70" i="37"/>
  <c r="BJ70" i="37"/>
  <c r="BI70" i="37"/>
  <c r="BH70" i="37"/>
  <c r="BG70" i="37"/>
  <c r="BF70" i="37"/>
  <c r="BE70" i="37"/>
  <c r="BD70" i="37"/>
  <c r="BC70" i="37"/>
  <c r="BB70" i="37"/>
  <c r="BA70" i="37"/>
  <c r="AZ70" i="37"/>
  <c r="AY70" i="37"/>
  <c r="AX70" i="37"/>
  <c r="AW70" i="37"/>
  <c r="AV70" i="37"/>
  <c r="AU70" i="37"/>
  <c r="AT70" i="37"/>
  <c r="AS70" i="37"/>
  <c r="AR70" i="37"/>
  <c r="AQ70" i="37"/>
  <c r="AP70" i="37"/>
  <c r="AO70" i="37"/>
  <c r="AN70" i="37"/>
  <c r="AM70" i="37"/>
  <c r="BP66" i="37"/>
  <c r="BO66" i="37"/>
  <c r="BN66" i="37"/>
  <c r="BM66" i="37"/>
  <c r="BL66" i="37"/>
  <c r="BK66" i="37"/>
  <c r="BJ66" i="37"/>
  <c r="BI66" i="37"/>
  <c r="BH66" i="37"/>
  <c r="BG66" i="37"/>
  <c r="BF66" i="37"/>
  <c r="BE66" i="37"/>
  <c r="BD66" i="37"/>
  <c r="BC66" i="37"/>
  <c r="BB66" i="37"/>
  <c r="BA66" i="37"/>
  <c r="AZ66" i="37"/>
  <c r="AY66" i="37"/>
  <c r="AX66" i="37"/>
  <c r="AW66" i="37"/>
  <c r="AV66" i="37"/>
  <c r="AU66" i="37"/>
  <c r="AT66" i="37"/>
  <c r="AS66" i="37"/>
  <c r="AR66" i="37"/>
  <c r="AQ66" i="37"/>
  <c r="AP66" i="37"/>
  <c r="AO66" i="37"/>
  <c r="AN66" i="37"/>
  <c r="AM66" i="37"/>
  <c r="BP64" i="37"/>
  <c r="BO64" i="37"/>
  <c r="BN64" i="37"/>
  <c r="BM64" i="37"/>
  <c r="BL64" i="37"/>
  <c r="BK64" i="37"/>
  <c r="BJ64" i="37"/>
  <c r="BI64" i="37"/>
  <c r="BH64" i="37"/>
  <c r="BG64" i="37"/>
  <c r="BF64" i="37"/>
  <c r="BE64" i="37"/>
  <c r="BD64" i="37"/>
  <c r="BC64" i="37"/>
  <c r="BB64" i="37"/>
  <c r="BA64" i="37"/>
  <c r="AZ64" i="37"/>
  <c r="AY64" i="37"/>
  <c r="AX64" i="37"/>
  <c r="AW64" i="37"/>
  <c r="AV64" i="37"/>
  <c r="AU64" i="37"/>
  <c r="AT64" i="37"/>
  <c r="AS64" i="37"/>
  <c r="AR64" i="37"/>
  <c r="AQ64" i="37"/>
  <c r="AP64" i="37"/>
  <c r="AO64" i="37"/>
  <c r="AN64" i="37"/>
  <c r="AM64" i="37"/>
  <c r="BP62" i="37"/>
  <c r="BO62" i="37"/>
  <c r="BN62" i="37"/>
  <c r="BM62" i="37"/>
  <c r="BL62" i="37"/>
  <c r="BK62" i="37"/>
  <c r="BJ62" i="37"/>
  <c r="BI62" i="37"/>
  <c r="BH62" i="37"/>
  <c r="BG62" i="37"/>
  <c r="BF62" i="37"/>
  <c r="BE62" i="37"/>
  <c r="BD62" i="37"/>
  <c r="BC62" i="37"/>
  <c r="BB62" i="37"/>
  <c r="BA62" i="37"/>
  <c r="AZ62" i="37"/>
  <c r="AY62" i="37"/>
  <c r="AX62" i="37"/>
  <c r="AW62" i="37"/>
  <c r="AV62" i="37"/>
  <c r="AU62" i="37"/>
  <c r="AT62" i="37"/>
  <c r="AS62" i="37"/>
  <c r="AR62" i="37"/>
  <c r="AQ62" i="37"/>
  <c r="AP62" i="37"/>
  <c r="AO62" i="37"/>
  <c r="AN62" i="37"/>
  <c r="AM62" i="37"/>
  <c r="BP60" i="37"/>
  <c r="BO60" i="37"/>
  <c r="BN60" i="37"/>
  <c r="BM60" i="37"/>
  <c r="BL60" i="37"/>
  <c r="BK60" i="37"/>
  <c r="BJ60" i="37"/>
  <c r="BI60" i="37"/>
  <c r="BH60" i="37"/>
  <c r="BG60" i="37"/>
  <c r="BF60" i="37"/>
  <c r="BE60" i="37"/>
  <c r="BD60" i="37"/>
  <c r="BC60" i="37"/>
  <c r="BB60" i="37"/>
  <c r="BA60" i="37"/>
  <c r="AZ60" i="37"/>
  <c r="AY60" i="37"/>
  <c r="AX60" i="37"/>
  <c r="AW60" i="37"/>
  <c r="AV60" i="37"/>
  <c r="AU60" i="37"/>
  <c r="AT60" i="37"/>
  <c r="AS60" i="37"/>
  <c r="AR60" i="37"/>
  <c r="AQ60" i="37"/>
  <c r="AP60" i="37"/>
  <c r="AO60" i="37"/>
  <c r="AN60" i="37"/>
  <c r="AM60" i="37"/>
  <c r="BP58" i="37"/>
  <c r="BO58" i="37"/>
  <c r="BN58" i="37"/>
  <c r="BM58" i="37"/>
  <c r="BL58" i="37"/>
  <c r="BK58" i="37"/>
  <c r="BJ58" i="37"/>
  <c r="BI58" i="37"/>
  <c r="BH58" i="37"/>
  <c r="BG58" i="37"/>
  <c r="BF58" i="37"/>
  <c r="BE58" i="37"/>
  <c r="BD58" i="37"/>
  <c r="BC58" i="37"/>
  <c r="BB58" i="37"/>
  <c r="BA58" i="37"/>
  <c r="AZ58" i="37"/>
  <c r="AY58" i="37"/>
  <c r="AX58" i="37"/>
  <c r="AW58" i="37"/>
  <c r="AV58" i="37"/>
  <c r="AU58" i="37"/>
  <c r="AT58" i="37"/>
  <c r="AS58" i="37"/>
  <c r="AR58" i="37"/>
  <c r="AQ58" i="37"/>
  <c r="AP58" i="37"/>
  <c r="AO58" i="37"/>
  <c r="AN58" i="37"/>
  <c r="AM58" i="37"/>
  <c r="BP56" i="37"/>
  <c r="BO56" i="37"/>
  <c r="BN56" i="37"/>
  <c r="BM56" i="37"/>
  <c r="BL56" i="37"/>
  <c r="BK56" i="37"/>
  <c r="BJ56" i="37"/>
  <c r="BI56" i="37"/>
  <c r="BH56" i="37"/>
  <c r="BG56" i="37"/>
  <c r="BF56" i="37"/>
  <c r="BE56" i="37"/>
  <c r="BD56" i="37"/>
  <c r="BC56" i="37"/>
  <c r="BB56" i="37"/>
  <c r="BA56" i="37"/>
  <c r="AZ56" i="37"/>
  <c r="AY56" i="37"/>
  <c r="AX56" i="37"/>
  <c r="AW56" i="37"/>
  <c r="AV56" i="37"/>
  <c r="AU56" i="37"/>
  <c r="AT56" i="37"/>
  <c r="AS56" i="37"/>
  <c r="AR56" i="37"/>
  <c r="AQ56" i="37"/>
  <c r="AP56" i="37"/>
  <c r="AO56" i="37"/>
  <c r="AN56" i="37"/>
  <c r="AM56" i="37"/>
  <c r="BP54" i="37"/>
  <c r="BO54" i="37"/>
  <c r="BN54" i="37"/>
  <c r="BM54" i="37"/>
  <c r="BL54" i="37"/>
  <c r="BK54" i="37"/>
  <c r="BJ54" i="37"/>
  <c r="BI54" i="37"/>
  <c r="BH54" i="37"/>
  <c r="BG54" i="37"/>
  <c r="BF54" i="37"/>
  <c r="BE54" i="37"/>
  <c r="BD54" i="37"/>
  <c r="BC54" i="37"/>
  <c r="BB54" i="37"/>
  <c r="BA54" i="37"/>
  <c r="AZ54" i="37"/>
  <c r="AY54" i="37"/>
  <c r="AX54" i="37"/>
  <c r="AW54" i="37"/>
  <c r="AV54" i="37"/>
  <c r="AU54" i="37"/>
  <c r="AT54" i="37"/>
  <c r="AS54" i="37"/>
  <c r="AR54" i="37"/>
  <c r="AQ54" i="37"/>
  <c r="AP54" i="37"/>
  <c r="AO54" i="37"/>
  <c r="AN54" i="37"/>
  <c r="AM54" i="37"/>
  <c r="BP52" i="37"/>
  <c r="BO52" i="37"/>
  <c r="BN52" i="37"/>
  <c r="BM52" i="37"/>
  <c r="BL52" i="37"/>
  <c r="BK52" i="37"/>
  <c r="BJ52" i="37"/>
  <c r="BI52" i="37"/>
  <c r="BH52" i="37"/>
  <c r="BG52" i="37"/>
  <c r="BF52" i="37"/>
  <c r="BE52" i="37"/>
  <c r="BD52" i="37"/>
  <c r="BC52" i="37"/>
  <c r="BB52" i="37"/>
  <c r="BA52" i="37"/>
  <c r="AZ52" i="37"/>
  <c r="AY52" i="37"/>
  <c r="AX52" i="37"/>
  <c r="AW52" i="37"/>
  <c r="AV52" i="37"/>
  <c r="AU52" i="37"/>
  <c r="AT52" i="37"/>
  <c r="AS52" i="37"/>
  <c r="AR52" i="37"/>
  <c r="AQ52" i="37"/>
  <c r="AP52" i="37"/>
  <c r="AO52" i="37"/>
  <c r="AN52" i="37"/>
  <c r="AM52" i="37"/>
  <c r="BP50" i="37"/>
  <c r="BO50" i="37"/>
  <c r="BN50" i="37"/>
  <c r="BM50" i="37"/>
  <c r="BL50" i="37"/>
  <c r="BK50" i="37"/>
  <c r="BJ50" i="37"/>
  <c r="BI50" i="37"/>
  <c r="BH50" i="37"/>
  <c r="BG50" i="37"/>
  <c r="BF50" i="37"/>
  <c r="BE50" i="37"/>
  <c r="BD50" i="37"/>
  <c r="BC50" i="37"/>
  <c r="BB50" i="37"/>
  <c r="BA50" i="37"/>
  <c r="AZ50" i="37"/>
  <c r="AY50" i="37"/>
  <c r="AX50" i="37"/>
  <c r="AW50" i="37"/>
  <c r="AV50" i="37"/>
  <c r="AU50" i="37"/>
  <c r="AT50" i="37"/>
  <c r="AS50" i="37"/>
  <c r="AR50" i="37"/>
  <c r="AQ50" i="37"/>
  <c r="AP50" i="37"/>
  <c r="AO50" i="37"/>
  <c r="AN50" i="37"/>
  <c r="AM50" i="37"/>
  <c r="BP48" i="37"/>
  <c r="BO48" i="37"/>
  <c r="BN48" i="37"/>
  <c r="BM48" i="37"/>
  <c r="BL48" i="37"/>
  <c r="BK48" i="37"/>
  <c r="BJ48" i="37"/>
  <c r="BI48" i="37"/>
  <c r="BH48" i="37"/>
  <c r="BG48" i="37"/>
  <c r="BF48" i="37"/>
  <c r="BE48" i="37"/>
  <c r="BD48" i="37"/>
  <c r="BC48" i="37"/>
  <c r="BB48" i="37"/>
  <c r="BA48" i="37"/>
  <c r="AZ48" i="37"/>
  <c r="AY48" i="37"/>
  <c r="AX48" i="37"/>
  <c r="AW48" i="37"/>
  <c r="AV48" i="37"/>
  <c r="AU48" i="37"/>
  <c r="AT48" i="37"/>
  <c r="AS48" i="37"/>
  <c r="AR48" i="37"/>
  <c r="AQ48" i="37"/>
  <c r="AP48" i="37"/>
  <c r="AO48" i="37"/>
  <c r="AN48" i="37"/>
  <c r="AM48" i="37"/>
  <c r="BP46" i="37"/>
  <c r="BO46" i="37"/>
  <c r="BN46" i="37"/>
  <c r="BM46" i="37"/>
  <c r="BL46" i="37"/>
  <c r="BK46" i="37"/>
  <c r="BJ46" i="37"/>
  <c r="BI46" i="37"/>
  <c r="BH46" i="37"/>
  <c r="BG46" i="37"/>
  <c r="BF46" i="37"/>
  <c r="BE46" i="37"/>
  <c r="BD46" i="37"/>
  <c r="BC46" i="37"/>
  <c r="BB46" i="37"/>
  <c r="BA46" i="37"/>
  <c r="AZ46" i="37"/>
  <c r="AY46" i="37"/>
  <c r="AX46" i="37"/>
  <c r="AW46" i="37"/>
  <c r="AV46" i="37"/>
  <c r="AU46" i="37"/>
  <c r="AT46" i="37"/>
  <c r="AS46" i="37"/>
  <c r="AR46" i="37"/>
  <c r="AQ46" i="37"/>
  <c r="AP46" i="37"/>
  <c r="AO46" i="37"/>
  <c r="AN46" i="37"/>
  <c r="AM46" i="37"/>
  <c r="BP44" i="37"/>
  <c r="BO44" i="37"/>
  <c r="BN44" i="37"/>
  <c r="BM44" i="37"/>
  <c r="BL44" i="37"/>
  <c r="BK44" i="37"/>
  <c r="BJ44" i="37"/>
  <c r="BI44" i="37"/>
  <c r="BH44" i="37"/>
  <c r="BG44" i="37"/>
  <c r="BF44" i="37"/>
  <c r="BE44" i="37"/>
  <c r="BD44" i="37"/>
  <c r="BC44" i="37"/>
  <c r="BB44" i="37"/>
  <c r="BA44" i="37"/>
  <c r="AZ44" i="37"/>
  <c r="AY44" i="37"/>
  <c r="AX44" i="37"/>
  <c r="AW44" i="37"/>
  <c r="AV44" i="37"/>
  <c r="AU44" i="37"/>
  <c r="AT44" i="37"/>
  <c r="AS44" i="37"/>
  <c r="AR44" i="37"/>
  <c r="AQ44" i="37"/>
  <c r="AP44" i="37"/>
  <c r="AO44" i="37"/>
  <c r="AN44" i="37"/>
  <c r="AM44" i="37"/>
  <c r="BP42" i="37"/>
  <c r="BO42" i="37"/>
  <c r="BN42" i="37"/>
  <c r="BM42" i="37"/>
  <c r="BL42" i="37"/>
  <c r="BK42" i="37"/>
  <c r="BJ42" i="37"/>
  <c r="BI42" i="37"/>
  <c r="BH42" i="37"/>
  <c r="BG42" i="37"/>
  <c r="BF42" i="37"/>
  <c r="BE42" i="37"/>
  <c r="BD42" i="37"/>
  <c r="BC42" i="37"/>
  <c r="BB42" i="37"/>
  <c r="BA42" i="37"/>
  <c r="AZ42" i="37"/>
  <c r="AY42" i="37"/>
  <c r="AX42" i="37"/>
  <c r="AW42" i="37"/>
  <c r="AV42" i="37"/>
  <c r="AU42" i="37"/>
  <c r="AT42" i="37"/>
  <c r="AS42" i="37"/>
  <c r="AR42" i="37"/>
  <c r="AQ42" i="37"/>
  <c r="AP42" i="37"/>
  <c r="AO42" i="37"/>
  <c r="AN42" i="37"/>
  <c r="AM42" i="37"/>
  <c r="BP40" i="37"/>
  <c r="BO40" i="37"/>
  <c r="BN40" i="37"/>
  <c r="BM40" i="37"/>
  <c r="BL40" i="37"/>
  <c r="BK40" i="37"/>
  <c r="BJ40" i="37"/>
  <c r="BI40" i="37"/>
  <c r="BH40" i="37"/>
  <c r="BG40" i="37"/>
  <c r="BF40" i="37"/>
  <c r="BE40" i="37"/>
  <c r="BD40" i="37"/>
  <c r="BC40" i="37"/>
  <c r="BB40" i="37"/>
  <c r="BA40" i="37"/>
  <c r="AZ40" i="37"/>
  <c r="AY40" i="37"/>
  <c r="AX40" i="37"/>
  <c r="AW40" i="37"/>
  <c r="AV40" i="37"/>
  <c r="AU40" i="37"/>
  <c r="AT40" i="37"/>
  <c r="AS40" i="37"/>
  <c r="AR40" i="37"/>
  <c r="AQ40" i="37"/>
  <c r="AP40" i="37"/>
  <c r="AO40" i="37"/>
  <c r="AN40" i="37"/>
  <c r="AM40" i="37"/>
  <c r="CH38" i="37"/>
  <c r="AR92" i="37" s="1"/>
  <c r="AA4" i="37" s="1"/>
  <c r="CG38" i="37"/>
  <c r="CF38" i="37"/>
  <c r="CE38" i="37"/>
  <c r="BP92" i="37" s="1"/>
  <c r="CD38" i="37"/>
  <c r="BM92" i="37" s="1"/>
  <c r="J4" i="19" s="1"/>
  <c r="CC38" i="37"/>
  <c r="CB38" i="37"/>
  <c r="CA38" i="37"/>
  <c r="BL92" i="37" s="1"/>
  <c r="BZ38" i="37"/>
  <c r="BY38" i="37"/>
  <c r="BX38" i="37"/>
  <c r="BW38" i="37"/>
  <c r="BV38" i="37"/>
  <c r="BP38" i="37"/>
  <c r="BO38" i="37"/>
  <c r="BN38" i="37"/>
  <c r="BM38" i="37"/>
  <c r="BL38" i="37"/>
  <c r="BK38" i="37"/>
  <c r="BJ38" i="37"/>
  <c r="BI38" i="37"/>
  <c r="BH38" i="37"/>
  <c r="BG38" i="37"/>
  <c r="BF38" i="37"/>
  <c r="BE38" i="37"/>
  <c r="BD38" i="37"/>
  <c r="BC38" i="37"/>
  <c r="BB38" i="37"/>
  <c r="BA38" i="37"/>
  <c r="AZ38" i="37"/>
  <c r="AY38" i="37"/>
  <c r="AX38" i="37"/>
  <c r="AW38" i="37"/>
  <c r="AV38" i="37"/>
  <c r="AU38" i="37"/>
  <c r="AT38" i="37"/>
  <c r="AS38" i="37"/>
  <c r="AR38" i="37"/>
  <c r="AQ38" i="37"/>
  <c r="AP38" i="37"/>
  <c r="AO38" i="37"/>
  <c r="AN38" i="37"/>
  <c r="AM38" i="37"/>
  <c r="BP36" i="37"/>
  <c r="BO36" i="37"/>
  <c r="BN36" i="37"/>
  <c r="BM36" i="37"/>
  <c r="BL36" i="37"/>
  <c r="BK36" i="37"/>
  <c r="BJ36" i="37"/>
  <c r="BI36" i="37"/>
  <c r="BH36" i="37"/>
  <c r="BG36" i="37"/>
  <c r="BF36" i="37"/>
  <c r="BE36" i="37"/>
  <c r="BD36" i="37"/>
  <c r="BC36" i="37"/>
  <c r="BB36" i="37"/>
  <c r="BA36" i="37"/>
  <c r="AZ36" i="37"/>
  <c r="AY36" i="37"/>
  <c r="AX36" i="37"/>
  <c r="AW36" i="37"/>
  <c r="AV36" i="37"/>
  <c r="AU36" i="37"/>
  <c r="AT36" i="37"/>
  <c r="AS36" i="37"/>
  <c r="AR36" i="37"/>
  <c r="AQ36" i="37"/>
  <c r="AP36" i="37"/>
  <c r="AO36" i="37"/>
  <c r="AN36" i="37"/>
  <c r="AM36" i="37"/>
  <c r="BP34" i="37"/>
  <c r="BO34" i="37"/>
  <c r="BN34" i="37"/>
  <c r="BM34" i="37"/>
  <c r="BL34" i="37"/>
  <c r="BK34" i="37"/>
  <c r="BJ34" i="37"/>
  <c r="BI34" i="37"/>
  <c r="BH34" i="37"/>
  <c r="BG34" i="37"/>
  <c r="BF34" i="37"/>
  <c r="BE34" i="37"/>
  <c r="BD34" i="37"/>
  <c r="BC34" i="37"/>
  <c r="BB34" i="37"/>
  <c r="BA34" i="37"/>
  <c r="AZ34" i="37"/>
  <c r="AY34" i="37"/>
  <c r="AX34" i="37"/>
  <c r="AW34" i="37"/>
  <c r="AV34" i="37"/>
  <c r="AU34" i="37"/>
  <c r="AT34" i="37"/>
  <c r="AS34" i="37"/>
  <c r="AR34" i="37"/>
  <c r="AQ34" i="37"/>
  <c r="AP34" i="37"/>
  <c r="AO34" i="37"/>
  <c r="AN34" i="37"/>
  <c r="AM34" i="37"/>
  <c r="BP32" i="37"/>
  <c r="BO32" i="37"/>
  <c r="BN32" i="37"/>
  <c r="BM32" i="37"/>
  <c r="BL32" i="37"/>
  <c r="BK32" i="37"/>
  <c r="BJ32" i="37"/>
  <c r="BI32" i="37"/>
  <c r="BH32" i="37"/>
  <c r="BG32" i="37"/>
  <c r="BF32" i="37"/>
  <c r="BE32" i="37"/>
  <c r="BD32" i="37"/>
  <c r="BC32" i="37"/>
  <c r="BB32" i="37"/>
  <c r="BA32" i="37"/>
  <c r="AZ32" i="37"/>
  <c r="AY32" i="37"/>
  <c r="AX32" i="37"/>
  <c r="AW32" i="37"/>
  <c r="AV32" i="37"/>
  <c r="AU32" i="37"/>
  <c r="AT32" i="37"/>
  <c r="AS32" i="37"/>
  <c r="AR32" i="37"/>
  <c r="AQ32" i="37"/>
  <c r="AP32" i="37"/>
  <c r="AO32" i="37"/>
  <c r="AN32" i="37"/>
  <c r="AM32" i="37"/>
  <c r="BY30" i="37"/>
  <c r="BX30" i="37"/>
  <c r="BW30" i="37"/>
  <c r="BV30" i="37"/>
  <c r="BP30" i="37"/>
  <c r="BO30" i="37"/>
  <c r="BN30" i="37"/>
  <c r="BN92" i="37" s="1"/>
  <c r="BM30" i="37"/>
  <c r="BL30" i="37"/>
  <c r="BK30" i="37"/>
  <c r="BJ30" i="37"/>
  <c r="BI30" i="37"/>
  <c r="BH30" i="37"/>
  <c r="BG30" i="37"/>
  <c r="BF30" i="37"/>
  <c r="BF92" i="37" s="1"/>
  <c r="F193" i="37" s="1"/>
  <c r="BE30" i="37"/>
  <c r="BD30" i="37"/>
  <c r="BC30" i="37"/>
  <c r="BB30" i="37"/>
  <c r="BA30" i="37"/>
  <c r="AZ30" i="37"/>
  <c r="AY30" i="37"/>
  <c r="AX30" i="37"/>
  <c r="AX92" i="37" s="1"/>
  <c r="F204" i="37" s="1"/>
  <c r="AW30" i="37"/>
  <c r="AV30" i="37"/>
  <c r="AU30" i="37"/>
  <c r="AT30" i="37"/>
  <c r="AS30" i="37"/>
  <c r="AR30" i="37"/>
  <c r="AQ30" i="37"/>
  <c r="AP30" i="37"/>
  <c r="AO30" i="37"/>
  <c r="AN30" i="37"/>
  <c r="AM30" i="37"/>
  <c r="BV29" i="37"/>
  <c r="BY28" i="37"/>
  <c r="BX28" i="37"/>
  <c r="BW28" i="37"/>
  <c r="BV28" i="37"/>
  <c r="BP28" i="37"/>
  <c r="BO28" i="37"/>
  <c r="BN28" i="37"/>
  <c r="BM28" i="37"/>
  <c r="BL28" i="37"/>
  <c r="BK28" i="37"/>
  <c r="BJ28" i="37"/>
  <c r="BI28" i="37"/>
  <c r="BH28" i="37"/>
  <c r="BG28" i="37"/>
  <c r="BF28" i="37"/>
  <c r="BE28" i="37"/>
  <c r="BD28" i="37"/>
  <c r="BC28" i="37"/>
  <c r="BB28" i="37"/>
  <c r="BA28" i="37"/>
  <c r="AZ28" i="37"/>
  <c r="AY28" i="37"/>
  <c r="AX28" i="37"/>
  <c r="AW28" i="37"/>
  <c r="AV28" i="37"/>
  <c r="AU28" i="37"/>
  <c r="AT28" i="37"/>
  <c r="AS28" i="37"/>
  <c r="AR28" i="37"/>
  <c r="AQ28" i="37"/>
  <c r="AP28" i="37"/>
  <c r="AO28" i="37"/>
  <c r="AN28" i="37"/>
  <c r="AM28" i="37"/>
  <c r="BV27" i="37"/>
  <c r="BY26" i="37"/>
  <c r="BY32" i="37" s="1"/>
  <c r="AP92" i="37" s="1"/>
  <c r="U6" i="37" s="1"/>
  <c r="BX26" i="37"/>
  <c r="BX32" i="37" s="1"/>
  <c r="BW26" i="37"/>
  <c r="BW32" i="37" s="1"/>
  <c r="BV26" i="37"/>
  <c r="BV32" i="37" s="1"/>
  <c r="BP26" i="37"/>
  <c r="BO26" i="37"/>
  <c r="BN26" i="37"/>
  <c r="BM26" i="37"/>
  <c r="BL26" i="37"/>
  <c r="BK26" i="37"/>
  <c r="BJ26" i="37"/>
  <c r="BI26" i="37"/>
  <c r="BH26" i="37"/>
  <c r="BG26" i="37"/>
  <c r="BF26" i="37"/>
  <c r="BE26" i="37"/>
  <c r="BD26" i="37"/>
  <c r="BC26" i="37"/>
  <c r="BB26" i="37"/>
  <c r="BA26" i="37"/>
  <c r="AZ26" i="37"/>
  <c r="AY26" i="37"/>
  <c r="AX26" i="37"/>
  <c r="AW26" i="37"/>
  <c r="AV26" i="37"/>
  <c r="AU26" i="37"/>
  <c r="AT26" i="37"/>
  <c r="AS26" i="37"/>
  <c r="AR26" i="37"/>
  <c r="AQ26" i="37"/>
  <c r="AP26" i="37"/>
  <c r="AO26" i="37"/>
  <c r="AN26" i="37"/>
  <c r="AM26" i="37"/>
  <c r="BP24" i="37"/>
  <c r="BO24" i="37"/>
  <c r="BN24" i="37"/>
  <c r="BM24" i="37"/>
  <c r="BL24" i="37"/>
  <c r="BK24" i="37"/>
  <c r="BJ24" i="37"/>
  <c r="BI24" i="37"/>
  <c r="BH24" i="37"/>
  <c r="BG24" i="37"/>
  <c r="BF24" i="37"/>
  <c r="BE24" i="37"/>
  <c r="BD24" i="37"/>
  <c r="BC24" i="37"/>
  <c r="BB24" i="37"/>
  <c r="BA24" i="37"/>
  <c r="AZ24" i="37"/>
  <c r="AY24" i="37"/>
  <c r="AX24" i="37"/>
  <c r="AW24" i="37"/>
  <c r="AV24" i="37"/>
  <c r="AU24" i="37"/>
  <c r="AT24" i="37"/>
  <c r="AS24" i="37"/>
  <c r="AR24" i="37"/>
  <c r="AQ24" i="37"/>
  <c r="AP24" i="37"/>
  <c r="AO24" i="37"/>
  <c r="AN24" i="37"/>
  <c r="AM24" i="37"/>
  <c r="BP22" i="37"/>
  <c r="BO22" i="37"/>
  <c r="BN22" i="37"/>
  <c r="BM22" i="37"/>
  <c r="BL22" i="37"/>
  <c r="BK22" i="37"/>
  <c r="BJ22" i="37"/>
  <c r="BI22" i="37"/>
  <c r="BH22" i="37"/>
  <c r="BG22" i="37"/>
  <c r="BF22" i="37"/>
  <c r="BE22" i="37"/>
  <c r="BD22" i="37"/>
  <c r="BC22" i="37"/>
  <c r="BB22" i="37"/>
  <c r="BA22" i="37"/>
  <c r="AZ22" i="37"/>
  <c r="AY22" i="37"/>
  <c r="AX22" i="37"/>
  <c r="AW22" i="37"/>
  <c r="AV22" i="37"/>
  <c r="AU22" i="37"/>
  <c r="AT22" i="37"/>
  <c r="AS22" i="37"/>
  <c r="AR22" i="37"/>
  <c r="AQ22" i="37"/>
  <c r="AP22" i="37"/>
  <c r="AO22" i="37"/>
  <c r="AN22" i="37"/>
  <c r="AM22" i="37"/>
  <c r="BV20" i="37"/>
  <c r="BP20" i="37"/>
  <c r="BO20" i="37"/>
  <c r="BN20" i="37"/>
  <c r="BM20" i="37"/>
  <c r="BL20" i="37"/>
  <c r="BK20" i="37"/>
  <c r="BJ20" i="37"/>
  <c r="BI20" i="37"/>
  <c r="BH20" i="37"/>
  <c r="BG20" i="37"/>
  <c r="BF20" i="37"/>
  <c r="BE20" i="37"/>
  <c r="BD20" i="37"/>
  <c r="BC20" i="37"/>
  <c r="BB20" i="37"/>
  <c r="BA20" i="37"/>
  <c r="AZ20" i="37"/>
  <c r="AY20" i="37"/>
  <c r="AX20" i="37"/>
  <c r="AW20" i="37"/>
  <c r="AV20" i="37"/>
  <c r="AU20" i="37"/>
  <c r="AT20" i="37"/>
  <c r="AS20" i="37"/>
  <c r="AR20" i="37"/>
  <c r="AQ20" i="37"/>
  <c r="AP20" i="37"/>
  <c r="AO20" i="37"/>
  <c r="AN20" i="37"/>
  <c r="AM20" i="37"/>
  <c r="BP18" i="37"/>
  <c r="BO18" i="37"/>
  <c r="BO92" i="37" s="1"/>
  <c r="BN18" i="37"/>
  <c r="BM18" i="37"/>
  <c r="BL18" i="37"/>
  <c r="BK18" i="37"/>
  <c r="BK92" i="37" s="1"/>
  <c r="BJ18" i="37"/>
  <c r="BI18" i="37"/>
  <c r="BH18" i="37"/>
  <c r="BG18" i="37"/>
  <c r="BG92" i="37" s="1"/>
  <c r="F205" i="37" s="1"/>
  <c r="BF18" i="37"/>
  <c r="BE18" i="37"/>
  <c r="BD18" i="37"/>
  <c r="BC18" i="37"/>
  <c r="BC92" i="37" s="1"/>
  <c r="F202" i="37" s="1"/>
  <c r="BB18" i="37"/>
  <c r="BA18" i="37"/>
  <c r="AZ18" i="37"/>
  <c r="AY18" i="37"/>
  <c r="AY92" i="37" s="1"/>
  <c r="F198" i="37" s="1"/>
  <c r="AX18" i="37"/>
  <c r="AW18" i="37"/>
  <c r="AV18" i="37"/>
  <c r="AU18" i="37"/>
  <c r="AU92" i="37" s="1"/>
  <c r="AT18" i="37"/>
  <c r="AS18" i="37"/>
  <c r="AR18" i="37"/>
  <c r="AQ18" i="37"/>
  <c r="AQ92" i="37" s="1"/>
  <c r="AA2" i="37" s="1"/>
  <c r="AP18" i="37"/>
  <c r="AO18" i="37"/>
  <c r="AN18" i="37"/>
  <c r="AM18" i="37"/>
  <c r="BP16" i="37"/>
  <c r="BO16" i="37"/>
  <c r="BN16" i="37"/>
  <c r="BM16" i="37"/>
  <c r="BL16" i="37"/>
  <c r="BK16" i="37"/>
  <c r="BJ16" i="37"/>
  <c r="BJ92" i="37" s="1"/>
  <c r="F195" i="37" s="1"/>
  <c r="BI16" i="37"/>
  <c r="BI92" i="37" s="1"/>
  <c r="F201" i="37" s="1"/>
  <c r="BH16" i="37"/>
  <c r="BH92" i="37" s="1"/>
  <c r="F197" i="37" s="1"/>
  <c r="BG16" i="37"/>
  <c r="BF16" i="37"/>
  <c r="BE16" i="37"/>
  <c r="BE92" i="37" s="1"/>
  <c r="F196" i="37" s="1"/>
  <c r="BD16" i="37"/>
  <c r="BD92" i="37" s="1"/>
  <c r="F203" i="37" s="1"/>
  <c r="BC16" i="37"/>
  <c r="BB16" i="37"/>
  <c r="BB92" i="37" s="1"/>
  <c r="F192" i="37" s="1"/>
  <c r="BA16" i="37"/>
  <c r="BA92" i="37" s="1"/>
  <c r="F194" i="37" s="1"/>
  <c r="AZ16" i="37"/>
  <c r="AZ92" i="37" s="1"/>
  <c r="F200" i="37" s="1"/>
  <c r="D229" i="37" s="1"/>
  <c r="AY16" i="37"/>
  <c r="AX16" i="37"/>
  <c r="AW16" i="37"/>
  <c r="AW92" i="37" s="1"/>
  <c r="F199" i="37" s="1"/>
  <c r="AV16" i="37"/>
  <c r="AV92" i="37" s="1"/>
  <c r="F206" i="37" s="1"/>
  <c r="AU16" i="37"/>
  <c r="AT16" i="37"/>
  <c r="AT92" i="37" s="1"/>
  <c r="U8" i="37" s="1"/>
  <c r="AP8" i="37" s="1"/>
  <c r="AS16" i="37"/>
  <c r="AS92" i="37" s="1"/>
  <c r="AR16" i="37"/>
  <c r="AQ16" i="37"/>
  <c r="AP16" i="37"/>
  <c r="AO16" i="37"/>
  <c r="AN16" i="37"/>
  <c r="AM16" i="37"/>
  <c r="D277" i="36"/>
  <c r="D276" i="36"/>
  <c r="BD50" i="36" s="1"/>
  <c r="D275" i="36"/>
  <c r="B275" i="36"/>
  <c r="Q273" i="36"/>
  <c r="O273" i="36"/>
  <c r="M273" i="36"/>
  <c r="AZ272" i="36"/>
  <c r="AY272" i="36"/>
  <c r="AW272" i="36"/>
  <c r="AV272" i="36"/>
  <c r="AN272" i="36"/>
  <c r="Q272" i="36"/>
  <c r="O272" i="36"/>
  <c r="M272" i="36"/>
  <c r="AZ271" i="36"/>
  <c r="AY271" i="36"/>
  <c r="AW271" i="36"/>
  <c r="AV271" i="36"/>
  <c r="Q271" i="36"/>
  <c r="O271" i="36"/>
  <c r="M271" i="36"/>
  <c r="AZ270" i="36"/>
  <c r="AY270" i="36"/>
  <c r="AW270" i="36"/>
  <c r="AV270" i="36"/>
  <c r="AN270" i="36"/>
  <c r="Q270" i="36"/>
  <c r="O270" i="36"/>
  <c r="M270" i="36"/>
  <c r="AZ269" i="36"/>
  <c r="AY269" i="36"/>
  <c r="AW269" i="36"/>
  <c r="AV269" i="36"/>
  <c r="Q269" i="36"/>
  <c r="O269" i="36"/>
  <c r="M269" i="36"/>
  <c r="AZ268" i="36"/>
  <c r="AY268" i="36"/>
  <c r="AW268" i="36"/>
  <c r="AV268" i="36"/>
  <c r="AN268" i="36"/>
  <c r="Q268" i="36"/>
  <c r="O268" i="36"/>
  <c r="M268" i="36"/>
  <c r="AZ267" i="36"/>
  <c r="AY267" i="36"/>
  <c r="AW267" i="36"/>
  <c r="AV267" i="36"/>
  <c r="Q267" i="36"/>
  <c r="O267" i="36"/>
  <c r="M267" i="36"/>
  <c r="AZ266" i="36"/>
  <c r="AY266" i="36"/>
  <c r="AW266" i="36"/>
  <c r="AV266" i="36"/>
  <c r="AN266" i="36"/>
  <c r="Q266" i="36"/>
  <c r="O266" i="36"/>
  <c r="M266" i="36"/>
  <c r="AZ265" i="36"/>
  <c r="AY265" i="36"/>
  <c r="AW265" i="36"/>
  <c r="AV265" i="36"/>
  <c r="Q265" i="36"/>
  <c r="O265" i="36"/>
  <c r="M265" i="36"/>
  <c r="AZ264" i="36"/>
  <c r="AY264" i="36"/>
  <c r="AW264" i="36"/>
  <c r="AV264" i="36"/>
  <c r="AN264" i="36"/>
  <c r="Q264" i="36"/>
  <c r="O264" i="36"/>
  <c r="M264" i="36"/>
  <c r="AZ263" i="36"/>
  <c r="AY263" i="36"/>
  <c r="AW263" i="36"/>
  <c r="AV263" i="36"/>
  <c r="Q263" i="36"/>
  <c r="O263" i="36"/>
  <c r="M263" i="36"/>
  <c r="AZ262" i="36"/>
  <c r="AY262" i="36"/>
  <c r="AW262" i="36"/>
  <c r="AV262" i="36"/>
  <c r="AN262" i="36"/>
  <c r="Q262" i="36"/>
  <c r="O262" i="36"/>
  <c r="M262" i="36"/>
  <c r="AZ261" i="36"/>
  <c r="AW261" i="36"/>
  <c r="Q261" i="36"/>
  <c r="O261" i="36"/>
  <c r="M261" i="36"/>
  <c r="AZ260" i="36"/>
  <c r="AN260" i="36"/>
  <c r="Q260" i="36"/>
  <c r="O260" i="36"/>
  <c r="M260" i="36"/>
  <c r="AZ259" i="36"/>
  <c r="AW259" i="36"/>
  <c r="AV259" i="36"/>
  <c r="Q259" i="36"/>
  <c r="O259" i="36"/>
  <c r="M259" i="36"/>
  <c r="AZ258" i="36"/>
  <c r="AV258" i="36"/>
  <c r="AN258" i="36"/>
  <c r="Q258" i="36"/>
  <c r="O258" i="36"/>
  <c r="M258" i="36"/>
  <c r="AZ257" i="36"/>
  <c r="Q257" i="36"/>
  <c r="O257" i="36"/>
  <c r="M257" i="36"/>
  <c r="AZ256" i="36"/>
  <c r="AN256" i="36"/>
  <c r="Q256" i="36"/>
  <c r="O256" i="36"/>
  <c r="M256" i="36"/>
  <c r="AZ255" i="36"/>
  <c r="Q255" i="36"/>
  <c r="O255" i="36"/>
  <c r="M255" i="36"/>
  <c r="AZ254" i="36"/>
  <c r="AY254" i="36"/>
  <c r="AN254" i="36"/>
  <c r="Q254" i="36"/>
  <c r="O254" i="36"/>
  <c r="M254" i="36"/>
  <c r="AZ253" i="36"/>
  <c r="AY253" i="36"/>
  <c r="AW253" i="36"/>
  <c r="AV253" i="36"/>
  <c r="Q253" i="36"/>
  <c r="O253" i="36"/>
  <c r="M253" i="36"/>
  <c r="AZ252" i="36"/>
  <c r="AY252" i="36"/>
  <c r="AW252" i="36"/>
  <c r="AV252" i="36"/>
  <c r="AN252" i="36"/>
  <c r="Q252" i="36"/>
  <c r="O252" i="36"/>
  <c r="M252" i="36"/>
  <c r="AZ251" i="36"/>
  <c r="AY251" i="36"/>
  <c r="AW251" i="36"/>
  <c r="AV251" i="36"/>
  <c r="Q251" i="36"/>
  <c r="O251" i="36"/>
  <c r="M251" i="36"/>
  <c r="AZ250" i="36"/>
  <c r="AY250" i="36"/>
  <c r="AW250" i="36"/>
  <c r="AV250" i="36"/>
  <c r="AN250" i="36"/>
  <c r="Q250" i="36"/>
  <c r="O250" i="36"/>
  <c r="M250" i="36"/>
  <c r="AZ249" i="36"/>
  <c r="AY249" i="36"/>
  <c r="AW249" i="36"/>
  <c r="AV249" i="36"/>
  <c r="Q249" i="36"/>
  <c r="O249" i="36"/>
  <c r="M249" i="36"/>
  <c r="AZ248" i="36"/>
  <c r="AY248" i="36"/>
  <c r="AW248" i="36"/>
  <c r="AV248" i="36"/>
  <c r="AN248" i="36"/>
  <c r="Q248" i="36"/>
  <c r="O248" i="36"/>
  <c r="M248" i="36"/>
  <c r="AZ247" i="36"/>
  <c r="AY247" i="36"/>
  <c r="AW247" i="36"/>
  <c r="AV247" i="36"/>
  <c r="Q247" i="36"/>
  <c r="O247" i="36"/>
  <c r="M247" i="36"/>
  <c r="AZ246" i="36"/>
  <c r="AY246" i="36"/>
  <c r="AW246" i="36"/>
  <c r="AV246" i="36"/>
  <c r="AN246" i="36"/>
  <c r="Q246" i="36"/>
  <c r="Q275" i="36" s="1"/>
  <c r="AO92" i="36" s="1"/>
  <c r="D10" i="36" s="1"/>
  <c r="O246" i="36"/>
  <c r="M246" i="36"/>
  <c r="AZ245" i="36"/>
  <c r="AY245" i="36"/>
  <c r="AW245" i="36"/>
  <c r="AV245" i="36"/>
  <c r="Q245" i="36"/>
  <c r="O245" i="36"/>
  <c r="M245" i="36"/>
  <c r="AZ244" i="36"/>
  <c r="AY244" i="36"/>
  <c r="AW244" i="36"/>
  <c r="AV244" i="36"/>
  <c r="AN244" i="36"/>
  <c r="Q244" i="36"/>
  <c r="O244" i="36"/>
  <c r="M244" i="36"/>
  <c r="AZ243" i="36"/>
  <c r="AY243" i="36"/>
  <c r="AW243" i="36"/>
  <c r="AV243" i="36"/>
  <c r="Q243" i="36"/>
  <c r="O243" i="36"/>
  <c r="M243" i="36"/>
  <c r="AZ242" i="36"/>
  <c r="AY242" i="36"/>
  <c r="AW242" i="36"/>
  <c r="AV242" i="36"/>
  <c r="AN242" i="36"/>
  <c r="Q242" i="36"/>
  <c r="O242" i="36"/>
  <c r="M242" i="36"/>
  <c r="AZ241" i="36"/>
  <c r="AY241" i="36"/>
  <c r="AW241" i="36"/>
  <c r="AV241" i="36"/>
  <c r="Q241" i="36"/>
  <c r="O241" i="36"/>
  <c r="M241" i="36"/>
  <c r="AZ240" i="36"/>
  <c r="AY240" i="36"/>
  <c r="AW240" i="36"/>
  <c r="AV240" i="36"/>
  <c r="AN240" i="36"/>
  <c r="Q240" i="36"/>
  <c r="O240" i="36"/>
  <c r="M240" i="36"/>
  <c r="AZ239" i="36"/>
  <c r="AY239" i="36"/>
  <c r="AW239" i="36"/>
  <c r="AV239" i="36"/>
  <c r="Q239" i="36"/>
  <c r="O239" i="36"/>
  <c r="M239" i="36"/>
  <c r="AZ238" i="36"/>
  <c r="AY238" i="36"/>
  <c r="AW238" i="36"/>
  <c r="AV238" i="36"/>
  <c r="AN238" i="36"/>
  <c r="Q238" i="36"/>
  <c r="O238" i="36"/>
  <c r="M238" i="36"/>
  <c r="AZ237" i="36"/>
  <c r="AY237" i="36"/>
  <c r="AW237" i="36"/>
  <c r="AV237" i="36"/>
  <c r="Q237" i="36"/>
  <c r="O237" i="36"/>
  <c r="M237" i="36"/>
  <c r="AZ236" i="36"/>
  <c r="AY236" i="36"/>
  <c r="AW236" i="36"/>
  <c r="AV236" i="36"/>
  <c r="AN236" i="36"/>
  <c r="Q236" i="36"/>
  <c r="O236" i="36"/>
  <c r="M236" i="36"/>
  <c r="AZ235" i="36"/>
  <c r="AY235" i="36"/>
  <c r="AW235" i="36"/>
  <c r="AV235" i="36"/>
  <c r="Q235" i="36"/>
  <c r="O235" i="36"/>
  <c r="M235" i="36"/>
  <c r="AZ234" i="36"/>
  <c r="AY234" i="36"/>
  <c r="AW234" i="36"/>
  <c r="AV234" i="36"/>
  <c r="AN234" i="36"/>
  <c r="Q234" i="36"/>
  <c r="O234" i="36"/>
  <c r="O275" i="36" s="1"/>
  <c r="M234" i="36"/>
  <c r="AT234" i="36" s="1"/>
  <c r="H181" i="36"/>
  <c r="AV261" i="36" s="1"/>
  <c r="H180" i="36"/>
  <c r="AV260" i="36" s="1"/>
  <c r="H179" i="36"/>
  <c r="AY259" i="36" s="1"/>
  <c r="H178" i="36"/>
  <c r="AY258" i="36" s="1"/>
  <c r="H177" i="36"/>
  <c r="H176" i="36"/>
  <c r="AY257" i="36" s="1"/>
  <c r="H175" i="36"/>
  <c r="AY256" i="36" s="1"/>
  <c r="H174" i="36"/>
  <c r="H173" i="36"/>
  <c r="H172" i="36"/>
  <c r="AY255" i="36" s="1"/>
  <c r="H171" i="36"/>
  <c r="H170" i="36"/>
  <c r="AW254" i="36" s="1"/>
  <c r="H169" i="36"/>
  <c r="H168" i="36"/>
  <c r="H167" i="36"/>
  <c r="H166" i="36"/>
  <c r="H165" i="36"/>
  <c r="H164" i="36"/>
  <c r="H163" i="36"/>
  <c r="H162" i="36"/>
  <c r="H161" i="36"/>
  <c r="H160" i="36"/>
  <c r="H159" i="36"/>
  <c r="H158" i="36"/>
  <c r="H157" i="36"/>
  <c r="H156" i="36"/>
  <c r="H155" i="36"/>
  <c r="H154" i="36"/>
  <c r="H153" i="36"/>
  <c r="H152" i="36"/>
  <c r="H151" i="36"/>
  <c r="H150" i="36"/>
  <c r="H149" i="36"/>
  <c r="H148" i="36"/>
  <c r="H147" i="36"/>
  <c r="H146" i="36"/>
  <c r="H145" i="36"/>
  <c r="H144" i="36"/>
  <c r="H143" i="36"/>
  <c r="H142" i="36"/>
  <c r="H141" i="36"/>
  <c r="H140" i="36"/>
  <c r="H139" i="36"/>
  <c r="H138" i="36"/>
  <c r="H137" i="36"/>
  <c r="H136" i="36"/>
  <c r="H135" i="36"/>
  <c r="H134" i="36"/>
  <c r="H133" i="36"/>
  <c r="H132" i="36"/>
  <c r="H131" i="36"/>
  <c r="H130" i="36"/>
  <c r="H129" i="36"/>
  <c r="H128" i="36"/>
  <c r="H127" i="36"/>
  <c r="H126" i="36"/>
  <c r="H125" i="36"/>
  <c r="H124" i="36"/>
  <c r="H123" i="36"/>
  <c r="H122" i="36"/>
  <c r="H121" i="36"/>
  <c r="H120" i="36"/>
  <c r="H119" i="36"/>
  <c r="H118" i="36"/>
  <c r="H117" i="36"/>
  <c r="H116" i="36"/>
  <c r="H115" i="36"/>
  <c r="H114" i="36"/>
  <c r="H113" i="36"/>
  <c r="H112" i="36"/>
  <c r="H111" i="36"/>
  <c r="H110" i="36"/>
  <c r="H109" i="36"/>
  <c r="H108" i="36"/>
  <c r="B187" i="36" s="1" a="1"/>
  <c r="B187" i="36" s="1"/>
  <c r="H107" i="36"/>
  <c r="H106" i="36"/>
  <c r="H105" i="36"/>
  <c r="H104" i="36"/>
  <c r="H103" i="36"/>
  <c r="B188" i="36" s="1" a="1"/>
  <c r="B188" i="36" s="1"/>
  <c r="BS92" i="36"/>
  <c r="BU90" i="36"/>
  <c r="BT90" i="36"/>
  <c r="BS90" i="36"/>
  <c r="BR90" i="36"/>
  <c r="BQ90" i="36"/>
  <c r="BP90" i="36"/>
  <c r="BO90" i="36"/>
  <c r="BN90" i="36"/>
  <c r="BM90" i="36"/>
  <c r="BL90" i="36"/>
  <c r="BK90" i="36"/>
  <c r="AU90" i="36"/>
  <c r="AR90" i="36"/>
  <c r="AQ90" i="36"/>
  <c r="AO90" i="36"/>
  <c r="AN90" i="36"/>
  <c r="AM90" i="36"/>
  <c r="BQ89" i="36"/>
  <c r="BP89" i="36"/>
  <c r="BO89" i="36"/>
  <c r="BN89" i="36"/>
  <c r="BM89" i="36"/>
  <c r="BL89" i="36"/>
  <c r="BK89" i="36"/>
  <c r="AU89" i="36"/>
  <c r="AR89" i="36"/>
  <c r="AQ89" i="36"/>
  <c r="AO89" i="36"/>
  <c r="AN89" i="36"/>
  <c r="AM89" i="36"/>
  <c r="BU88" i="36"/>
  <c r="BT88" i="36"/>
  <c r="BT92" i="36" s="1"/>
  <c r="BS88" i="36"/>
  <c r="BR88" i="36"/>
  <c r="BQ88" i="36"/>
  <c r="BP88" i="36"/>
  <c r="BO88" i="36"/>
  <c r="BN88" i="36"/>
  <c r="BM88" i="36"/>
  <c r="BL88" i="36"/>
  <c r="BK88" i="36"/>
  <c r="AU88" i="36"/>
  <c r="AR88" i="36"/>
  <c r="AQ88" i="36"/>
  <c r="AO88" i="36"/>
  <c r="AN88" i="36"/>
  <c r="AM88" i="36"/>
  <c r="BQ87" i="36"/>
  <c r="BQ92" i="36" s="1"/>
  <c r="BP87" i="36"/>
  <c r="BO87" i="36"/>
  <c r="BN87" i="36"/>
  <c r="BM87" i="36"/>
  <c r="BL87" i="36"/>
  <c r="BK87" i="36"/>
  <c r="AU87" i="36"/>
  <c r="AR87" i="36"/>
  <c r="AQ87" i="36"/>
  <c r="AO87" i="36"/>
  <c r="AN87" i="36"/>
  <c r="AM87" i="36"/>
  <c r="BU86" i="36"/>
  <c r="BU92" i="36" s="1"/>
  <c r="BT86" i="36"/>
  <c r="BS86" i="36"/>
  <c r="BR86" i="36"/>
  <c r="BR92" i="36" s="1"/>
  <c r="BQ86" i="36"/>
  <c r="BP86" i="36"/>
  <c r="BO86" i="36"/>
  <c r="BN86" i="36"/>
  <c r="BM86" i="36"/>
  <c r="BL86" i="36"/>
  <c r="BK86" i="36"/>
  <c r="AU86" i="36"/>
  <c r="AR86" i="36"/>
  <c r="AQ86" i="36"/>
  <c r="AO86" i="36"/>
  <c r="AN86" i="36"/>
  <c r="AM86" i="36"/>
  <c r="BP82" i="36"/>
  <c r="BO82" i="36"/>
  <c r="BN82" i="36"/>
  <c r="BM82" i="36"/>
  <c r="BL82" i="36"/>
  <c r="BK82" i="36"/>
  <c r="BJ82" i="36"/>
  <c r="BI82" i="36"/>
  <c r="BH82" i="36"/>
  <c r="BG82" i="36"/>
  <c r="BF82" i="36"/>
  <c r="BE82" i="36"/>
  <c r="BD82" i="36"/>
  <c r="BC82" i="36"/>
  <c r="BB82" i="36"/>
  <c r="BA82" i="36"/>
  <c r="AZ82" i="36"/>
  <c r="AY82" i="36"/>
  <c r="AX82" i="36"/>
  <c r="AW82" i="36"/>
  <c r="AV82" i="36"/>
  <c r="AU82" i="36"/>
  <c r="AT82" i="36"/>
  <c r="AS82" i="36"/>
  <c r="AR82" i="36"/>
  <c r="AQ82" i="36"/>
  <c r="AP82" i="36"/>
  <c r="AO82" i="36"/>
  <c r="AN82" i="36"/>
  <c r="AM82" i="36"/>
  <c r="BP80" i="36"/>
  <c r="BO80" i="36"/>
  <c r="BN80" i="36"/>
  <c r="BM80" i="36"/>
  <c r="BL80" i="36"/>
  <c r="BK80" i="36"/>
  <c r="BJ80" i="36"/>
  <c r="BI80" i="36"/>
  <c r="BH80" i="36"/>
  <c r="BG80" i="36"/>
  <c r="BF80" i="36"/>
  <c r="BE80" i="36"/>
  <c r="BD80" i="36"/>
  <c r="BC80" i="36"/>
  <c r="BB80" i="36"/>
  <c r="BA80" i="36"/>
  <c r="AZ80" i="36"/>
  <c r="AY80" i="36"/>
  <c r="AX80" i="36"/>
  <c r="AW80" i="36"/>
  <c r="AV80" i="36"/>
  <c r="AU80" i="36"/>
  <c r="AT80" i="36"/>
  <c r="AS80" i="36"/>
  <c r="AR80" i="36"/>
  <c r="AQ80" i="36"/>
  <c r="AP80" i="36"/>
  <c r="AO80" i="36"/>
  <c r="AN80" i="36"/>
  <c r="AM80" i="36"/>
  <c r="BP78" i="36"/>
  <c r="BO78" i="36"/>
  <c r="BN78" i="36"/>
  <c r="BM78" i="36"/>
  <c r="BL78" i="36"/>
  <c r="BK78" i="36"/>
  <c r="BJ78" i="36"/>
  <c r="BI78" i="36"/>
  <c r="BH78" i="36"/>
  <c r="BG78" i="36"/>
  <c r="BF78" i="36"/>
  <c r="BE78" i="36"/>
  <c r="BD78" i="36"/>
  <c r="BC78" i="36"/>
  <c r="BB78" i="36"/>
  <c r="BA78" i="36"/>
  <c r="AZ78" i="36"/>
  <c r="AY78" i="36"/>
  <c r="AX78" i="36"/>
  <c r="AW78" i="36"/>
  <c r="AV78" i="36"/>
  <c r="AU78" i="36"/>
  <c r="AT78" i="36"/>
  <c r="AS78" i="36"/>
  <c r="AR78" i="36"/>
  <c r="AQ78" i="36"/>
  <c r="AP78" i="36"/>
  <c r="AO78" i="36"/>
  <c r="AN78" i="36"/>
  <c r="AM78" i="36"/>
  <c r="BP74" i="36"/>
  <c r="BO74" i="36"/>
  <c r="BN74" i="36"/>
  <c r="BM74" i="36"/>
  <c r="BL74" i="36"/>
  <c r="BK74" i="36"/>
  <c r="BJ74" i="36"/>
  <c r="BI74" i="36"/>
  <c r="BH74" i="36"/>
  <c r="BG74" i="36"/>
  <c r="BF74" i="36"/>
  <c r="BE74" i="36"/>
  <c r="BD74" i="36"/>
  <c r="BC74" i="36"/>
  <c r="BB74" i="36"/>
  <c r="BA74" i="36"/>
  <c r="AZ74" i="36"/>
  <c r="AY74" i="36"/>
  <c r="AX74" i="36"/>
  <c r="AW74" i="36"/>
  <c r="AV74" i="36"/>
  <c r="AU74" i="36"/>
  <c r="AT74" i="36"/>
  <c r="AS74" i="36"/>
  <c r="AR74" i="36"/>
  <c r="AQ74" i="36"/>
  <c r="AP74" i="36"/>
  <c r="AO74" i="36"/>
  <c r="AN74" i="36"/>
  <c r="AM74" i="36"/>
  <c r="BP72" i="36"/>
  <c r="BO72" i="36"/>
  <c r="BN72" i="36"/>
  <c r="BM72" i="36"/>
  <c r="BL72" i="36"/>
  <c r="BK72" i="36"/>
  <c r="BJ72" i="36"/>
  <c r="BI72" i="36"/>
  <c r="BH72" i="36"/>
  <c r="BG72" i="36"/>
  <c r="BF72" i="36"/>
  <c r="BE72" i="36"/>
  <c r="BD72" i="36"/>
  <c r="BC72" i="36"/>
  <c r="BB72" i="36"/>
  <c r="BA72" i="36"/>
  <c r="AZ72" i="36"/>
  <c r="AY72" i="36"/>
  <c r="AX72" i="36"/>
  <c r="AW72" i="36"/>
  <c r="AV72" i="36"/>
  <c r="AU72" i="36"/>
  <c r="AT72" i="36"/>
  <c r="AS72" i="36"/>
  <c r="AR72" i="36"/>
  <c r="AQ72" i="36"/>
  <c r="AP72" i="36"/>
  <c r="AO72" i="36"/>
  <c r="AN72" i="36"/>
  <c r="AM72" i="36"/>
  <c r="BP70" i="36"/>
  <c r="BO70" i="36"/>
  <c r="BN70" i="36"/>
  <c r="BM70" i="36"/>
  <c r="BL70" i="36"/>
  <c r="BK70" i="36"/>
  <c r="BJ70" i="36"/>
  <c r="BI70" i="36"/>
  <c r="BH70" i="36"/>
  <c r="BG70" i="36"/>
  <c r="BF70" i="36"/>
  <c r="BE70" i="36"/>
  <c r="BD70" i="36"/>
  <c r="BC70" i="36"/>
  <c r="BB70" i="36"/>
  <c r="BA70" i="36"/>
  <c r="AZ70" i="36"/>
  <c r="AY70" i="36"/>
  <c r="AX70" i="36"/>
  <c r="AW70" i="36"/>
  <c r="AV70" i="36"/>
  <c r="AU70" i="36"/>
  <c r="AT70" i="36"/>
  <c r="AS70" i="36"/>
  <c r="AR70" i="36"/>
  <c r="AQ70" i="36"/>
  <c r="AP70" i="36"/>
  <c r="AO70" i="36"/>
  <c r="AN70" i="36"/>
  <c r="AM70" i="36"/>
  <c r="BP66" i="36"/>
  <c r="BO66" i="36"/>
  <c r="BN66" i="36"/>
  <c r="BM66" i="36"/>
  <c r="BL66" i="36"/>
  <c r="BK66" i="36"/>
  <c r="BJ66" i="36"/>
  <c r="BI66" i="36"/>
  <c r="BH66" i="36"/>
  <c r="BG66" i="36"/>
  <c r="BF66" i="36"/>
  <c r="BE66" i="36"/>
  <c r="BD66" i="36"/>
  <c r="BC66" i="36"/>
  <c r="BB66" i="36"/>
  <c r="BA66" i="36"/>
  <c r="AZ66" i="36"/>
  <c r="AY66" i="36"/>
  <c r="AX66" i="36"/>
  <c r="AW66" i="36"/>
  <c r="AV66" i="36"/>
  <c r="AU66" i="36"/>
  <c r="AT66" i="36"/>
  <c r="AS66" i="36"/>
  <c r="AR66" i="36"/>
  <c r="AQ66" i="36"/>
  <c r="AP66" i="36"/>
  <c r="AO66" i="36"/>
  <c r="AN66" i="36"/>
  <c r="AM66" i="36"/>
  <c r="BP64" i="36"/>
  <c r="BO64" i="36"/>
  <c r="BN64" i="36"/>
  <c r="BM64" i="36"/>
  <c r="BL64" i="36"/>
  <c r="BK64" i="36"/>
  <c r="BJ64" i="36"/>
  <c r="BI64" i="36"/>
  <c r="BH64" i="36"/>
  <c r="BG64" i="36"/>
  <c r="BF64" i="36"/>
  <c r="BE64" i="36"/>
  <c r="BD64" i="36"/>
  <c r="BC64" i="36"/>
  <c r="BB64" i="36"/>
  <c r="BA64" i="36"/>
  <c r="AZ64" i="36"/>
  <c r="AY64" i="36"/>
  <c r="AX64" i="36"/>
  <c r="AW64" i="36"/>
  <c r="AV64" i="36"/>
  <c r="AU64" i="36"/>
  <c r="AT64" i="36"/>
  <c r="AS64" i="36"/>
  <c r="AR64" i="36"/>
  <c r="AQ64" i="36"/>
  <c r="AP64" i="36"/>
  <c r="AO64" i="36"/>
  <c r="AN64" i="36"/>
  <c r="AM64" i="36"/>
  <c r="BP62" i="36"/>
  <c r="BO62" i="36"/>
  <c r="BN62" i="36"/>
  <c r="BM62" i="36"/>
  <c r="BL62" i="36"/>
  <c r="BK62" i="36"/>
  <c r="BJ62" i="36"/>
  <c r="BI62" i="36"/>
  <c r="BH62" i="36"/>
  <c r="BG62" i="36"/>
  <c r="BF62" i="36"/>
  <c r="BE62" i="36"/>
  <c r="BD62" i="36"/>
  <c r="BC62" i="36"/>
  <c r="BB62" i="36"/>
  <c r="BA62" i="36"/>
  <c r="AZ62" i="36"/>
  <c r="AY62" i="36"/>
  <c r="AX62" i="36"/>
  <c r="AW62" i="36"/>
  <c r="AV62" i="36"/>
  <c r="AU62" i="36"/>
  <c r="AT62" i="36"/>
  <c r="AS62" i="36"/>
  <c r="AR62" i="36"/>
  <c r="AQ62" i="36"/>
  <c r="AP62" i="36"/>
  <c r="AO62" i="36"/>
  <c r="AN62" i="36"/>
  <c r="AM62" i="36"/>
  <c r="BP60" i="36"/>
  <c r="BO60" i="36"/>
  <c r="BN60" i="36"/>
  <c r="BM60" i="36"/>
  <c r="BL60" i="36"/>
  <c r="BK60" i="36"/>
  <c r="BJ60" i="36"/>
  <c r="BI60" i="36"/>
  <c r="BH60" i="36"/>
  <c r="BG60" i="36"/>
  <c r="BF60" i="36"/>
  <c r="BE60" i="36"/>
  <c r="BD60" i="36"/>
  <c r="BC60" i="36"/>
  <c r="BB60" i="36"/>
  <c r="BA60" i="36"/>
  <c r="AZ60" i="36"/>
  <c r="AY60" i="36"/>
  <c r="AX60" i="36"/>
  <c r="AW60" i="36"/>
  <c r="AV60" i="36"/>
  <c r="AU60" i="36"/>
  <c r="AT60" i="36"/>
  <c r="AS60" i="36"/>
  <c r="AR60" i="36"/>
  <c r="AQ60" i="36"/>
  <c r="AP60" i="36"/>
  <c r="AO60" i="36"/>
  <c r="AN60" i="36"/>
  <c r="AM60" i="36"/>
  <c r="BP58" i="36"/>
  <c r="BO58" i="36"/>
  <c r="BN58" i="36"/>
  <c r="BM58" i="36"/>
  <c r="BL58" i="36"/>
  <c r="BK58" i="36"/>
  <c r="BJ58" i="36"/>
  <c r="BI58" i="36"/>
  <c r="BH58" i="36"/>
  <c r="BG58" i="36"/>
  <c r="BF58" i="36"/>
  <c r="BE58" i="36"/>
  <c r="BD58" i="36"/>
  <c r="BC58" i="36"/>
  <c r="BB58" i="36"/>
  <c r="BA58" i="36"/>
  <c r="AZ58" i="36"/>
  <c r="AY58" i="36"/>
  <c r="AX58" i="36"/>
  <c r="AW58" i="36"/>
  <c r="AV58" i="36"/>
  <c r="AU58" i="36"/>
  <c r="AT58" i="36"/>
  <c r="AS58" i="36"/>
  <c r="AR58" i="36"/>
  <c r="AQ58" i="36"/>
  <c r="AP58" i="36"/>
  <c r="AO58" i="36"/>
  <c r="AN58" i="36"/>
  <c r="AM58" i="36"/>
  <c r="BP56" i="36"/>
  <c r="BO56" i="36"/>
  <c r="BN56" i="36"/>
  <c r="BM56" i="36"/>
  <c r="BL56" i="36"/>
  <c r="BK56" i="36"/>
  <c r="BJ56" i="36"/>
  <c r="BI56" i="36"/>
  <c r="BH56" i="36"/>
  <c r="BG56" i="36"/>
  <c r="BF56" i="36"/>
  <c r="BE56" i="36"/>
  <c r="BD56" i="36"/>
  <c r="BC56" i="36"/>
  <c r="BB56" i="36"/>
  <c r="BA56" i="36"/>
  <c r="AZ56" i="36"/>
  <c r="AY56" i="36"/>
  <c r="AX56" i="36"/>
  <c r="AW56" i="36"/>
  <c r="AV56" i="36"/>
  <c r="AU56" i="36"/>
  <c r="AT56" i="36"/>
  <c r="AS56" i="36"/>
  <c r="AR56" i="36"/>
  <c r="AQ56" i="36"/>
  <c r="AP56" i="36"/>
  <c r="AO56" i="36"/>
  <c r="AN56" i="36"/>
  <c r="AM56" i="36"/>
  <c r="BP54" i="36"/>
  <c r="BO54" i="36"/>
  <c r="BN54" i="36"/>
  <c r="BM54" i="36"/>
  <c r="BL54" i="36"/>
  <c r="BK54" i="36"/>
  <c r="BJ54" i="36"/>
  <c r="BI54" i="36"/>
  <c r="BH54" i="36"/>
  <c r="BG54" i="36"/>
  <c r="BF54" i="36"/>
  <c r="BE54" i="36"/>
  <c r="BD54" i="36"/>
  <c r="BC54" i="36"/>
  <c r="BB54" i="36"/>
  <c r="BA54" i="36"/>
  <c r="AZ54" i="36"/>
  <c r="AY54" i="36"/>
  <c r="AX54" i="36"/>
  <c r="AW54" i="36"/>
  <c r="AV54" i="36"/>
  <c r="AU54" i="36"/>
  <c r="AT54" i="36"/>
  <c r="AS54" i="36"/>
  <c r="AR54" i="36"/>
  <c r="AQ54" i="36"/>
  <c r="AP54" i="36"/>
  <c r="AO54" i="36"/>
  <c r="AN54" i="36"/>
  <c r="AM54" i="36"/>
  <c r="BP52" i="36"/>
  <c r="BO52" i="36"/>
  <c r="BN52" i="36"/>
  <c r="BM52" i="36"/>
  <c r="BL52" i="36"/>
  <c r="BK52" i="36"/>
  <c r="BJ52" i="36"/>
  <c r="BI52" i="36"/>
  <c r="BH52" i="36"/>
  <c r="BG52" i="36"/>
  <c r="BF52" i="36"/>
  <c r="BE52" i="36"/>
  <c r="BD52" i="36"/>
  <c r="BC52" i="36"/>
  <c r="BB52" i="36"/>
  <c r="BA52" i="36"/>
  <c r="AZ52" i="36"/>
  <c r="AY52" i="36"/>
  <c r="AX52" i="36"/>
  <c r="AW52" i="36"/>
  <c r="AV52" i="36"/>
  <c r="AU52" i="36"/>
  <c r="AT52" i="36"/>
  <c r="AS52" i="36"/>
  <c r="AR52" i="36"/>
  <c r="AQ52" i="36"/>
  <c r="AP52" i="36"/>
  <c r="AO52" i="36"/>
  <c r="AN52" i="36"/>
  <c r="AM52" i="36"/>
  <c r="BP50" i="36"/>
  <c r="BO50" i="36"/>
  <c r="BN50" i="36"/>
  <c r="BM50" i="36"/>
  <c r="BL50" i="36"/>
  <c r="BK50" i="36"/>
  <c r="BJ50" i="36"/>
  <c r="BF50" i="36"/>
  <c r="BE50" i="36"/>
  <c r="BC50" i="36"/>
  <c r="BB50" i="36"/>
  <c r="AX50" i="36"/>
  <c r="AW50" i="36"/>
  <c r="AU50" i="36"/>
  <c r="AT50" i="36"/>
  <c r="AS50" i="36"/>
  <c r="AP50" i="36"/>
  <c r="AO50" i="36"/>
  <c r="AN50" i="36"/>
  <c r="AM50" i="36"/>
  <c r="BP48" i="36"/>
  <c r="BO48" i="36"/>
  <c r="BN48" i="36"/>
  <c r="BM48" i="36"/>
  <c r="BL48" i="36"/>
  <c r="BK48" i="36"/>
  <c r="BJ48" i="36"/>
  <c r="BI48" i="36"/>
  <c r="BH48" i="36"/>
  <c r="BG48" i="36"/>
  <c r="BF48" i="36"/>
  <c r="BE48" i="36"/>
  <c r="BD48" i="36"/>
  <c r="BC48" i="36"/>
  <c r="BB48" i="36"/>
  <c r="BA48" i="36"/>
  <c r="AZ48" i="36"/>
  <c r="AY48" i="36"/>
  <c r="AX48" i="36"/>
  <c r="AW48" i="36"/>
  <c r="AV48" i="36"/>
  <c r="AU48" i="36"/>
  <c r="AT48" i="36"/>
  <c r="AS48" i="36"/>
  <c r="AR48" i="36"/>
  <c r="AQ48" i="36"/>
  <c r="AP48" i="36"/>
  <c r="AO48" i="36"/>
  <c r="AN48" i="36"/>
  <c r="AM48" i="36"/>
  <c r="BO46" i="36"/>
  <c r="BN46" i="36"/>
  <c r="BJ46" i="36"/>
  <c r="BI46" i="36"/>
  <c r="BG46" i="36"/>
  <c r="BF46" i="36"/>
  <c r="BB46" i="36"/>
  <c r="BA46" i="36"/>
  <c r="AY46" i="36"/>
  <c r="AX46" i="36"/>
  <c r="AT46" i="36"/>
  <c r="AS46" i="36"/>
  <c r="AQ46" i="36"/>
  <c r="AP46" i="36"/>
  <c r="AO46" i="36"/>
  <c r="AN46" i="36"/>
  <c r="AM46" i="36"/>
  <c r="BP44" i="36"/>
  <c r="BO44" i="36"/>
  <c r="BN44" i="36"/>
  <c r="BM44" i="36"/>
  <c r="BL44" i="36"/>
  <c r="BK44" i="36"/>
  <c r="BJ44" i="36"/>
  <c r="BI44" i="36"/>
  <c r="BH44" i="36"/>
  <c r="BG44" i="36"/>
  <c r="BF44" i="36"/>
  <c r="BE44" i="36"/>
  <c r="BD44" i="36"/>
  <c r="BC44" i="36"/>
  <c r="BB44" i="36"/>
  <c r="BA44" i="36"/>
  <c r="AZ44" i="36"/>
  <c r="AY44" i="36"/>
  <c r="AX44" i="36"/>
  <c r="AW44" i="36"/>
  <c r="AV44" i="36"/>
  <c r="AU44" i="36"/>
  <c r="AT44" i="36"/>
  <c r="AS44" i="36"/>
  <c r="AR44" i="36"/>
  <c r="AQ44" i="36"/>
  <c r="AP44" i="36"/>
  <c r="AO44" i="36"/>
  <c r="AN44" i="36"/>
  <c r="AM44" i="36"/>
  <c r="BP42" i="36"/>
  <c r="BO42" i="36"/>
  <c r="BN42" i="36"/>
  <c r="BM42" i="36"/>
  <c r="BL42" i="36"/>
  <c r="BK42" i="36"/>
  <c r="BJ42" i="36"/>
  <c r="BI42" i="36"/>
  <c r="BH42" i="36"/>
  <c r="BG42" i="36"/>
  <c r="BF42" i="36"/>
  <c r="BE42" i="36"/>
  <c r="BD42" i="36"/>
  <c r="BC42" i="36"/>
  <c r="BB42" i="36"/>
  <c r="BA42" i="36"/>
  <c r="AZ42" i="36"/>
  <c r="AY42" i="36"/>
  <c r="AX42" i="36"/>
  <c r="AW42" i="36"/>
  <c r="AV42" i="36"/>
  <c r="AU42" i="36"/>
  <c r="AT42" i="36"/>
  <c r="AS42" i="36"/>
  <c r="AR42" i="36"/>
  <c r="AQ42" i="36"/>
  <c r="AP42" i="36"/>
  <c r="AO42" i="36"/>
  <c r="AN42" i="36"/>
  <c r="AM42" i="36"/>
  <c r="BP40" i="36"/>
  <c r="BO40" i="36"/>
  <c r="BN40" i="36"/>
  <c r="BM40" i="36"/>
  <c r="BL40" i="36"/>
  <c r="BK40" i="36"/>
  <c r="BJ40" i="36"/>
  <c r="BI40" i="36"/>
  <c r="BH40" i="36"/>
  <c r="BG40" i="36"/>
  <c r="BF40" i="36"/>
  <c r="BE40" i="36"/>
  <c r="BD40" i="36"/>
  <c r="BC40" i="36"/>
  <c r="BB40" i="36"/>
  <c r="BA40" i="36"/>
  <c r="AZ40" i="36"/>
  <c r="AY40" i="36"/>
  <c r="AX40" i="36"/>
  <c r="AW40" i="36"/>
  <c r="AV40" i="36"/>
  <c r="AU40" i="36"/>
  <c r="AT40" i="36"/>
  <c r="AS40" i="36"/>
  <c r="AR40" i="36"/>
  <c r="AQ40" i="36"/>
  <c r="AP40" i="36"/>
  <c r="AO40" i="36"/>
  <c r="AN40" i="36"/>
  <c r="AM40" i="36"/>
  <c r="CH38" i="36"/>
  <c r="CG38" i="36"/>
  <c r="CF38" i="36"/>
  <c r="CE38" i="36"/>
  <c r="CD38" i="36"/>
  <c r="CC38" i="36"/>
  <c r="CB38" i="36"/>
  <c r="CA38" i="36"/>
  <c r="BZ38" i="36"/>
  <c r="BY38" i="36"/>
  <c r="BX38" i="36"/>
  <c r="BW38" i="36"/>
  <c r="BV38" i="36"/>
  <c r="BP38" i="36"/>
  <c r="BO38" i="36"/>
  <c r="BN38" i="36"/>
  <c r="BM38" i="36"/>
  <c r="BL38" i="36"/>
  <c r="BK38" i="36"/>
  <c r="BJ38" i="36"/>
  <c r="BI38" i="36"/>
  <c r="BH38" i="36"/>
  <c r="BG38" i="36"/>
  <c r="BF38" i="36"/>
  <c r="BE38" i="36"/>
  <c r="BD38" i="36"/>
  <c r="BC38" i="36"/>
  <c r="BB38" i="36"/>
  <c r="BA38" i="36"/>
  <c r="AZ38" i="36"/>
  <c r="AY38" i="36"/>
  <c r="AX38" i="36"/>
  <c r="AW38" i="36"/>
  <c r="AV38" i="36"/>
  <c r="AU38" i="36"/>
  <c r="AT38" i="36"/>
  <c r="AS38" i="36"/>
  <c r="AR38" i="36"/>
  <c r="AQ38" i="36"/>
  <c r="AP38" i="36"/>
  <c r="AO38" i="36"/>
  <c r="AN38" i="36"/>
  <c r="AM38" i="36"/>
  <c r="BP36" i="36"/>
  <c r="BO36" i="36"/>
  <c r="BN36" i="36"/>
  <c r="BM36" i="36"/>
  <c r="BL36" i="36"/>
  <c r="BK36" i="36"/>
  <c r="BJ36" i="36"/>
  <c r="BI36" i="36"/>
  <c r="BH36" i="36"/>
  <c r="BG36" i="36"/>
  <c r="BF36" i="36"/>
  <c r="BE36" i="36"/>
  <c r="BD36" i="36"/>
  <c r="BC36" i="36"/>
  <c r="BB36" i="36"/>
  <c r="BA36" i="36"/>
  <c r="AZ36" i="36"/>
  <c r="AY36" i="36"/>
  <c r="AX36" i="36"/>
  <c r="AW36" i="36"/>
  <c r="AV36" i="36"/>
  <c r="AU36" i="36"/>
  <c r="AT36" i="36"/>
  <c r="AS36" i="36"/>
  <c r="AR36" i="36"/>
  <c r="AQ36" i="36"/>
  <c r="AP36" i="36"/>
  <c r="AO36" i="36"/>
  <c r="AN36" i="36"/>
  <c r="AM36" i="36"/>
  <c r="BP34" i="36"/>
  <c r="BO34" i="36"/>
  <c r="BN34" i="36"/>
  <c r="BM34" i="36"/>
  <c r="BL34" i="36"/>
  <c r="BK34" i="36"/>
  <c r="BJ34" i="36"/>
  <c r="BI34" i="36"/>
  <c r="BH34" i="36"/>
  <c r="BG34" i="36"/>
  <c r="BF34" i="36"/>
  <c r="BE34" i="36"/>
  <c r="BD34" i="36"/>
  <c r="BC34" i="36"/>
  <c r="BB34" i="36"/>
  <c r="BA34" i="36"/>
  <c r="AZ34" i="36"/>
  <c r="AY34" i="36"/>
  <c r="AX34" i="36"/>
  <c r="AW34" i="36"/>
  <c r="AV34" i="36"/>
  <c r="AU34" i="36"/>
  <c r="AT34" i="36"/>
  <c r="AS34" i="36"/>
  <c r="AR34" i="36"/>
  <c r="AQ34" i="36"/>
  <c r="AP34" i="36"/>
  <c r="AO34" i="36"/>
  <c r="AN34" i="36"/>
  <c r="AM34" i="36"/>
  <c r="BP32" i="36"/>
  <c r="BO32" i="36"/>
  <c r="BN32" i="36"/>
  <c r="BM32" i="36"/>
  <c r="BL32" i="36"/>
  <c r="BK32" i="36"/>
  <c r="BJ32" i="36"/>
  <c r="BI32" i="36"/>
  <c r="BH32" i="36"/>
  <c r="BG32" i="36"/>
  <c r="BF32" i="36"/>
  <c r="BE32" i="36"/>
  <c r="BD32" i="36"/>
  <c r="BC32" i="36"/>
  <c r="BB32" i="36"/>
  <c r="BA32" i="36"/>
  <c r="AZ32" i="36"/>
  <c r="AY32" i="36"/>
  <c r="AX32" i="36"/>
  <c r="AW32" i="36"/>
  <c r="AV32" i="36"/>
  <c r="AU32" i="36"/>
  <c r="AT32" i="36"/>
  <c r="AS32" i="36"/>
  <c r="AR32" i="36"/>
  <c r="AQ32" i="36"/>
  <c r="AP32" i="36"/>
  <c r="AO32" i="36"/>
  <c r="AN32" i="36"/>
  <c r="AM32" i="36"/>
  <c r="BY30" i="36"/>
  <c r="BX30" i="36"/>
  <c r="BW30" i="36"/>
  <c r="BV30" i="36"/>
  <c r="BP30" i="36"/>
  <c r="BO30" i="36"/>
  <c r="BN30" i="36"/>
  <c r="BM30" i="36"/>
  <c r="BL30" i="36"/>
  <c r="BK30" i="36"/>
  <c r="BJ30" i="36"/>
  <c r="BI30" i="36"/>
  <c r="BH30" i="36"/>
  <c r="BG30" i="36"/>
  <c r="BF30" i="36"/>
  <c r="BE30" i="36"/>
  <c r="BD30" i="36"/>
  <c r="BC30" i="36"/>
  <c r="BB30" i="36"/>
  <c r="BA30" i="36"/>
  <c r="AZ30" i="36"/>
  <c r="AY30" i="36"/>
  <c r="AX30" i="36"/>
  <c r="AW30" i="36"/>
  <c r="AV30" i="36"/>
  <c r="AU30" i="36"/>
  <c r="AT30" i="36"/>
  <c r="AS30" i="36"/>
  <c r="AR30" i="36"/>
  <c r="AQ30" i="36"/>
  <c r="AP30" i="36"/>
  <c r="AO30" i="36"/>
  <c r="AN30" i="36"/>
  <c r="AM30" i="36"/>
  <c r="BV29" i="36"/>
  <c r="BY28" i="36"/>
  <c r="BX28" i="36"/>
  <c r="BW28" i="36"/>
  <c r="BV28" i="36"/>
  <c r="BP28" i="36"/>
  <c r="BO28" i="36"/>
  <c r="BN28" i="36"/>
  <c r="BM28" i="36"/>
  <c r="BL28" i="36"/>
  <c r="BK28" i="36"/>
  <c r="BJ28" i="36"/>
  <c r="BI28" i="36"/>
  <c r="BH28" i="36"/>
  <c r="BG28" i="36"/>
  <c r="BF28" i="36"/>
  <c r="BE28" i="36"/>
  <c r="BD28" i="36"/>
  <c r="BC28" i="36"/>
  <c r="BB28" i="36"/>
  <c r="BA28" i="36"/>
  <c r="AZ28" i="36"/>
  <c r="AY28" i="36"/>
  <c r="AX28" i="36"/>
  <c r="AW28" i="36"/>
  <c r="AV28" i="36"/>
  <c r="AU28" i="36"/>
  <c r="AT28" i="36"/>
  <c r="AS28" i="36"/>
  <c r="AR28" i="36"/>
  <c r="AQ28" i="36"/>
  <c r="AP28" i="36"/>
  <c r="AO28" i="36"/>
  <c r="AN28" i="36"/>
  <c r="AM28" i="36"/>
  <c r="BV27" i="36"/>
  <c r="BY26" i="36"/>
  <c r="BY32" i="36" s="1"/>
  <c r="AP92" i="36" s="1"/>
  <c r="U6" i="36" s="1"/>
  <c r="BX26" i="36"/>
  <c r="BX32" i="36" s="1"/>
  <c r="BW26" i="36"/>
  <c r="BW32" i="36" s="1"/>
  <c r="BV26" i="36"/>
  <c r="BV32" i="36" s="1"/>
  <c r="BP26" i="36"/>
  <c r="BO26" i="36"/>
  <c r="BN26" i="36"/>
  <c r="BM26" i="36"/>
  <c r="BL26" i="36"/>
  <c r="BK26" i="36"/>
  <c r="BJ26" i="36"/>
  <c r="BI26" i="36"/>
  <c r="BH26" i="36"/>
  <c r="BG26" i="36"/>
  <c r="BF26" i="36"/>
  <c r="BE26" i="36"/>
  <c r="BD26" i="36"/>
  <c r="BC26" i="36"/>
  <c r="BB26" i="36"/>
  <c r="BA26" i="36"/>
  <c r="AZ26" i="36"/>
  <c r="AY26" i="36"/>
  <c r="AX26" i="36"/>
  <c r="AW26" i="36"/>
  <c r="AV26" i="36"/>
  <c r="AU26" i="36"/>
  <c r="AT26" i="36"/>
  <c r="AS26" i="36"/>
  <c r="AR26" i="36"/>
  <c r="AQ26" i="36"/>
  <c r="AP26" i="36"/>
  <c r="AO26" i="36"/>
  <c r="AN26" i="36"/>
  <c r="AM26" i="36"/>
  <c r="BP24" i="36"/>
  <c r="BO24" i="36"/>
  <c r="BN24" i="36"/>
  <c r="BM24" i="36"/>
  <c r="BL24" i="36"/>
  <c r="BK24" i="36"/>
  <c r="BJ24" i="36"/>
  <c r="BI24" i="36"/>
  <c r="BH24" i="36"/>
  <c r="BG24" i="36"/>
  <c r="BF24" i="36"/>
  <c r="BE24" i="36"/>
  <c r="BD24" i="36"/>
  <c r="BC24" i="36"/>
  <c r="BB24" i="36"/>
  <c r="BA24" i="36"/>
  <c r="AZ24" i="36"/>
  <c r="AY24" i="36"/>
  <c r="AX24" i="36"/>
  <c r="AW24" i="36"/>
  <c r="AV24" i="36"/>
  <c r="AU24" i="36"/>
  <c r="AT24" i="36"/>
  <c r="AS24" i="36"/>
  <c r="AR24" i="36"/>
  <c r="AQ24" i="36"/>
  <c r="AP24" i="36"/>
  <c r="AO24" i="36"/>
  <c r="AN24" i="36"/>
  <c r="AM24" i="36"/>
  <c r="BP22" i="36"/>
  <c r="BO22" i="36"/>
  <c r="BN22" i="36"/>
  <c r="BM22" i="36"/>
  <c r="BL22" i="36"/>
  <c r="BK22" i="36"/>
  <c r="BJ22" i="36"/>
  <c r="BI22" i="36"/>
  <c r="BH22" i="36"/>
  <c r="BG22" i="36"/>
  <c r="BF22" i="36"/>
  <c r="BE22" i="36"/>
  <c r="BD22" i="36"/>
  <c r="BC22" i="36"/>
  <c r="BB22" i="36"/>
  <c r="BA22" i="36"/>
  <c r="AZ22" i="36"/>
  <c r="AY22" i="36"/>
  <c r="AX22" i="36"/>
  <c r="AW22" i="36"/>
  <c r="AV22" i="36"/>
  <c r="AU22" i="36"/>
  <c r="AT22" i="36"/>
  <c r="AS22" i="36"/>
  <c r="AR22" i="36"/>
  <c r="AQ22" i="36"/>
  <c r="AP22" i="36"/>
  <c r="AO22" i="36"/>
  <c r="AN22" i="36"/>
  <c r="AM22" i="36"/>
  <c r="BV20" i="36"/>
  <c r="BP20" i="36"/>
  <c r="BO20" i="36"/>
  <c r="BN20" i="36"/>
  <c r="BM20" i="36"/>
  <c r="BL20" i="36"/>
  <c r="BK20" i="36"/>
  <c r="BJ20" i="36"/>
  <c r="BI20" i="36"/>
  <c r="BH20" i="36"/>
  <c r="BG20" i="36"/>
  <c r="BF20" i="36"/>
  <c r="BE20" i="36"/>
  <c r="BD20" i="36"/>
  <c r="BC20" i="36"/>
  <c r="BB20" i="36"/>
  <c r="BA20" i="36"/>
  <c r="AZ20" i="36"/>
  <c r="AY20" i="36"/>
  <c r="AX20" i="36"/>
  <c r="AW20" i="36"/>
  <c r="AV20" i="36"/>
  <c r="AU20" i="36"/>
  <c r="AT20" i="36"/>
  <c r="AS20" i="36"/>
  <c r="AR20" i="36"/>
  <c r="AQ20" i="36"/>
  <c r="AP20" i="36"/>
  <c r="AO20" i="36"/>
  <c r="AN20" i="36"/>
  <c r="AM20" i="36"/>
  <c r="BP18" i="36"/>
  <c r="BO18" i="36"/>
  <c r="BN18" i="36"/>
  <c r="BM18" i="36"/>
  <c r="BL18" i="36"/>
  <c r="BK18" i="36"/>
  <c r="BJ18" i="36"/>
  <c r="BI18" i="36"/>
  <c r="BH18" i="36"/>
  <c r="BG18" i="36"/>
  <c r="BF18" i="36"/>
  <c r="BE18" i="36"/>
  <c r="BD18" i="36"/>
  <c r="BC18" i="36"/>
  <c r="BB18" i="36"/>
  <c r="BA18" i="36"/>
  <c r="AZ18" i="36"/>
  <c r="AY18" i="36"/>
  <c r="AX18" i="36"/>
  <c r="AW18" i="36"/>
  <c r="AV18" i="36"/>
  <c r="AU18" i="36"/>
  <c r="AT18" i="36"/>
  <c r="AS18" i="36"/>
  <c r="AR18" i="36"/>
  <c r="AQ18" i="36"/>
  <c r="AP18" i="36"/>
  <c r="AO18" i="36"/>
  <c r="AN18" i="36"/>
  <c r="AM18" i="36"/>
  <c r="BP16" i="36"/>
  <c r="BO16" i="36"/>
  <c r="BO92" i="36" s="1"/>
  <c r="BN16" i="36"/>
  <c r="BN92" i="36" s="1"/>
  <c r="BM16" i="36"/>
  <c r="BL16" i="36"/>
  <c r="BK16" i="36"/>
  <c r="BJ16" i="36"/>
  <c r="BJ92" i="36" s="1"/>
  <c r="F195" i="36" s="1"/>
  <c r="BI16" i="36"/>
  <c r="BH16" i="36"/>
  <c r="BG16" i="36"/>
  <c r="BF16" i="36"/>
  <c r="BF92" i="36" s="1"/>
  <c r="F193" i="36" s="1"/>
  <c r="BE16" i="36"/>
  <c r="BD16" i="36"/>
  <c r="BC16" i="36"/>
  <c r="BB16" i="36"/>
  <c r="BB92" i="36" s="1"/>
  <c r="F192" i="36" s="1"/>
  <c r="BA16" i="36"/>
  <c r="AZ16" i="36"/>
  <c r="AY16" i="36"/>
  <c r="AX16" i="36"/>
  <c r="AX92" i="36" s="1"/>
  <c r="F204" i="36" s="1"/>
  <c r="AW16" i="36"/>
  <c r="AV16" i="36"/>
  <c r="AU16" i="36"/>
  <c r="AT16" i="36"/>
  <c r="AT92" i="36" s="1"/>
  <c r="U8" i="36" s="1"/>
  <c r="AP8" i="36" s="1"/>
  <c r="AS16" i="36"/>
  <c r="AS92" i="36" s="1"/>
  <c r="AR16" i="36"/>
  <c r="AQ16" i="36"/>
  <c r="AP16" i="36"/>
  <c r="AO16" i="36"/>
  <c r="AN16" i="36"/>
  <c r="AM16" i="36"/>
  <c r="BM92" i="56" l="1"/>
  <c r="J23" i="19" s="1"/>
  <c r="BM92" i="38"/>
  <c r="J5" i="19" s="1"/>
  <c r="BM92" i="50"/>
  <c r="J17" i="19" s="1"/>
  <c r="BM92" i="55"/>
  <c r="J22" i="19" s="1"/>
  <c r="BM92" i="46"/>
  <c r="J13" i="19" s="1"/>
  <c r="BM92" i="51"/>
  <c r="J18" i="19" s="1"/>
  <c r="F8" i="94"/>
  <c r="F12" i="94"/>
  <c r="N10" i="94"/>
  <c r="F10" i="94"/>
  <c r="F99" i="94"/>
  <c r="L92" i="94"/>
  <c r="J71" i="94"/>
  <c r="F95" i="94" s="1"/>
  <c r="F99" i="93"/>
  <c r="J92" i="93"/>
  <c r="F96" i="93" s="1"/>
  <c r="L71" i="93"/>
  <c r="J78" i="93"/>
  <c r="F97" i="93" s="1"/>
  <c r="N64" i="93"/>
  <c r="N71" i="93" s="1"/>
  <c r="F98" i="93" s="1"/>
  <c r="L92" i="92"/>
  <c r="F99" i="92" s="1"/>
  <c r="H78" i="92"/>
  <c r="F96" i="92" s="1"/>
  <c r="L71" i="92"/>
  <c r="F10" i="91"/>
  <c r="F8" i="91"/>
  <c r="F12" i="91"/>
  <c r="N10" i="91"/>
  <c r="F99" i="91"/>
  <c r="H78" i="91"/>
  <c r="F96" i="91" s="1"/>
  <c r="N64" i="91"/>
  <c r="N71" i="91" s="1"/>
  <c r="F98" i="91" s="1"/>
  <c r="J92" i="91"/>
  <c r="F8" i="90"/>
  <c r="F12" i="90"/>
  <c r="N10" i="90"/>
  <c r="F10" i="90"/>
  <c r="F96" i="90"/>
  <c r="L92" i="90"/>
  <c r="F99" i="90" s="1"/>
  <c r="J71" i="90"/>
  <c r="F95" i="90" s="1"/>
  <c r="H78" i="90"/>
  <c r="F8" i="89"/>
  <c r="N10" i="89"/>
  <c r="F12" i="89"/>
  <c r="F10" i="89"/>
  <c r="F96" i="89"/>
  <c r="J78" i="89"/>
  <c r="F97" i="89" s="1"/>
  <c r="L92" i="89"/>
  <c r="F99" i="89" s="1"/>
  <c r="J71" i="89"/>
  <c r="F95" i="89" s="1"/>
  <c r="N64" i="89"/>
  <c r="N71" i="89" s="1"/>
  <c r="F98" i="89" s="1"/>
  <c r="F99" i="88"/>
  <c r="F96" i="88"/>
  <c r="L71" i="88"/>
  <c r="J78" i="88"/>
  <c r="F97" i="88" s="1"/>
  <c r="N64" i="88"/>
  <c r="N71" i="88" s="1"/>
  <c r="F98" i="88" s="1"/>
  <c r="F8" i="87"/>
  <c r="N10" i="87"/>
  <c r="F10" i="87"/>
  <c r="F12" i="87"/>
  <c r="N71" i="87"/>
  <c r="F98" i="87" s="1"/>
  <c r="F96" i="87"/>
  <c r="F100" i="87"/>
  <c r="L71" i="87"/>
  <c r="N64" i="87"/>
  <c r="BC92" i="59"/>
  <c r="F202" i="59" s="1"/>
  <c r="BK92" i="59"/>
  <c r="AO92" i="59"/>
  <c r="D10" i="59" s="1"/>
  <c r="AA6" i="59"/>
  <c r="AP6" i="59"/>
  <c r="AQ6" i="59"/>
  <c r="D227" i="59"/>
  <c r="BM92" i="59"/>
  <c r="J26" i="19" s="1"/>
  <c r="BP92" i="59"/>
  <c r="B185" i="59" a="1"/>
  <c r="B185" i="59" s="1"/>
  <c r="AV257" i="59"/>
  <c r="AW260" i="59"/>
  <c r="AY261" i="59"/>
  <c r="AU46" i="59"/>
  <c r="AU92" i="59" s="1"/>
  <c r="BC46" i="59"/>
  <c r="BK46" i="59"/>
  <c r="AQ50" i="59"/>
  <c r="AQ92" i="59" s="1"/>
  <c r="AA2" i="59" s="1"/>
  <c r="AY50" i="59"/>
  <c r="AY92" i="59" s="1"/>
  <c r="F198" i="59" s="1"/>
  <c r="BG50" i="59"/>
  <c r="BG92" i="59" s="1"/>
  <c r="F205" i="59" s="1"/>
  <c r="AV255" i="59"/>
  <c r="AV256" i="59"/>
  <c r="AW257" i="59"/>
  <c r="AW258" i="59"/>
  <c r="AY260" i="59"/>
  <c r="AV46" i="59"/>
  <c r="AV92" i="59" s="1"/>
  <c r="F206" i="59" s="1"/>
  <c r="BD46" i="59"/>
  <c r="BD92" i="59" s="1"/>
  <c r="F203" i="59" s="1"/>
  <c r="BL46" i="59"/>
  <c r="BL92" i="59" s="1"/>
  <c r="AR50" i="59"/>
  <c r="AZ50" i="59"/>
  <c r="BH50" i="59"/>
  <c r="B186" i="59" a="1"/>
  <c r="B186" i="59" s="1"/>
  <c r="AV254" i="59"/>
  <c r="AW255" i="59"/>
  <c r="AW256" i="59"/>
  <c r="M275" i="59"/>
  <c r="AM92" i="59" s="1"/>
  <c r="D6" i="59" s="1"/>
  <c r="AW46" i="59"/>
  <c r="AW92" i="59" s="1"/>
  <c r="F199" i="59" s="1"/>
  <c r="BE46" i="59"/>
  <c r="BE92" i="59" s="1"/>
  <c r="F196" i="59" s="1"/>
  <c r="BM46" i="59"/>
  <c r="BA50" i="59"/>
  <c r="BA92" i="59" s="1"/>
  <c r="F194" i="59" s="1"/>
  <c r="BI50" i="59"/>
  <c r="BI92" i="59" s="1"/>
  <c r="F201" i="59" s="1"/>
  <c r="AR46" i="59"/>
  <c r="AR92" i="59" s="1"/>
  <c r="AA4" i="59" s="1"/>
  <c r="AZ46" i="59"/>
  <c r="AZ92" i="59" s="1"/>
  <c r="F200" i="59" s="1"/>
  <c r="BH46" i="59"/>
  <c r="BH92" i="59" s="1"/>
  <c r="F197" i="59" s="1"/>
  <c r="BP46" i="59"/>
  <c r="AV50" i="59"/>
  <c r="B184" i="59" a="1"/>
  <c r="B184" i="59" s="1"/>
  <c r="BI92" i="58"/>
  <c r="F201" i="58" s="1"/>
  <c r="B188" i="58" a="1"/>
  <c r="B188" i="58" s="1"/>
  <c r="AA6" i="58"/>
  <c r="AP6" i="58"/>
  <c r="AQ6" i="58" s="1"/>
  <c r="AU92" i="58"/>
  <c r="BP92" i="58"/>
  <c r="AW92" i="58"/>
  <c r="F199" i="58" s="1"/>
  <c r="BG92" i="58"/>
  <c r="F205" i="58" s="1"/>
  <c r="BO92" i="58"/>
  <c r="BH92" i="58"/>
  <c r="F197" i="58" s="1"/>
  <c r="BM92" i="58"/>
  <c r="J25" i="19" s="1"/>
  <c r="H159" i="58"/>
  <c r="AU34" i="58"/>
  <c r="BC34" i="58"/>
  <c r="BC92" i="58" s="1"/>
  <c r="F202" i="58" s="1"/>
  <c r="BK34" i="58"/>
  <c r="BK92" i="58" s="1"/>
  <c r="B185" i="58" a="1"/>
  <c r="B185" i="58" s="1"/>
  <c r="AV258" i="58"/>
  <c r="AW34" i="58"/>
  <c r="BE34" i="58"/>
  <c r="BE92" i="58" s="1"/>
  <c r="F196" i="58" s="1"/>
  <c r="BM34" i="58"/>
  <c r="B186" i="58" a="1"/>
  <c r="B186" i="58" s="1"/>
  <c r="AV254" i="58"/>
  <c r="AW256" i="58"/>
  <c r="M275" i="58"/>
  <c r="AM92" i="58" s="1"/>
  <c r="D6" i="58" s="1"/>
  <c r="AX34" i="58"/>
  <c r="AX92" i="58" s="1"/>
  <c r="F204" i="58" s="1"/>
  <c r="BF34" i="58"/>
  <c r="BF92" i="58" s="1"/>
  <c r="F193" i="58" s="1"/>
  <c r="BN34" i="58"/>
  <c r="BN92" i="58" s="1"/>
  <c r="AW254" i="58"/>
  <c r="B187" i="58" a="1"/>
  <c r="B187" i="58" s="1"/>
  <c r="AR34" i="58"/>
  <c r="AR92" i="58" s="1"/>
  <c r="AA4" i="58" s="1"/>
  <c r="AZ34" i="58"/>
  <c r="AZ92" i="58" s="1"/>
  <c r="F200" i="58" s="1"/>
  <c r="D229" i="58" s="1"/>
  <c r="BH34" i="58"/>
  <c r="BP34" i="58"/>
  <c r="AQ34" i="58"/>
  <c r="AQ92" i="58" s="1"/>
  <c r="AA2" i="58" s="1"/>
  <c r="AY34" i="58"/>
  <c r="AY92" i="58" s="1"/>
  <c r="F198" i="58" s="1"/>
  <c r="BG34" i="58"/>
  <c r="BO34" i="58"/>
  <c r="AS34" i="58"/>
  <c r="AS92" i="58" s="1"/>
  <c r="BA34" i="58"/>
  <c r="BA92" i="58" s="1"/>
  <c r="F194" i="58" s="1"/>
  <c r="D228" i="58" s="1"/>
  <c r="B184" i="58" a="1"/>
  <c r="B184" i="58" s="1"/>
  <c r="AO92" i="57"/>
  <c r="D10" i="57" s="1"/>
  <c r="AQ6" i="57"/>
  <c r="AA6" i="57"/>
  <c r="AP6" i="57"/>
  <c r="BN92" i="57"/>
  <c r="AS92" i="57"/>
  <c r="AV257" i="57"/>
  <c r="AV255" i="57"/>
  <c r="AV256" i="57"/>
  <c r="AW257" i="57"/>
  <c r="AW34" i="57"/>
  <c r="AW92" i="57" s="1"/>
  <c r="F199" i="57" s="1"/>
  <c r="BE34" i="57"/>
  <c r="BE92" i="57" s="1"/>
  <c r="F196" i="57" s="1"/>
  <c r="BM34" i="57"/>
  <c r="BM92" i="57" s="1"/>
  <c r="J24" i="19" s="1"/>
  <c r="B186" i="57" a="1"/>
  <c r="B186" i="57" s="1"/>
  <c r="AV254" i="57"/>
  <c r="AW255" i="57"/>
  <c r="AW256" i="57"/>
  <c r="M275" i="57"/>
  <c r="AM92" i="57" s="1"/>
  <c r="D6" i="57" s="1"/>
  <c r="B185" i="57" a="1"/>
  <c r="B185" i="57" s="1"/>
  <c r="AX34" i="57"/>
  <c r="AX92" i="57" s="1"/>
  <c r="F204" i="57" s="1"/>
  <c r="BF34" i="57"/>
  <c r="BF92" i="57" s="1"/>
  <c r="F193" i="57" s="1"/>
  <c r="BN34" i="57"/>
  <c r="AW46" i="57"/>
  <c r="BE46" i="57"/>
  <c r="BM46" i="57"/>
  <c r="BA50" i="57"/>
  <c r="BI50" i="57"/>
  <c r="BI92" i="57" s="1"/>
  <c r="F201" i="57" s="1"/>
  <c r="B187" i="57" a="1"/>
  <c r="B187" i="57" s="1"/>
  <c r="AR34" i="57"/>
  <c r="AZ34" i="57"/>
  <c r="BH34" i="57"/>
  <c r="BH92" i="57" s="1"/>
  <c r="F197" i="57" s="1"/>
  <c r="BP34" i="57"/>
  <c r="BP92" i="57" s="1"/>
  <c r="AS34" i="57"/>
  <c r="BA34" i="57"/>
  <c r="BA92" i="57" s="1"/>
  <c r="F194" i="57" s="1"/>
  <c r="AR46" i="57"/>
  <c r="AR92" i="57" s="1"/>
  <c r="AA4" i="57" s="1"/>
  <c r="AZ46" i="57"/>
  <c r="AZ92" i="57" s="1"/>
  <c r="F200" i="57" s="1"/>
  <c r="BH46" i="57"/>
  <c r="BP46" i="57"/>
  <c r="AV50" i="57"/>
  <c r="AV92" i="57" s="1"/>
  <c r="F206" i="57" s="1"/>
  <c r="B184" i="57" a="1"/>
  <c r="B184" i="57" s="1"/>
  <c r="AN92" i="56"/>
  <c r="D8" i="56" s="1"/>
  <c r="AA6" i="56"/>
  <c r="AQ6" i="56"/>
  <c r="AP6" i="56"/>
  <c r="AO92" i="56"/>
  <c r="D10" i="56" s="1"/>
  <c r="AR92" i="56"/>
  <c r="AA4" i="56" s="1"/>
  <c r="BH92" i="56"/>
  <c r="F197" i="56" s="1"/>
  <c r="D228" i="56" s="1"/>
  <c r="BN92" i="56"/>
  <c r="AV257" i="56"/>
  <c r="AV256" i="56"/>
  <c r="AW257" i="56"/>
  <c r="B186" i="56" a="1"/>
  <c r="B186" i="56" s="1"/>
  <c r="AV254" i="56"/>
  <c r="AW256" i="56"/>
  <c r="M275" i="56"/>
  <c r="AM92" i="56" s="1"/>
  <c r="D6" i="56" s="1"/>
  <c r="AX34" i="56"/>
  <c r="AX92" i="56" s="1"/>
  <c r="F204" i="56" s="1"/>
  <c r="BF34" i="56"/>
  <c r="BF92" i="56" s="1"/>
  <c r="F193" i="56" s="1"/>
  <c r="BN34" i="56"/>
  <c r="AW254" i="56"/>
  <c r="B185" i="56" a="1"/>
  <c r="B185" i="56" s="1"/>
  <c r="AQ34" i="56"/>
  <c r="AQ92" i="56" s="1"/>
  <c r="AA2" i="56" s="1"/>
  <c r="AY34" i="56"/>
  <c r="AY92" i="56" s="1"/>
  <c r="F198" i="56" s="1"/>
  <c r="BG34" i="56"/>
  <c r="BG92" i="56" s="1"/>
  <c r="F205" i="56" s="1"/>
  <c r="BO34" i="56"/>
  <c r="BO92" i="56" s="1"/>
  <c r="B187" i="56" a="1"/>
  <c r="B187" i="56" s="1"/>
  <c r="AR34" i="56"/>
  <c r="AZ34" i="56"/>
  <c r="AZ92" i="56" s="1"/>
  <c r="F200" i="56" s="1"/>
  <c r="BH34" i="56"/>
  <c r="B184" i="56" a="1"/>
  <c r="B184" i="56" s="1"/>
  <c r="AA6" i="55"/>
  <c r="AQ6" i="55"/>
  <c r="AP6" i="55"/>
  <c r="D227" i="55"/>
  <c r="BL92" i="55"/>
  <c r="BD92" i="55"/>
  <c r="F203" i="55" s="1"/>
  <c r="AO92" i="55"/>
  <c r="D10" i="55" s="1"/>
  <c r="BP92" i="55"/>
  <c r="AN92" i="55"/>
  <c r="D8" i="55" s="1"/>
  <c r="AW260" i="55"/>
  <c r="AU46" i="55"/>
  <c r="AU92" i="55" s="1"/>
  <c r="BC46" i="55"/>
  <c r="BC92" i="55" s="1"/>
  <c r="F202" i="55" s="1"/>
  <c r="BK46" i="55"/>
  <c r="BK92" i="55" s="1"/>
  <c r="AQ50" i="55"/>
  <c r="AQ92" i="55" s="1"/>
  <c r="AA2" i="55" s="1"/>
  <c r="AY50" i="55"/>
  <c r="AY92" i="55" s="1"/>
  <c r="F198" i="55" s="1"/>
  <c r="BG50" i="55"/>
  <c r="BG92" i="55" s="1"/>
  <c r="F205" i="55" s="1"/>
  <c r="AV255" i="55"/>
  <c r="AV256" i="55"/>
  <c r="AW257" i="55"/>
  <c r="AW258" i="55"/>
  <c r="AY259" i="55"/>
  <c r="AV259" i="55"/>
  <c r="B185" i="55" a="1"/>
  <c r="B185" i="55" s="1"/>
  <c r="AV257" i="55"/>
  <c r="AV46" i="55"/>
  <c r="AV92" i="55" s="1"/>
  <c r="F206" i="55" s="1"/>
  <c r="BD46" i="55"/>
  <c r="BL46" i="55"/>
  <c r="AR50" i="55"/>
  <c r="AZ50" i="55"/>
  <c r="AZ92" i="55" s="1"/>
  <c r="F200" i="55" s="1"/>
  <c r="BH50" i="55"/>
  <c r="BH92" i="55" s="1"/>
  <c r="F197" i="55" s="1"/>
  <c r="B186" i="55" a="1"/>
  <c r="B186" i="55" s="1"/>
  <c r="B187" i="55" a="1"/>
  <c r="B187" i="55" s="1"/>
  <c r="AR46" i="55"/>
  <c r="AR92" i="55" s="1"/>
  <c r="AA4" i="55" s="1"/>
  <c r="AZ46" i="55"/>
  <c r="BH46" i="55"/>
  <c r="BP46" i="55"/>
  <c r="AV50" i="55"/>
  <c r="B184" i="55" a="1"/>
  <c r="B184" i="55" s="1"/>
  <c r="AA6" i="54"/>
  <c r="AP6" i="54"/>
  <c r="AQ6" i="54" s="1"/>
  <c r="AO92" i="54"/>
  <c r="D10" i="54" s="1"/>
  <c r="BF92" i="54"/>
  <c r="F193" i="54" s="1"/>
  <c r="AN92" i="54"/>
  <c r="D8" i="54" s="1"/>
  <c r="AR92" i="54"/>
  <c r="AA4" i="54" s="1"/>
  <c r="BL92" i="54"/>
  <c r="B185" i="54" a="1"/>
  <c r="B185" i="54" s="1"/>
  <c r="AV256" i="54"/>
  <c r="AW34" i="54"/>
  <c r="AW92" i="54" s="1"/>
  <c r="F199" i="54" s="1"/>
  <c r="BE34" i="54"/>
  <c r="BE92" i="54" s="1"/>
  <c r="F196" i="54" s="1"/>
  <c r="BM34" i="54"/>
  <c r="AV46" i="54"/>
  <c r="BD46" i="54"/>
  <c r="BD92" i="54" s="1"/>
  <c r="F203" i="54" s="1"/>
  <c r="BL46" i="54"/>
  <c r="AR50" i="54"/>
  <c r="AZ50" i="54"/>
  <c r="BH50" i="54"/>
  <c r="B186" i="54" a="1"/>
  <c r="B186" i="54" s="1"/>
  <c r="AV254" i="54"/>
  <c r="AW255" i="54"/>
  <c r="AW256" i="54"/>
  <c r="AY257" i="54"/>
  <c r="M275" i="54"/>
  <c r="AM92" i="54" s="1"/>
  <c r="D6" i="54" s="1"/>
  <c r="AV257" i="54"/>
  <c r="AV255" i="54"/>
  <c r="AX34" i="54"/>
  <c r="AX92" i="54" s="1"/>
  <c r="F204" i="54" s="1"/>
  <c r="BF34" i="54"/>
  <c r="BN34" i="54"/>
  <c r="BN92" i="54" s="1"/>
  <c r="AW46" i="54"/>
  <c r="BE46" i="54"/>
  <c r="BM46" i="54"/>
  <c r="BM92" i="54" s="1"/>
  <c r="J21" i="19" s="1"/>
  <c r="BA50" i="54"/>
  <c r="BI50" i="54"/>
  <c r="BI92" i="54" s="1"/>
  <c r="F201" i="54" s="1"/>
  <c r="B187" i="54" a="1"/>
  <c r="B187" i="54" s="1"/>
  <c r="AS34" i="54"/>
  <c r="AS92" i="54" s="1"/>
  <c r="BA34" i="54"/>
  <c r="BA92" i="54" s="1"/>
  <c r="F194" i="54" s="1"/>
  <c r="AR46" i="54"/>
  <c r="AZ46" i="54"/>
  <c r="AZ92" i="54" s="1"/>
  <c r="F200" i="54" s="1"/>
  <c r="D229" i="54" s="1"/>
  <c r="BH46" i="54"/>
  <c r="BH92" i="54" s="1"/>
  <c r="F197" i="54" s="1"/>
  <c r="BP46" i="54"/>
  <c r="BP92" i="54" s="1"/>
  <c r="AV50" i="54"/>
  <c r="AV92" i="54" s="1"/>
  <c r="F206" i="54" s="1"/>
  <c r="B184" i="54" a="1"/>
  <c r="B184" i="54" s="1"/>
  <c r="AA6" i="53"/>
  <c r="AP6" i="53"/>
  <c r="AQ6" i="53" s="1"/>
  <c r="AX92" i="53"/>
  <c r="F204" i="53" s="1"/>
  <c r="BF92" i="53"/>
  <c r="F193" i="53" s="1"/>
  <c r="AO92" i="53"/>
  <c r="D10" i="53" s="1"/>
  <c r="AW92" i="53"/>
  <c r="F199" i="53" s="1"/>
  <c r="AY92" i="53"/>
  <c r="F198" i="53" s="1"/>
  <c r="BH92" i="53"/>
  <c r="F197" i="53" s="1"/>
  <c r="BI92" i="53"/>
  <c r="F201" i="53" s="1"/>
  <c r="BM92" i="53"/>
  <c r="J20" i="19" s="1"/>
  <c r="AV257" i="53"/>
  <c r="AV256" i="53"/>
  <c r="AW257" i="53"/>
  <c r="AW34" i="53"/>
  <c r="BE34" i="53"/>
  <c r="BE92" i="53" s="1"/>
  <c r="F196" i="53" s="1"/>
  <c r="BM34" i="53"/>
  <c r="B186" i="53" a="1"/>
  <c r="B186" i="53" s="1"/>
  <c r="AV254" i="53"/>
  <c r="AW255" i="53"/>
  <c r="AW256" i="53"/>
  <c r="M275" i="53"/>
  <c r="AM92" i="53" s="1"/>
  <c r="D6" i="53" s="1"/>
  <c r="B185" i="53" a="1"/>
  <c r="B185" i="53" s="1"/>
  <c r="AX34" i="53"/>
  <c r="BF34" i="53"/>
  <c r="BN34" i="53"/>
  <c r="BN92" i="53" s="1"/>
  <c r="AQ34" i="53"/>
  <c r="AQ92" i="53" s="1"/>
  <c r="AA2" i="53" s="1"/>
  <c r="AY34" i="53"/>
  <c r="BG34" i="53"/>
  <c r="BG92" i="53" s="1"/>
  <c r="F205" i="53" s="1"/>
  <c r="BO34" i="53"/>
  <c r="BO92" i="53" s="1"/>
  <c r="B187" i="53" a="1"/>
  <c r="B187" i="53" s="1"/>
  <c r="AR34" i="53"/>
  <c r="AR92" i="53" s="1"/>
  <c r="AA4" i="53" s="1"/>
  <c r="AZ34" i="53"/>
  <c r="AZ92" i="53" s="1"/>
  <c r="F200" i="53" s="1"/>
  <c r="D229" i="53" s="1"/>
  <c r="BH34" i="53"/>
  <c r="BP34" i="53"/>
  <c r="BP92" i="53" s="1"/>
  <c r="AS34" i="53"/>
  <c r="AS92" i="53" s="1"/>
  <c r="BA34" i="53"/>
  <c r="BA92" i="53" s="1"/>
  <c r="F194" i="53" s="1"/>
  <c r="B184" i="53" a="1"/>
  <c r="B184" i="53" s="1"/>
  <c r="AU92" i="52"/>
  <c r="BK92" i="52"/>
  <c r="AQ92" i="52"/>
  <c r="AA2" i="52" s="1"/>
  <c r="AY92" i="52"/>
  <c r="F198" i="52" s="1"/>
  <c r="BH92" i="52"/>
  <c r="F197" i="52" s="1"/>
  <c r="BP92" i="52"/>
  <c r="AQ6" i="52"/>
  <c r="AA6" i="52"/>
  <c r="AP6" i="52"/>
  <c r="D227" i="52"/>
  <c r="AO92" i="52"/>
  <c r="D10" i="52" s="1"/>
  <c r="AN92" i="52"/>
  <c r="D8" i="52" s="1"/>
  <c r="B185" i="52" a="1"/>
  <c r="B185" i="52" s="1"/>
  <c r="AV257" i="52"/>
  <c r="AV258" i="52"/>
  <c r="AW260" i="52"/>
  <c r="AU46" i="52"/>
  <c r="BC46" i="52"/>
  <c r="BC92" i="52" s="1"/>
  <c r="F202" i="52" s="1"/>
  <c r="BK46" i="52"/>
  <c r="AQ50" i="52"/>
  <c r="AY50" i="52"/>
  <c r="BG50" i="52"/>
  <c r="BG92" i="52" s="1"/>
  <c r="F205" i="52" s="1"/>
  <c r="AV255" i="52"/>
  <c r="AV256" i="52"/>
  <c r="AW257" i="52"/>
  <c r="AW258" i="52"/>
  <c r="B186" i="52" a="1"/>
  <c r="B186" i="52" s="1"/>
  <c r="AV254" i="52"/>
  <c r="AW255" i="52"/>
  <c r="AW256" i="52"/>
  <c r="M275" i="52"/>
  <c r="AM92" i="52" s="1"/>
  <c r="D6" i="52" s="1"/>
  <c r="AW46" i="52"/>
  <c r="AW92" i="52" s="1"/>
  <c r="F199" i="52" s="1"/>
  <c r="BE46" i="52"/>
  <c r="BE92" i="52" s="1"/>
  <c r="F196" i="52" s="1"/>
  <c r="BM46" i="52"/>
  <c r="BM92" i="52" s="1"/>
  <c r="J19" i="19" s="1"/>
  <c r="BA50" i="52"/>
  <c r="BA92" i="52" s="1"/>
  <c r="F194" i="52" s="1"/>
  <c r="BI50" i="52"/>
  <c r="BI92" i="52" s="1"/>
  <c r="F201" i="52" s="1"/>
  <c r="B187" i="52" a="1"/>
  <c r="B187" i="52" s="1"/>
  <c r="AR46" i="52"/>
  <c r="AR92" i="52" s="1"/>
  <c r="AA4" i="52" s="1"/>
  <c r="AZ46" i="52"/>
  <c r="AZ92" i="52" s="1"/>
  <c r="F200" i="52" s="1"/>
  <c r="D229" i="52" s="1"/>
  <c r="BH46" i="52"/>
  <c r="BP46" i="52"/>
  <c r="AV50" i="52"/>
  <c r="AV92" i="52" s="1"/>
  <c r="F206" i="52" s="1"/>
  <c r="B184" i="52" a="1"/>
  <c r="B184" i="52" s="1"/>
  <c r="D229" i="51"/>
  <c r="AQ6" i="51"/>
  <c r="AA6" i="51"/>
  <c r="AP6" i="51"/>
  <c r="B223" i="51" a="1"/>
  <c r="B223" i="51" s="1"/>
  <c r="B215" i="51" a="1"/>
  <c r="B215" i="51" s="1"/>
  <c r="B217" i="51" a="1"/>
  <c r="B217" i="51" s="1"/>
  <c r="B220" i="51" a="1"/>
  <c r="B220" i="51" s="1"/>
  <c r="B212" i="51" a="1"/>
  <c r="B212" i="51" s="1"/>
  <c r="D227" i="51"/>
  <c r="B222" i="51" a="1"/>
  <c r="B222" i="51" s="1"/>
  <c r="B214" i="51" a="1"/>
  <c r="B214" i="51" s="1"/>
  <c r="B219" i="51" a="1"/>
  <c r="B219" i="51" s="1"/>
  <c r="B211" i="51" a="1"/>
  <c r="B211" i="51" s="1"/>
  <c r="B224" i="51" a="1"/>
  <c r="B224" i="51" s="1"/>
  <c r="B216" i="51" a="1"/>
  <c r="B216" i="51" s="1"/>
  <c r="B221" i="51" a="1"/>
  <c r="B221" i="51" s="1"/>
  <c r="B213" i="51" a="1"/>
  <c r="B213" i="51" s="1"/>
  <c r="B218" i="51" a="1"/>
  <c r="B218" i="51" s="1"/>
  <c r="B210" i="51" a="1"/>
  <c r="B210" i="51" s="1"/>
  <c r="AN92" i="51"/>
  <c r="D8" i="51" s="1"/>
  <c r="AO92" i="51"/>
  <c r="D10" i="51" s="1"/>
  <c r="B185" i="51" a="1"/>
  <c r="B185" i="51" s="1"/>
  <c r="AV257" i="51"/>
  <c r="AV258" i="51"/>
  <c r="AW260" i="51"/>
  <c r="AV255" i="51"/>
  <c r="AV256" i="51"/>
  <c r="AW258" i="51"/>
  <c r="B186" i="51" a="1"/>
  <c r="B186" i="51" s="1"/>
  <c r="AV254" i="51"/>
  <c r="AW256" i="51"/>
  <c r="M275" i="51"/>
  <c r="AM92" i="51" s="1"/>
  <c r="D6" i="51" s="1"/>
  <c r="AW254" i="51"/>
  <c r="B187" i="51" a="1"/>
  <c r="B187" i="51" s="1"/>
  <c r="B184" i="51" a="1"/>
  <c r="B184" i="51" s="1"/>
  <c r="AN92" i="50"/>
  <c r="D8" i="50" s="1"/>
  <c r="B223" i="50" a="1"/>
  <c r="B223" i="50" s="1"/>
  <c r="B215" i="50" a="1"/>
  <c r="B215" i="50" s="1"/>
  <c r="B220" i="50" a="1"/>
  <c r="B220" i="50" s="1"/>
  <c r="B212" i="50" a="1"/>
  <c r="B212" i="50" s="1"/>
  <c r="D227" i="50"/>
  <c r="B217" i="50" a="1"/>
  <c r="B217" i="50" s="1"/>
  <c r="B222" i="50" a="1"/>
  <c r="B222" i="50" s="1"/>
  <c r="B214" i="50" a="1"/>
  <c r="B214" i="50" s="1"/>
  <c r="B219" i="50" a="1"/>
  <c r="B219" i="50" s="1"/>
  <c r="B211" i="50" a="1"/>
  <c r="B211" i="50" s="1"/>
  <c r="B218" i="50" a="1"/>
  <c r="B218" i="50" s="1"/>
  <c r="B224" i="50" a="1"/>
  <c r="B224" i="50" s="1"/>
  <c r="B216" i="50" a="1"/>
  <c r="B216" i="50" s="1"/>
  <c r="B221" i="50" a="1"/>
  <c r="B221" i="50" s="1"/>
  <c r="B213" i="50" a="1"/>
  <c r="B213" i="50" s="1"/>
  <c r="B210" i="50" a="1"/>
  <c r="B210" i="50" s="1"/>
  <c r="AA6" i="50"/>
  <c r="AQ6" i="50"/>
  <c r="AP6" i="50"/>
  <c r="AO92" i="50"/>
  <c r="D10" i="50" s="1"/>
  <c r="D229" i="50"/>
  <c r="B185" i="50" a="1"/>
  <c r="B185" i="50" s="1"/>
  <c r="AV257" i="50"/>
  <c r="AW259" i="50"/>
  <c r="AV256" i="50"/>
  <c r="AW257" i="50"/>
  <c r="AW258" i="50"/>
  <c r="B186" i="50" a="1"/>
  <c r="B186" i="50" s="1"/>
  <c r="AV254" i="50"/>
  <c r="AW256" i="50"/>
  <c r="M275" i="50"/>
  <c r="AM92" i="50" s="1"/>
  <c r="D6" i="50" s="1"/>
  <c r="B187" i="50" a="1"/>
  <c r="B187" i="50" s="1"/>
  <c r="B184" i="50" a="1"/>
  <c r="B184" i="50" s="1"/>
  <c r="BM92" i="49"/>
  <c r="J16" i="19" s="1"/>
  <c r="AA6" i="49"/>
  <c r="AP6" i="49"/>
  <c r="AQ6" i="49" s="1"/>
  <c r="D227" i="49"/>
  <c r="AO92" i="49"/>
  <c r="D10" i="49" s="1"/>
  <c r="AX92" i="49"/>
  <c r="F204" i="49" s="1"/>
  <c r="BF92" i="49"/>
  <c r="F193" i="49" s="1"/>
  <c r="BN92" i="49"/>
  <c r="AN92" i="49"/>
  <c r="D8" i="49" s="1"/>
  <c r="BE92" i="49"/>
  <c r="F196" i="49" s="1"/>
  <c r="AV257" i="49"/>
  <c r="AV255" i="49"/>
  <c r="AW34" i="49"/>
  <c r="AW92" i="49" s="1"/>
  <c r="F199" i="49" s="1"/>
  <c r="BE34" i="49"/>
  <c r="BM34" i="49"/>
  <c r="AV46" i="49"/>
  <c r="BD46" i="49"/>
  <c r="BD92" i="49" s="1"/>
  <c r="F203" i="49" s="1"/>
  <c r="BL46" i="49"/>
  <c r="BL92" i="49" s="1"/>
  <c r="AR50" i="49"/>
  <c r="AZ50" i="49"/>
  <c r="BH50" i="49"/>
  <c r="BH92" i="49" s="1"/>
  <c r="F197" i="49" s="1"/>
  <c r="B186" i="49" a="1"/>
  <c r="B186" i="49" s="1"/>
  <c r="AV254" i="49"/>
  <c r="AW255" i="49"/>
  <c r="AW256" i="49"/>
  <c r="AY257" i="49"/>
  <c r="M275" i="49"/>
  <c r="AM92" i="49" s="1"/>
  <c r="D6" i="49" s="1"/>
  <c r="B185" i="49" a="1"/>
  <c r="B185" i="49" s="1"/>
  <c r="AV256" i="49"/>
  <c r="AX34" i="49"/>
  <c r="BF34" i="49"/>
  <c r="BN34" i="49"/>
  <c r="AW46" i="49"/>
  <c r="BE46" i="49"/>
  <c r="BM46" i="49"/>
  <c r="BA50" i="49"/>
  <c r="BI50" i="49"/>
  <c r="BI92" i="49" s="1"/>
  <c r="F201" i="49" s="1"/>
  <c r="B187" i="49" a="1"/>
  <c r="B187" i="49" s="1"/>
  <c r="AS34" i="49"/>
  <c r="AS92" i="49" s="1"/>
  <c r="BA34" i="49"/>
  <c r="BA92" i="49" s="1"/>
  <c r="F194" i="49" s="1"/>
  <c r="AR46" i="49"/>
  <c r="AR92" i="49" s="1"/>
  <c r="AA4" i="49" s="1"/>
  <c r="AZ46" i="49"/>
  <c r="AZ92" i="49" s="1"/>
  <c r="F200" i="49" s="1"/>
  <c r="BH46" i="49"/>
  <c r="BP46" i="49"/>
  <c r="BP92" i="49" s="1"/>
  <c r="AV50" i="49"/>
  <c r="AV92" i="49" s="1"/>
  <c r="F206" i="49" s="1"/>
  <c r="B184" i="49" a="1"/>
  <c r="B184" i="49" s="1"/>
  <c r="BI92" i="48"/>
  <c r="F201" i="48" s="1"/>
  <c r="AP6" i="48"/>
  <c r="AQ6" i="48" s="1"/>
  <c r="AA6" i="48"/>
  <c r="D227" i="48"/>
  <c r="AW92" i="48"/>
  <c r="F199" i="48" s="1"/>
  <c r="BP92" i="48"/>
  <c r="AZ92" i="48"/>
  <c r="F200" i="48" s="1"/>
  <c r="AN92" i="48"/>
  <c r="D8" i="48" s="1"/>
  <c r="AV257" i="48"/>
  <c r="AV256" i="48"/>
  <c r="AW257" i="48"/>
  <c r="AW34" i="48"/>
  <c r="BE34" i="48"/>
  <c r="BE92" i="48" s="1"/>
  <c r="F196" i="48" s="1"/>
  <c r="BM34" i="48"/>
  <c r="BM92" i="48" s="1"/>
  <c r="J15" i="19" s="1"/>
  <c r="B186" i="48" a="1"/>
  <c r="B186" i="48" s="1"/>
  <c r="AW256" i="48"/>
  <c r="M275" i="48"/>
  <c r="AM92" i="48" s="1"/>
  <c r="D6" i="48" s="1"/>
  <c r="B187" i="48" a="1"/>
  <c r="B187" i="48" s="1"/>
  <c r="B185" i="48" a="1"/>
  <c r="B185" i="48" s="1"/>
  <c r="AY34" i="48"/>
  <c r="AY92" i="48" s="1"/>
  <c r="F198" i="48" s="1"/>
  <c r="BO34" i="48"/>
  <c r="BO92" i="48" s="1"/>
  <c r="AR34" i="48"/>
  <c r="AR92" i="48" s="1"/>
  <c r="AA4" i="48" s="1"/>
  <c r="AZ34" i="48"/>
  <c r="BH34" i="48"/>
  <c r="BH92" i="48" s="1"/>
  <c r="F197" i="48" s="1"/>
  <c r="BP34" i="48"/>
  <c r="AQ34" i="48"/>
  <c r="AQ92" i="48" s="1"/>
  <c r="AA2" i="48" s="1"/>
  <c r="BG34" i="48"/>
  <c r="BG92" i="48" s="1"/>
  <c r="F205" i="48" s="1"/>
  <c r="AS34" i="48"/>
  <c r="AS92" i="48" s="1"/>
  <c r="BA34" i="48"/>
  <c r="BA92" i="48" s="1"/>
  <c r="F194" i="48" s="1"/>
  <c r="B184" i="48" a="1"/>
  <c r="B184" i="48" s="1"/>
  <c r="AA6" i="47"/>
  <c r="AP6" i="47"/>
  <c r="AQ6" i="47" s="1"/>
  <c r="D227" i="47"/>
  <c r="AN92" i="47"/>
  <c r="D8" i="47" s="1"/>
  <c r="AO92" i="47"/>
  <c r="D10" i="47" s="1"/>
  <c r="AW92" i="47"/>
  <c r="F199" i="47" s="1"/>
  <c r="BH92" i="47"/>
  <c r="F197" i="47" s="1"/>
  <c r="BM92" i="47"/>
  <c r="J14" i="19" s="1"/>
  <c r="AV257" i="47"/>
  <c r="AV255" i="47"/>
  <c r="AV256" i="47"/>
  <c r="AW257" i="47"/>
  <c r="AW34" i="47"/>
  <c r="BE34" i="47"/>
  <c r="BE92" i="47" s="1"/>
  <c r="F196" i="47" s="1"/>
  <c r="BM34" i="47"/>
  <c r="B186" i="47" a="1"/>
  <c r="B186" i="47" s="1"/>
  <c r="AW255" i="47"/>
  <c r="AW256" i="47"/>
  <c r="M275" i="47"/>
  <c r="AM92" i="47" s="1"/>
  <c r="D6" i="47" s="1"/>
  <c r="B185" i="47" a="1"/>
  <c r="B185" i="47" s="1"/>
  <c r="AR34" i="47"/>
  <c r="AR92" i="47" s="1"/>
  <c r="AA4" i="47" s="1"/>
  <c r="AZ34" i="47"/>
  <c r="AZ92" i="47" s="1"/>
  <c r="F200" i="47" s="1"/>
  <c r="D229" i="47" s="1"/>
  <c r="BH34" i="47"/>
  <c r="BP34" i="47"/>
  <c r="BP92" i="47" s="1"/>
  <c r="B187" i="47" a="1"/>
  <c r="B187" i="47" s="1"/>
  <c r="AS34" i="47"/>
  <c r="AS92" i="47" s="1"/>
  <c r="BA34" i="47"/>
  <c r="BA92" i="47" s="1"/>
  <c r="F194" i="47" s="1"/>
  <c r="B184" i="47" a="1"/>
  <c r="B184" i="47" s="1"/>
  <c r="AN92" i="46"/>
  <c r="D8" i="46" s="1"/>
  <c r="AA6" i="46"/>
  <c r="AP6" i="46"/>
  <c r="AQ6" i="46" s="1"/>
  <c r="AX92" i="46"/>
  <c r="F204" i="46" s="1"/>
  <c r="BF92" i="46"/>
  <c r="F193" i="46" s="1"/>
  <c r="BN92" i="46"/>
  <c r="AO92" i="46"/>
  <c r="D10" i="46" s="1"/>
  <c r="BP92" i="46"/>
  <c r="B185" i="46" a="1"/>
  <c r="B185" i="46" s="1"/>
  <c r="AV257" i="46"/>
  <c r="AV255" i="46"/>
  <c r="AV256" i="46"/>
  <c r="AW257" i="46"/>
  <c r="AW258" i="46"/>
  <c r="B186" i="46" a="1"/>
  <c r="B186" i="46" s="1"/>
  <c r="AV254" i="46"/>
  <c r="AW255" i="46"/>
  <c r="AW256" i="46"/>
  <c r="M275" i="46"/>
  <c r="AM92" i="46" s="1"/>
  <c r="D6" i="46" s="1"/>
  <c r="AX34" i="46"/>
  <c r="BF34" i="46"/>
  <c r="BN34" i="46"/>
  <c r="B187" i="46" a="1"/>
  <c r="B187" i="46" s="1"/>
  <c r="AR34" i="46"/>
  <c r="AR92" i="46" s="1"/>
  <c r="AA4" i="46" s="1"/>
  <c r="AZ34" i="46"/>
  <c r="AZ92" i="46" s="1"/>
  <c r="F200" i="46" s="1"/>
  <c r="D229" i="46" s="1"/>
  <c r="BH34" i="46"/>
  <c r="BH92" i="46" s="1"/>
  <c r="F197" i="46" s="1"/>
  <c r="BP34" i="46"/>
  <c r="AS34" i="46"/>
  <c r="AS92" i="46" s="1"/>
  <c r="BA34" i="46"/>
  <c r="BA92" i="46" s="1"/>
  <c r="F194" i="46" s="1"/>
  <c r="B184" i="46" a="1"/>
  <c r="B184" i="46" s="1"/>
  <c r="AA6" i="45"/>
  <c r="AQ6" i="45"/>
  <c r="AP6" i="45"/>
  <c r="AX92" i="45"/>
  <c r="F204" i="45" s="1"/>
  <c r="BF92" i="45"/>
  <c r="F193" i="45" s="1"/>
  <c r="AO92" i="45"/>
  <c r="D10" i="45" s="1"/>
  <c r="AW92" i="45"/>
  <c r="F199" i="45" s="1"/>
  <c r="BI92" i="45"/>
  <c r="F201" i="45" s="1"/>
  <c r="AW257" i="45"/>
  <c r="B186" i="45" a="1"/>
  <c r="B186" i="45" s="1"/>
  <c r="AV254" i="45"/>
  <c r="AW255" i="45"/>
  <c r="AW256" i="45"/>
  <c r="AY257" i="45"/>
  <c r="M275" i="45"/>
  <c r="AM92" i="45" s="1"/>
  <c r="D6" i="45" s="1"/>
  <c r="B185" i="45" a="1"/>
  <c r="B185" i="45" s="1"/>
  <c r="AW34" i="45"/>
  <c r="BE34" i="45"/>
  <c r="BE92" i="45" s="1"/>
  <c r="F196" i="45" s="1"/>
  <c r="BM34" i="45"/>
  <c r="BM92" i="45" s="1"/>
  <c r="J12" i="19" s="1"/>
  <c r="AX34" i="45"/>
  <c r="BF34" i="45"/>
  <c r="BN34" i="45"/>
  <c r="BN92" i="45" s="1"/>
  <c r="AY256" i="45"/>
  <c r="B187" i="45" a="1"/>
  <c r="B187" i="45" s="1"/>
  <c r="AR34" i="45"/>
  <c r="AR92" i="45" s="1"/>
  <c r="AA4" i="45" s="1"/>
  <c r="AZ34" i="45"/>
  <c r="AZ92" i="45" s="1"/>
  <c r="F200" i="45" s="1"/>
  <c r="BH34" i="45"/>
  <c r="BH92" i="45" s="1"/>
  <c r="F197" i="45" s="1"/>
  <c r="BP34" i="45"/>
  <c r="BP92" i="45" s="1"/>
  <c r="AQ34" i="45"/>
  <c r="AQ92" i="45" s="1"/>
  <c r="AA2" i="45" s="1"/>
  <c r="AY34" i="45"/>
  <c r="AY92" i="45" s="1"/>
  <c r="F198" i="45" s="1"/>
  <c r="BG34" i="45"/>
  <c r="BG92" i="45" s="1"/>
  <c r="F205" i="45" s="1"/>
  <c r="BO34" i="45"/>
  <c r="BO92" i="45" s="1"/>
  <c r="AS34" i="45"/>
  <c r="AS92" i="45" s="1"/>
  <c r="BA34" i="45"/>
  <c r="BA92" i="45" s="1"/>
  <c r="F194" i="45" s="1"/>
  <c r="B184" i="45" a="1"/>
  <c r="B184" i="45" s="1"/>
  <c r="BJ92" i="44"/>
  <c r="F195" i="44" s="1"/>
  <c r="AO92" i="44"/>
  <c r="D10" i="44" s="1"/>
  <c r="B188" i="44" a="1"/>
  <c r="B188" i="44" s="1"/>
  <c r="BE92" i="44"/>
  <c r="F196" i="44" s="1"/>
  <c r="AX92" i="44"/>
  <c r="F204" i="44" s="1"/>
  <c r="BF92" i="44"/>
  <c r="F193" i="44" s="1"/>
  <c r="B187" i="44" a="1"/>
  <c r="B187" i="44" s="1"/>
  <c r="BL92" i="44"/>
  <c r="AT34" i="44"/>
  <c r="AT92" i="44" s="1"/>
  <c r="U8" i="44" s="1"/>
  <c r="AP8" i="44" s="1"/>
  <c r="BB34" i="44"/>
  <c r="BB92" i="44" s="1"/>
  <c r="F192" i="44" s="1"/>
  <c r="BJ34" i="44"/>
  <c r="H159" i="44"/>
  <c r="AV260" i="44"/>
  <c r="AW34" i="44"/>
  <c r="AW92" i="44" s="1"/>
  <c r="F199" i="44" s="1"/>
  <c r="BE34" i="44"/>
  <c r="BM34" i="44"/>
  <c r="BM92" i="44" s="1"/>
  <c r="J11" i="19" s="1"/>
  <c r="AV46" i="44"/>
  <c r="BD46" i="44"/>
  <c r="BD92" i="44" s="1"/>
  <c r="F203" i="44" s="1"/>
  <c r="BL46" i="44"/>
  <c r="AR50" i="44"/>
  <c r="AZ50" i="44"/>
  <c r="BH50" i="44"/>
  <c r="B186" i="44" a="1"/>
  <c r="B186" i="44" s="1"/>
  <c r="AV254" i="44"/>
  <c r="AW255" i="44"/>
  <c r="AW256" i="44"/>
  <c r="AY257" i="44"/>
  <c r="M275" i="44"/>
  <c r="AM92" i="44" s="1"/>
  <c r="D6" i="44" s="1"/>
  <c r="B185" i="44" a="1"/>
  <c r="B185" i="44" s="1"/>
  <c r="AV257" i="44"/>
  <c r="AV255" i="44"/>
  <c r="AX34" i="44"/>
  <c r="BF34" i="44"/>
  <c r="BN34" i="44"/>
  <c r="BN92" i="44" s="1"/>
  <c r="AW46" i="44"/>
  <c r="BE46" i="44"/>
  <c r="BM46" i="44"/>
  <c r="BA50" i="44"/>
  <c r="BI50" i="44"/>
  <c r="BI92" i="44" s="1"/>
  <c r="F201" i="44" s="1"/>
  <c r="AR34" i="44"/>
  <c r="AR92" i="44" s="1"/>
  <c r="AA4" i="44" s="1"/>
  <c r="AZ34" i="44"/>
  <c r="AZ92" i="44" s="1"/>
  <c r="F200" i="44" s="1"/>
  <c r="BH34" i="44"/>
  <c r="BH92" i="44" s="1"/>
  <c r="F197" i="44" s="1"/>
  <c r="BP34" i="44"/>
  <c r="BP92" i="44" s="1"/>
  <c r="AS34" i="44"/>
  <c r="AS92" i="44" s="1"/>
  <c r="BA34" i="44"/>
  <c r="BA92" i="44" s="1"/>
  <c r="F194" i="44" s="1"/>
  <c r="AR46" i="44"/>
  <c r="AZ46" i="44"/>
  <c r="BH46" i="44"/>
  <c r="BP46" i="44"/>
  <c r="AV50" i="44"/>
  <c r="AV92" i="44" s="1"/>
  <c r="F206" i="44" s="1"/>
  <c r="B184" i="44" a="1"/>
  <c r="B184" i="44" s="1"/>
  <c r="AP6" i="43"/>
  <c r="AA6" i="43"/>
  <c r="AQ6" i="43"/>
  <c r="BD92" i="43"/>
  <c r="F203" i="43" s="1"/>
  <c r="AN92" i="43"/>
  <c r="D8" i="43" s="1"/>
  <c r="AX92" i="43"/>
  <c r="F204" i="43" s="1"/>
  <c r="BF92" i="43"/>
  <c r="F193" i="43" s="1"/>
  <c r="D227" i="43" s="1"/>
  <c r="BN92" i="43"/>
  <c r="AR92" i="43"/>
  <c r="AA4" i="43" s="1"/>
  <c r="B185" i="43" a="1"/>
  <c r="B185" i="43" s="1"/>
  <c r="AV257" i="43"/>
  <c r="AW260" i="43"/>
  <c r="AY261" i="43"/>
  <c r="AV255" i="43"/>
  <c r="AV256" i="43"/>
  <c r="AW34" i="43"/>
  <c r="AW92" i="43" s="1"/>
  <c r="F199" i="43" s="1"/>
  <c r="BE34" i="43"/>
  <c r="BE92" i="43" s="1"/>
  <c r="F196" i="43" s="1"/>
  <c r="BM34" i="43"/>
  <c r="BM92" i="43" s="1"/>
  <c r="J10" i="19" s="1"/>
  <c r="AV46" i="43"/>
  <c r="BD46" i="43"/>
  <c r="BL46" i="43"/>
  <c r="BL92" i="43" s="1"/>
  <c r="AR50" i="43"/>
  <c r="AZ50" i="43"/>
  <c r="BH50" i="43"/>
  <c r="B186" i="43" a="1"/>
  <c r="B186" i="43" s="1"/>
  <c r="AV254" i="43"/>
  <c r="AW255" i="43"/>
  <c r="AW256" i="43"/>
  <c r="M275" i="43"/>
  <c r="AM92" i="43" s="1"/>
  <c r="D6" i="43" s="1"/>
  <c r="AX34" i="43"/>
  <c r="BF34" i="43"/>
  <c r="BN34" i="43"/>
  <c r="AW46" i="43"/>
  <c r="BE46" i="43"/>
  <c r="BM46" i="43"/>
  <c r="BA50" i="43"/>
  <c r="BI50" i="43"/>
  <c r="BI92" i="43" s="1"/>
  <c r="F201" i="43" s="1"/>
  <c r="B187" i="43" a="1"/>
  <c r="B187" i="43" s="1"/>
  <c r="AS34" i="43"/>
  <c r="AS92" i="43" s="1"/>
  <c r="BA34" i="43"/>
  <c r="BA92" i="43" s="1"/>
  <c r="F194" i="43" s="1"/>
  <c r="AR46" i="43"/>
  <c r="AZ46" i="43"/>
  <c r="AZ92" i="43" s="1"/>
  <c r="F200" i="43" s="1"/>
  <c r="D229" i="43" s="1"/>
  <c r="BH46" i="43"/>
  <c r="BH92" i="43" s="1"/>
  <c r="F197" i="43" s="1"/>
  <c r="BP46" i="43"/>
  <c r="BP92" i="43" s="1"/>
  <c r="AV50" i="43"/>
  <c r="AV92" i="43" s="1"/>
  <c r="F206" i="43" s="1"/>
  <c r="B184" i="43" a="1"/>
  <c r="B184" i="43" s="1"/>
  <c r="BG92" i="42"/>
  <c r="F205" i="42" s="1"/>
  <c r="BO92" i="42"/>
  <c r="AZ92" i="42"/>
  <c r="F200" i="42" s="1"/>
  <c r="BH92" i="42"/>
  <c r="F197" i="42" s="1"/>
  <c r="BI92" i="42"/>
  <c r="F201" i="42" s="1"/>
  <c r="BM92" i="42"/>
  <c r="J9" i="19" s="1"/>
  <c r="AA6" i="42"/>
  <c r="AQ6" i="42"/>
  <c r="AP6" i="42"/>
  <c r="B186" i="42" a="1"/>
  <c r="B186" i="42" s="1"/>
  <c r="AV254" i="42"/>
  <c r="AW255" i="42"/>
  <c r="AW256" i="42"/>
  <c r="AY257" i="42"/>
  <c r="M275" i="42"/>
  <c r="AM92" i="42" s="1"/>
  <c r="D6" i="42" s="1"/>
  <c r="AW34" i="42"/>
  <c r="AW92" i="42" s="1"/>
  <c r="F199" i="42" s="1"/>
  <c r="BE34" i="42"/>
  <c r="BE92" i="42" s="1"/>
  <c r="F196" i="42" s="1"/>
  <c r="BM34" i="42"/>
  <c r="AX34" i="42"/>
  <c r="AX92" i="42" s="1"/>
  <c r="F204" i="42" s="1"/>
  <c r="BF34" i="42"/>
  <c r="BF92" i="42" s="1"/>
  <c r="F193" i="42" s="1"/>
  <c r="BN34" i="42"/>
  <c r="BN92" i="42" s="1"/>
  <c r="AY256" i="42"/>
  <c r="AV257" i="42"/>
  <c r="AQ34" i="42"/>
  <c r="AQ92" i="42" s="1"/>
  <c r="AA2" i="42" s="1"/>
  <c r="AY34" i="42"/>
  <c r="AY92" i="42" s="1"/>
  <c r="F198" i="42" s="1"/>
  <c r="BG34" i="42"/>
  <c r="BO34" i="42"/>
  <c r="B187" i="42" a="1"/>
  <c r="B187" i="42" s="1"/>
  <c r="AR34" i="42"/>
  <c r="AR92" i="42" s="1"/>
  <c r="AA4" i="42" s="1"/>
  <c r="AZ34" i="42"/>
  <c r="BH34" i="42"/>
  <c r="BP34" i="42"/>
  <c r="BP92" i="42" s="1"/>
  <c r="B185" i="42" a="1"/>
  <c r="B185" i="42" s="1"/>
  <c r="AS34" i="42"/>
  <c r="AS92" i="42" s="1"/>
  <c r="BA34" i="42"/>
  <c r="BA92" i="42" s="1"/>
  <c r="F194" i="42" s="1"/>
  <c r="B184" i="42" a="1"/>
  <c r="B184" i="42" s="1"/>
  <c r="AO92" i="108"/>
  <c r="D10" i="108" s="1"/>
  <c r="AN92" i="108"/>
  <c r="D8" i="108" s="1"/>
  <c r="AA6" i="108"/>
  <c r="AQ6" i="108"/>
  <c r="AP6" i="108"/>
  <c r="D227" i="108"/>
  <c r="AR92" i="108"/>
  <c r="AA4" i="108" s="1"/>
  <c r="BE92" i="108"/>
  <c r="F196" i="108" s="1"/>
  <c r="B185" i="108" a="1"/>
  <c r="B185" i="108" s="1"/>
  <c r="AV257" i="108"/>
  <c r="AV255" i="108"/>
  <c r="AV256" i="108"/>
  <c r="AW257" i="108"/>
  <c r="AW34" i="108"/>
  <c r="AW92" i="108" s="1"/>
  <c r="F199" i="108" s="1"/>
  <c r="BE34" i="108"/>
  <c r="BM34" i="108"/>
  <c r="BM92" i="108" s="1"/>
  <c r="J8" i="19" s="1"/>
  <c r="B186" i="108" a="1"/>
  <c r="B186" i="108" s="1"/>
  <c r="AW255" i="108"/>
  <c r="AW256" i="108"/>
  <c r="M275" i="108"/>
  <c r="AM92" i="108" s="1"/>
  <c r="D6" i="108" s="1"/>
  <c r="B187" i="108" a="1"/>
  <c r="B187" i="108" s="1"/>
  <c r="AR34" i="108"/>
  <c r="AZ34" i="108"/>
  <c r="AZ92" i="108" s="1"/>
  <c r="F200" i="108" s="1"/>
  <c r="D229" i="108" s="1"/>
  <c r="BH34" i="108"/>
  <c r="BH92" i="108" s="1"/>
  <c r="F197" i="108" s="1"/>
  <c r="BP34" i="108"/>
  <c r="BP92" i="108" s="1"/>
  <c r="AS34" i="108"/>
  <c r="AS92" i="108" s="1"/>
  <c r="BA34" i="108"/>
  <c r="BA92" i="108" s="1"/>
  <c r="F194" i="108" s="1"/>
  <c r="B184" i="108" a="1"/>
  <c r="B184" i="108" s="1"/>
  <c r="BA92" i="40"/>
  <c r="F194" i="40" s="1"/>
  <c r="BI92" i="40"/>
  <c r="F201" i="40" s="1"/>
  <c r="AA6" i="40"/>
  <c r="AP6" i="40"/>
  <c r="AQ6" i="40" s="1"/>
  <c r="AV92" i="40"/>
  <c r="F206" i="40" s="1"/>
  <c r="BF92" i="40"/>
  <c r="F193" i="40" s="1"/>
  <c r="BN92" i="40"/>
  <c r="AZ92" i="40"/>
  <c r="F200" i="40" s="1"/>
  <c r="B186" i="40" a="1"/>
  <c r="B186" i="40" s="1"/>
  <c r="AV254" i="40"/>
  <c r="AW256" i="40"/>
  <c r="AY257" i="40"/>
  <c r="M275" i="40"/>
  <c r="AM92" i="40" s="1"/>
  <c r="D6" i="40" s="1"/>
  <c r="AV256" i="40"/>
  <c r="AW257" i="40"/>
  <c r="AW34" i="40"/>
  <c r="AW92" i="40" s="1"/>
  <c r="F199" i="40" s="1"/>
  <c r="BE34" i="40"/>
  <c r="BE92" i="40" s="1"/>
  <c r="F196" i="40" s="1"/>
  <c r="BM34" i="40"/>
  <c r="BM92" i="40" s="1"/>
  <c r="J7" i="19" s="1"/>
  <c r="AX34" i="40"/>
  <c r="AX92" i="40" s="1"/>
  <c r="F204" i="40" s="1"/>
  <c r="BF34" i="40"/>
  <c r="BN34" i="40"/>
  <c r="AW46" i="40"/>
  <c r="BE46" i="40"/>
  <c r="BM46" i="40"/>
  <c r="BA50" i="40"/>
  <c r="BI50" i="40"/>
  <c r="AW254" i="40"/>
  <c r="AQ34" i="40"/>
  <c r="AQ92" i="40" s="1"/>
  <c r="AA2" i="40" s="1"/>
  <c r="AY34" i="40"/>
  <c r="AY92" i="40" s="1"/>
  <c r="F198" i="40" s="1"/>
  <c r="BG34" i="40"/>
  <c r="BG92" i="40" s="1"/>
  <c r="F205" i="40" s="1"/>
  <c r="BO34" i="40"/>
  <c r="BO92" i="40" s="1"/>
  <c r="B187" i="40" a="1"/>
  <c r="B187" i="40" s="1"/>
  <c r="B185" i="40" a="1"/>
  <c r="B185" i="40" s="1"/>
  <c r="AR34" i="40"/>
  <c r="AR92" i="40" s="1"/>
  <c r="AA4" i="40" s="1"/>
  <c r="AZ34" i="40"/>
  <c r="BH34" i="40"/>
  <c r="BH92" i="40" s="1"/>
  <c r="F197" i="40" s="1"/>
  <c r="BP34" i="40"/>
  <c r="BP92" i="40" s="1"/>
  <c r="AS34" i="40"/>
  <c r="AS92" i="40" s="1"/>
  <c r="BA34" i="40"/>
  <c r="AR46" i="40"/>
  <c r="AZ46" i="40"/>
  <c r="BH46" i="40"/>
  <c r="BP46" i="40"/>
  <c r="AV50" i="40"/>
  <c r="B184" i="40" a="1"/>
  <c r="B184" i="40" s="1"/>
  <c r="AU92" i="39"/>
  <c r="BC92" i="39"/>
  <c r="F202" i="39" s="1"/>
  <c r="AY92" i="39"/>
  <c r="F198" i="39" s="1"/>
  <c r="AA6" i="39"/>
  <c r="AP6" i="39"/>
  <c r="AQ6" i="39" s="1"/>
  <c r="D227" i="39"/>
  <c r="AO92" i="39"/>
  <c r="D10" i="39" s="1"/>
  <c r="AV92" i="39"/>
  <c r="F206" i="39" s="1"/>
  <c r="AN92" i="39"/>
  <c r="D8" i="39" s="1"/>
  <c r="B185" i="39" a="1"/>
  <c r="B185" i="39" s="1"/>
  <c r="AV257" i="39"/>
  <c r="AV258" i="39"/>
  <c r="AW260" i="39"/>
  <c r="AU46" i="39"/>
  <c r="BC46" i="39"/>
  <c r="BK46" i="39"/>
  <c r="BK92" i="39" s="1"/>
  <c r="AQ50" i="39"/>
  <c r="AQ92" i="39" s="1"/>
  <c r="AA2" i="39" s="1"/>
  <c r="AY50" i="39"/>
  <c r="BG50" i="39"/>
  <c r="BG92" i="39" s="1"/>
  <c r="F205" i="39" s="1"/>
  <c r="AV255" i="39"/>
  <c r="AV256" i="39"/>
  <c r="AW257" i="39"/>
  <c r="AW258" i="39"/>
  <c r="B186" i="39" a="1"/>
  <c r="B186" i="39" s="1"/>
  <c r="AV254" i="39"/>
  <c r="AW255" i="39"/>
  <c r="AW256" i="39"/>
  <c r="M275" i="39"/>
  <c r="AM92" i="39" s="1"/>
  <c r="D6" i="39" s="1"/>
  <c r="AW46" i="39"/>
  <c r="AW92" i="39" s="1"/>
  <c r="F199" i="39" s="1"/>
  <c r="BE46" i="39"/>
  <c r="BE92" i="39" s="1"/>
  <c r="F196" i="39" s="1"/>
  <c r="BM46" i="39"/>
  <c r="BM92" i="39" s="1"/>
  <c r="J6" i="19" s="1"/>
  <c r="BA50" i="39"/>
  <c r="BA92" i="39" s="1"/>
  <c r="F194" i="39" s="1"/>
  <c r="BI50" i="39"/>
  <c r="BI92" i="39" s="1"/>
  <c r="F201" i="39" s="1"/>
  <c r="B187" i="39" a="1"/>
  <c r="B187" i="39" s="1"/>
  <c r="AR46" i="39"/>
  <c r="AR92" i="39" s="1"/>
  <c r="AA4" i="39" s="1"/>
  <c r="AZ46" i="39"/>
  <c r="AZ92" i="39" s="1"/>
  <c r="F200" i="39" s="1"/>
  <c r="D229" i="39" s="1"/>
  <c r="BH46" i="39"/>
  <c r="BH92" i="39" s="1"/>
  <c r="F197" i="39" s="1"/>
  <c r="BP46" i="39"/>
  <c r="BP92" i="39" s="1"/>
  <c r="AV50" i="39"/>
  <c r="B184" i="39" a="1"/>
  <c r="B184" i="39" s="1"/>
  <c r="AP6" i="38"/>
  <c r="AA6" i="38"/>
  <c r="AQ6" i="38"/>
  <c r="D228" i="38"/>
  <c r="AN92" i="38"/>
  <c r="D8" i="38" s="1"/>
  <c r="B223" i="38" a="1"/>
  <c r="B223" i="38" s="1"/>
  <c r="B215" i="38" a="1"/>
  <c r="B215" i="38" s="1"/>
  <c r="D227" i="38"/>
  <c r="B220" i="38" a="1"/>
  <c r="B220" i="38" s="1"/>
  <c r="B212" i="38" a="1"/>
  <c r="B212" i="38" s="1"/>
  <c r="B217" i="38" a="1"/>
  <c r="B217" i="38" s="1"/>
  <c r="B222" i="38" a="1"/>
  <c r="B222" i="38" s="1"/>
  <c r="B214" i="38" a="1"/>
  <c r="B214" i="38" s="1"/>
  <c r="B219" i="38" a="1"/>
  <c r="B219" i="38" s="1"/>
  <c r="B211" i="38" a="1"/>
  <c r="B211" i="38" s="1"/>
  <c r="B224" i="38" a="1"/>
  <c r="B224" i="38" s="1"/>
  <c r="B216" i="38" a="1"/>
  <c r="B216" i="38" s="1"/>
  <c r="B221" i="38" a="1"/>
  <c r="B221" i="38" s="1"/>
  <c r="B213" i="38" a="1"/>
  <c r="B213" i="38" s="1"/>
  <c r="B218" i="38" a="1"/>
  <c r="B218" i="38" s="1"/>
  <c r="B210" i="38" a="1"/>
  <c r="B210" i="38" s="1"/>
  <c r="AO92" i="38"/>
  <c r="D10" i="38" s="1"/>
  <c r="B185" i="38" a="1"/>
  <c r="B185" i="38" s="1"/>
  <c r="AV257" i="38"/>
  <c r="AV258" i="38"/>
  <c r="AW259" i="38"/>
  <c r="AW260" i="38"/>
  <c r="AV256" i="38"/>
  <c r="AW258" i="38"/>
  <c r="B186" i="38" a="1"/>
  <c r="B186" i="38" s="1"/>
  <c r="AV254" i="38"/>
  <c r="AW256" i="38"/>
  <c r="M275" i="38"/>
  <c r="AM92" i="38" s="1"/>
  <c r="D6" i="38" s="1"/>
  <c r="B187" i="38" a="1"/>
  <c r="B187" i="38" s="1"/>
  <c r="B184" i="38" a="1"/>
  <c r="B184" i="38" s="1"/>
  <c r="D228" i="37"/>
  <c r="AA6" i="37"/>
  <c r="AP6" i="37"/>
  <c r="AQ6" i="37" s="1"/>
  <c r="B223" i="37" a="1"/>
  <c r="B223" i="37" s="1"/>
  <c r="B215" i="37" a="1"/>
  <c r="B215" i="37" s="1"/>
  <c r="B217" i="37" a="1"/>
  <c r="B217" i="37" s="1"/>
  <c r="B222" i="37" a="1"/>
  <c r="B222" i="37" s="1"/>
  <c r="B220" i="37" a="1"/>
  <c r="B220" i="37" s="1"/>
  <c r="B212" i="37" a="1"/>
  <c r="B212" i="37" s="1"/>
  <c r="D227" i="37"/>
  <c r="B214" i="37" a="1"/>
  <c r="B214" i="37" s="1"/>
  <c r="B219" i="37" a="1"/>
  <c r="B219" i="37" s="1"/>
  <c r="B211" i="37" a="1"/>
  <c r="B211" i="37" s="1"/>
  <c r="B224" i="37" a="1"/>
  <c r="B224" i="37" s="1"/>
  <c r="B216" i="37" a="1"/>
  <c r="B216" i="37" s="1"/>
  <c r="B221" i="37" a="1"/>
  <c r="B221" i="37" s="1"/>
  <c r="B213" i="37" a="1"/>
  <c r="B213" i="37" s="1"/>
  <c r="B218" i="37" a="1"/>
  <c r="B218" i="37" s="1"/>
  <c r="B210" i="37" a="1"/>
  <c r="B210" i="37" s="1"/>
  <c r="AN92" i="37"/>
  <c r="D8" i="37" s="1"/>
  <c r="AO92" i="37"/>
  <c r="D10" i="37" s="1"/>
  <c r="B185" i="37" a="1"/>
  <c r="B185" i="37" s="1"/>
  <c r="AV257" i="37"/>
  <c r="AV258" i="37"/>
  <c r="AW259" i="37"/>
  <c r="AW260" i="37"/>
  <c r="AV256" i="37"/>
  <c r="AW258" i="37"/>
  <c r="B186" i="37" a="1"/>
  <c r="B186" i="37" s="1"/>
  <c r="AV254" i="37"/>
  <c r="AW256" i="37"/>
  <c r="M275" i="37"/>
  <c r="AM92" i="37" s="1"/>
  <c r="D6" i="37" s="1"/>
  <c r="B187" i="37" a="1"/>
  <c r="B187" i="37" s="1"/>
  <c r="B184" i="37" a="1"/>
  <c r="B184" i="37" s="1"/>
  <c r="AN92" i="36"/>
  <c r="D8" i="36" s="1"/>
  <c r="AU92" i="36"/>
  <c r="AA6" i="36"/>
  <c r="AP6" i="36"/>
  <c r="AQ6" i="36"/>
  <c r="D227" i="36"/>
  <c r="BM92" i="36"/>
  <c r="J3" i="19" s="1"/>
  <c r="AW92" i="36"/>
  <c r="F199" i="36" s="1"/>
  <c r="BE92" i="36"/>
  <c r="F196" i="36" s="1"/>
  <c r="B185" i="36" a="1"/>
  <c r="B185" i="36" s="1"/>
  <c r="AV257" i="36"/>
  <c r="AW260" i="36"/>
  <c r="AY261" i="36"/>
  <c r="AU46" i="36"/>
  <c r="BC46" i="36"/>
  <c r="BC92" i="36" s="1"/>
  <c r="F202" i="36" s="1"/>
  <c r="BK46" i="36"/>
  <c r="BK92" i="36" s="1"/>
  <c r="AQ50" i="36"/>
  <c r="AQ92" i="36" s="1"/>
  <c r="AA2" i="36" s="1"/>
  <c r="AY50" i="36"/>
  <c r="AY92" i="36" s="1"/>
  <c r="F198" i="36" s="1"/>
  <c r="BG50" i="36"/>
  <c r="BG92" i="36" s="1"/>
  <c r="F205" i="36" s="1"/>
  <c r="AV255" i="36"/>
  <c r="AV256" i="36"/>
  <c r="AW257" i="36"/>
  <c r="AW258" i="36"/>
  <c r="AY260" i="36"/>
  <c r="AV46" i="36"/>
  <c r="AV92" i="36" s="1"/>
  <c r="F206" i="36" s="1"/>
  <c r="BD46" i="36"/>
  <c r="BD92" i="36" s="1"/>
  <c r="F203" i="36" s="1"/>
  <c r="BL46" i="36"/>
  <c r="BL92" i="36" s="1"/>
  <c r="AR50" i="36"/>
  <c r="AZ50" i="36"/>
  <c r="BH50" i="36"/>
  <c r="B186" i="36" a="1"/>
  <c r="B186" i="36" s="1"/>
  <c r="AV254" i="36"/>
  <c r="AW255" i="36"/>
  <c r="AW256" i="36"/>
  <c r="M275" i="36"/>
  <c r="AM92" i="36" s="1"/>
  <c r="D6" i="36" s="1"/>
  <c r="AW46" i="36"/>
  <c r="BE46" i="36"/>
  <c r="BM46" i="36"/>
  <c r="BA50" i="36"/>
  <c r="BA92" i="36" s="1"/>
  <c r="F194" i="36" s="1"/>
  <c r="BI50" i="36"/>
  <c r="BI92" i="36" s="1"/>
  <c r="F201" i="36" s="1"/>
  <c r="AR46" i="36"/>
  <c r="AR92" i="36" s="1"/>
  <c r="AA4" i="36" s="1"/>
  <c r="AZ46" i="36"/>
  <c r="AZ92" i="36" s="1"/>
  <c r="F200" i="36" s="1"/>
  <c r="BH46" i="36"/>
  <c r="BH92" i="36" s="1"/>
  <c r="F197" i="36" s="1"/>
  <c r="BP46" i="36"/>
  <c r="BP92" i="36" s="1"/>
  <c r="AV50" i="36"/>
  <c r="B184" i="36" a="1"/>
  <c r="B184" i="36" s="1"/>
  <c r="BP82" i="35"/>
  <c r="BO82" i="35"/>
  <c r="BN82" i="35"/>
  <c r="BM82" i="35"/>
  <c r="BL82" i="35"/>
  <c r="BK82" i="35"/>
  <c r="BJ82" i="35"/>
  <c r="BI82" i="35"/>
  <c r="BH82" i="35"/>
  <c r="BG82" i="35"/>
  <c r="BF82" i="35"/>
  <c r="BE82" i="35"/>
  <c r="BD82" i="35"/>
  <c r="BC82" i="35"/>
  <c r="BB82" i="35"/>
  <c r="BA82" i="35"/>
  <c r="AZ82" i="35"/>
  <c r="AY82" i="35"/>
  <c r="AX82" i="35"/>
  <c r="AW82" i="35"/>
  <c r="AV82" i="35"/>
  <c r="AU82" i="35"/>
  <c r="AT82" i="35"/>
  <c r="AS82" i="35"/>
  <c r="AR82" i="35"/>
  <c r="AQ82" i="35"/>
  <c r="AP82" i="35"/>
  <c r="AO82" i="35"/>
  <c r="AM82" i="35"/>
  <c r="AN82" i="35"/>
  <c r="BP80" i="35"/>
  <c r="BO80" i="35"/>
  <c r="BN80" i="35"/>
  <c r="BM80" i="35"/>
  <c r="BL80" i="35"/>
  <c r="BK80" i="35"/>
  <c r="BJ80" i="35"/>
  <c r="BI80" i="35"/>
  <c r="BH80" i="35"/>
  <c r="BG80" i="35"/>
  <c r="BF80" i="35"/>
  <c r="BE80" i="35"/>
  <c r="BD80" i="35"/>
  <c r="BC80" i="35"/>
  <c r="BB80" i="35"/>
  <c r="BA80" i="35"/>
  <c r="AZ80" i="35"/>
  <c r="AY80" i="35"/>
  <c r="AX80" i="35"/>
  <c r="AW80" i="35"/>
  <c r="AV80" i="35"/>
  <c r="AU80" i="35"/>
  <c r="AT80" i="35"/>
  <c r="AS80" i="35"/>
  <c r="AR80" i="35"/>
  <c r="AQ80" i="35"/>
  <c r="AP80" i="35"/>
  <c r="AO80" i="35"/>
  <c r="AN80" i="35"/>
  <c r="AM80" i="35"/>
  <c r="BP78" i="35"/>
  <c r="BO78" i="35"/>
  <c r="BN78" i="35"/>
  <c r="BM78" i="35"/>
  <c r="BL78" i="35"/>
  <c r="BK78" i="35"/>
  <c r="BJ78" i="35"/>
  <c r="BI78" i="35"/>
  <c r="BH78" i="35"/>
  <c r="BG78" i="35"/>
  <c r="BF78" i="35"/>
  <c r="BE78" i="35"/>
  <c r="BD78" i="35"/>
  <c r="BC78" i="35"/>
  <c r="BB78" i="35"/>
  <c r="BA78" i="35"/>
  <c r="AZ78" i="35"/>
  <c r="AY78" i="35"/>
  <c r="AX78" i="35"/>
  <c r="AW78" i="35"/>
  <c r="AV78" i="35"/>
  <c r="AU78" i="35"/>
  <c r="AT78" i="35"/>
  <c r="AS78" i="35"/>
  <c r="AR78" i="35"/>
  <c r="AQ78" i="35"/>
  <c r="AP78" i="35"/>
  <c r="AO78" i="35"/>
  <c r="AN78" i="35"/>
  <c r="AM78" i="35"/>
  <c r="H72" i="114"/>
  <c r="I72" i="114"/>
  <c r="J72" i="114"/>
  <c r="L72" i="114"/>
  <c r="H70" i="114"/>
  <c r="I70" i="114"/>
  <c r="J70" i="114"/>
  <c r="L70" i="114"/>
  <c r="H52" i="114"/>
  <c r="I52" i="114"/>
  <c r="J52" i="114"/>
  <c r="L52" i="114"/>
  <c r="H39" i="114"/>
  <c r="I39" i="114"/>
  <c r="J39" i="114"/>
  <c r="L39" i="114"/>
  <c r="H31" i="114"/>
  <c r="I31" i="114"/>
  <c r="J31" i="114"/>
  <c r="L31" i="114"/>
  <c r="H27" i="114"/>
  <c r="I27" i="114"/>
  <c r="J27" i="114"/>
  <c r="L27" i="114"/>
  <c r="H5" i="114"/>
  <c r="I5" i="114"/>
  <c r="J5" i="114"/>
  <c r="L5" i="114"/>
  <c r="BT88" i="35"/>
  <c r="BU88" i="35"/>
  <c r="BT90" i="35"/>
  <c r="BU90" i="35"/>
  <c r="BU86" i="35"/>
  <c r="BT86" i="35"/>
  <c r="BR88" i="35"/>
  <c r="BR90" i="35"/>
  <c r="BR86" i="35"/>
  <c r="BS88" i="35"/>
  <c r="BS90" i="35"/>
  <c r="BS86" i="35"/>
  <c r="D228" i="59" l="1"/>
  <c r="B220" i="59" a="1"/>
  <c r="B220" i="59" s="1"/>
  <c r="B211" i="59" a="1"/>
  <c r="B211" i="59" s="1"/>
  <c r="B219" i="59" a="1"/>
  <c r="B219" i="59" s="1"/>
  <c r="B212" i="59" a="1"/>
  <c r="B212" i="59" s="1"/>
  <c r="B218" i="59" a="1"/>
  <c r="B218" i="59" s="1"/>
  <c r="B224" i="59" a="1"/>
  <c r="B224" i="59" s="1"/>
  <c r="B217" i="59" a="1"/>
  <c r="B217" i="59" s="1"/>
  <c r="B216" i="59" a="1"/>
  <c r="B216" i="59" s="1"/>
  <c r="B210" i="59" a="1"/>
  <c r="B210" i="59" s="1"/>
  <c r="B215" i="59" a="1"/>
  <c r="B215" i="59" s="1"/>
  <c r="B222" i="59" a="1"/>
  <c r="B222" i="59" s="1"/>
  <c r="B221" i="59" a="1"/>
  <c r="B221" i="59" s="1"/>
  <c r="B214" i="59" a="1"/>
  <c r="B214" i="59" s="1"/>
  <c r="B213" i="59" a="1"/>
  <c r="B213" i="59" s="1"/>
  <c r="B223" i="59" a="1"/>
  <c r="B223" i="59" s="1"/>
  <c r="D229" i="59"/>
  <c r="AC10" i="59"/>
  <c r="D4" i="59"/>
  <c r="AC8" i="59"/>
  <c r="U2" i="59"/>
  <c r="U4" i="59"/>
  <c r="D12" i="59"/>
  <c r="B215" i="58" a="1"/>
  <c r="B215" i="58" s="1"/>
  <c r="B219" i="58" a="1"/>
  <c r="B219" i="58" s="1"/>
  <c r="B224" i="58" a="1"/>
  <c r="B224" i="58" s="1"/>
  <c r="B212" i="58" a="1"/>
  <c r="B212" i="58" s="1"/>
  <c r="B221" i="58" a="1"/>
  <c r="B221" i="58" s="1"/>
  <c r="B217" i="58" a="1"/>
  <c r="B217" i="58" s="1"/>
  <c r="B211" i="58" a="1"/>
  <c r="B211" i="58" s="1"/>
  <c r="B220" i="58" a="1"/>
  <c r="B220" i="58" s="1"/>
  <c r="D227" i="58"/>
  <c r="B213" i="58" a="1"/>
  <c r="B213" i="58" s="1"/>
  <c r="B223" i="58" a="1"/>
  <c r="B223" i="58" s="1"/>
  <c r="B216" i="58" a="1"/>
  <c r="B216" i="58" s="1"/>
  <c r="B218" i="58" a="1"/>
  <c r="B218" i="58" s="1"/>
  <c r="B222" i="58" a="1"/>
  <c r="B222" i="58" s="1"/>
  <c r="B210" i="58" a="1"/>
  <c r="B210" i="58" s="1"/>
  <c r="B214" i="58" a="1"/>
  <c r="B214" i="58" s="1"/>
  <c r="U4" i="58"/>
  <c r="AC10" i="58"/>
  <c r="D4" i="58"/>
  <c r="AC8" i="58"/>
  <c r="U2" i="58"/>
  <c r="D12" i="58"/>
  <c r="B212" i="57" a="1"/>
  <c r="B212" i="57" s="1"/>
  <c r="B211" i="57" a="1"/>
  <c r="B211" i="57" s="1"/>
  <c r="B210" i="57" a="1"/>
  <c r="B210" i="57" s="1"/>
  <c r="B223" i="57" a="1"/>
  <c r="B223" i="57" s="1"/>
  <c r="D227" i="57"/>
  <c r="B224" i="57" a="1"/>
  <c r="B224" i="57" s="1"/>
  <c r="B218" i="57" a="1"/>
  <c r="B218" i="57" s="1"/>
  <c r="B213" i="57" a="1"/>
  <c r="B213" i="57" s="1"/>
  <c r="B222" i="57" a="1"/>
  <c r="B222" i="57" s="1"/>
  <c r="B214" i="57" a="1"/>
  <c r="B214" i="57" s="1"/>
  <c r="B220" i="57" a="1"/>
  <c r="B220" i="57" s="1"/>
  <c r="B215" i="57" a="1"/>
  <c r="B215" i="57" s="1"/>
  <c r="B216" i="57" a="1"/>
  <c r="B216" i="57" s="1"/>
  <c r="B217" i="57" a="1"/>
  <c r="B217" i="57" s="1"/>
  <c r="B221" i="57" a="1"/>
  <c r="B221" i="57" s="1"/>
  <c r="B219" i="57" a="1"/>
  <c r="B219" i="57" s="1"/>
  <c r="D229" i="57"/>
  <c r="D228" i="57"/>
  <c r="U4" i="57"/>
  <c r="AC8" i="57"/>
  <c r="U2" i="57"/>
  <c r="AC10" i="57"/>
  <c r="D4" i="57"/>
  <c r="D12" i="57"/>
  <c r="D229" i="56"/>
  <c r="B220" i="56" a="1"/>
  <c r="B220" i="56" s="1"/>
  <c r="B211" i="56" a="1"/>
  <c r="B211" i="56" s="1"/>
  <c r="D227" i="56"/>
  <c r="B212" i="56" a="1"/>
  <c r="B212" i="56" s="1"/>
  <c r="B213" i="56" a="1"/>
  <c r="B213" i="56" s="1"/>
  <c r="B224" i="56" a="1"/>
  <c r="B224" i="56" s="1"/>
  <c r="B221" i="56" a="1"/>
  <c r="B221" i="56" s="1"/>
  <c r="B218" i="56" a="1"/>
  <c r="B218" i="56" s="1"/>
  <c r="B217" i="56" a="1"/>
  <c r="B217" i="56" s="1"/>
  <c r="B216" i="56" a="1"/>
  <c r="B216" i="56" s="1"/>
  <c r="B214" i="56" a="1"/>
  <c r="B214" i="56" s="1"/>
  <c r="B219" i="56" a="1"/>
  <c r="B219" i="56" s="1"/>
  <c r="B223" i="56" a="1"/>
  <c r="B223" i="56" s="1"/>
  <c r="B210" i="56" a="1"/>
  <c r="B210" i="56" s="1"/>
  <c r="B215" i="56" a="1"/>
  <c r="B215" i="56" s="1"/>
  <c r="B222" i="56" a="1"/>
  <c r="B222" i="56" s="1"/>
  <c r="U4" i="56"/>
  <c r="AC8" i="56"/>
  <c r="U2" i="56"/>
  <c r="D12" i="56"/>
  <c r="AC10" i="56"/>
  <c r="D4" i="56"/>
  <c r="D229" i="55"/>
  <c r="B212" i="55" a="1"/>
  <c r="B212" i="55" s="1"/>
  <c r="B224" i="55" a="1"/>
  <c r="B224" i="55" s="1"/>
  <c r="B216" i="55" a="1"/>
  <c r="B216" i="55" s="1"/>
  <c r="B210" i="55" a="1"/>
  <c r="B210" i="55" s="1"/>
  <c r="B222" i="55" a="1"/>
  <c r="B222" i="55" s="1"/>
  <c r="B221" i="55" a="1"/>
  <c r="B221" i="55" s="1"/>
  <c r="B219" i="55" a="1"/>
  <c r="B219" i="55" s="1"/>
  <c r="B215" i="55" a="1"/>
  <c r="B215" i="55" s="1"/>
  <c r="B213" i="55" a="1"/>
  <c r="B213" i="55" s="1"/>
  <c r="B220" i="55" a="1"/>
  <c r="B220" i="55" s="1"/>
  <c r="D228" i="55"/>
  <c r="B214" i="55" a="1"/>
  <c r="B214" i="55" s="1"/>
  <c r="B218" i="55" a="1"/>
  <c r="B218" i="55" s="1"/>
  <c r="B223" i="55" a="1"/>
  <c r="B223" i="55" s="1"/>
  <c r="B211" i="55" a="1"/>
  <c r="B211" i="55" s="1"/>
  <c r="B217" i="55" a="1"/>
  <c r="B217" i="55" s="1"/>
  <c r="U4" i="55"/>
  <c r="AC10" i="55"/>
  <c r="D4" i="55"/>
  <c r="D12" i="55"/>
  <c r="AC8" i="55"/>
  <c r="U2" i="55"/>
  <c r="D228" i="54"/>
  <c r="B223" i="54" a="1"/>
  <c r="B223" i="54" s="1"/>
  <c r="B218" i="54" a="1"/>
  <c r="B218" i="54" s="1"/>
  <c r="B224" i="54" a="1"/>
  <c r="B224" i="54" s="1"/>
  <c r="B222" i="54" a="1"/>
  <c r="B222" i="54" s="1"/>
  <c r="B221" i="54" a="1"/>
  <c r="B221" i="54" s="1"/>
  <c r="B214" i="54" a="1"/>
  <c r="B214" i="54" s="1"/>
  <c r="B215" i="54" a="1"/>
  <c r="B215" i="54" s="1"/>
  <c r="B216" i="54" a="1"/>
  <c r="B216" i="54" s="1"/>
  <c r="B217" i="54" a="1"/>
  <c r="B217" i="54" s="1"/>
  <c r="U4" i="54"/>
  <c r="D12" i="54"/>
  <c r="AC8" i="54"/>
  <c r="U2" i="54"/>
  <c r="AC10" i="54"/>
  <c r="D4" i="54"/>
  <c r="B211" i="54" a="1"/>
  <c r="B211" i="54" s="1"/>
  <c r="B219" i="54" a="1"/>
  <c r="B219" i="54" s="1"/>
  <c r="B220" i="54" a="1"/>
  <c r="B220" i="54" s="1"/>
  <c r="B212" i="54" a="1"/>
  <c r="B212" i="54" s="1"/>
  <c r="B210" i="54" a="1"/>
  <c r="B210" i="54" s="1"/>
  <c r="D227" i="54"/>
  <c r="B213" i="54" a="1"/>
  <c r="B213" i="54" s="1"/>
  <c r="D228" i="53"/>
  <c r="B219" i="53" a="1"/>
  <c r="B219" i="53" s="1"/>
  <c r="B217" i="53" a="1"/>
  <c r="B217" i="53" s="1"/>
  <c r="B221" i="53" a="1"/>
  <c r="B221" i="53" s="1"/>
  <c r="B213" i="53" a="1"/>
  <c r="B213" i="53" s="1"/>
  <c r="B224" i="53" a="1"/>
  <c r="B224" i="53" s="1"/>
  <c r="B212" i="53" a="1"/>
  <c r="B212" i="53" s="1"/>
  <c r="B211" i="53" a="1"/>
  <c r="B211" i="53" s="1"/>
  <c r="B220" i="53" a="1"/>
  <c r="B220" i="53" s="1"/>
  <c r="B210" i="53" a="1"/>
  <c r="B210" i="53" s="1"/>
  <c r="D227" i="53"/>
  <c r="B214" i="53" a="1"/>
  <c r="B214" i="53" s="1"/>
  <c r="B215" i="53" a="1"/>
  <c r="B215" i="53" s="1"/>
  <c r="B222" i="53" a="1"/>
  <c r="B222" i="53" s="1"/>
  <c r="B223" i="53" a="1"/>
  <c r="B223" i="53" s="1"/>
  <c r="B216" i="53" a="1"/>
  <c r="B216" i="53" s="1"/>
  <c r="B218" i="53" a="1"/>
  <c r="B218" i="53" s="1"/>
  <c r="U2" i="53"/>
  <c r="U4" i="53"/>
  <c r="D12" i="53"/>
  <c r="D4" i="53"/>
  <c r="AC10" i="53"/>
  <c r="AC8" i="53"/>
  <c r="D228" i="52"/>
  <c r="B214" i="52" a="1"/>
  <c r="B214" i="52" s="1"/>
  <c r="B218" i="52" a="1"/>
  <c r="B218" i="52" s="1"/>
  <c r="B215" i="52" a="1"/>
  <c r="B215" i="52" s="1"/>
  <c r="B223" i="52" a="1"/>
  <c r="B223" i="52" s="1"/>
  <c r="B219" i="52" a="1"/>
  <c r="B219" i="52" s="1"/>
  <c r="B211" i="52" a="1"/>
  <c r="B211" i="52" s="1"/>
  <c r="B217" i="52" a="1"/>
  <c r="B217" i="52" s="1"/>
  <c r="B222" i="52" a="1"/>
  <c r="B222" i="52" s="1"/>
  <c r="B210" i="52" a="1"/>
  <c r="B210" i="52" s="1"/>
  <c r="B220" i="52" a="1"/>
  <c r="B220" i="52" s="1"/>
  <c r="B224" i="52" a="1"/>
  <c r="B224" i="52" s="1"/>
  <c r="B221" i="52" a="1"/>
  <c r="B221" i="52" s="1"/>
  <c r="B213" i="52" a="1"/>
  <c r="B213" i="52" s="1"/>
  <c r="B212" i="52" a="1"/>
  <c r="B212" i="52" s="1"/>
  <c r="B216" i="52" a="1"/>
  <c r="B216" i="52" s="1"/>
  <c r="U4" i="52"/>
  <c r="D12" i="52"/>
  <c r="AC10" i="52"/>
  <c r="D4" i="52"/>
  <c r="AC8" i="52"/>
  <c r="U2" i="52"/>
  <c r="AF16" i="51"/>
  <c r="D220" i="51"/>
  <c r="AG16" i="51" s="1"/>
  <c r="D224" i="51"/>
  <c r="AG20" i="51" s="1"/>
  <c r="AF20" i="51"/>
  <c r="D217" i="51"/>
  <c r="AJ10" i="51" s="1"/>
  <c r="AI10" i="51"/>
  <c r="D218" i="51"/>
  <c r="AG14" i="51" s="1"/>
  <c r="AF14" i="51"/>
  <c r="D211" i="51"/>
  <c r="AJ4" i="51" s="1"/>
  <c r="AI4" i="51"/>
  <c r="D219" i="51"/>
  <c r="AJ14" i="51" s="1"/>
  <c r="AI14" i="51"/>
  <c r="AI18" i="51"/>
  <c r="D223" i="51"/>
  <c r="AJ18" i="51" s="1"/>
  <c r="D216" i="51"/>
  <c r="AG10" i="51" s="1"/>
  <c r="AF10" i="51"/>
  <c r="AI8" i="51"/>
  <c r="D215" i="51"/>
  <c r="AJ8" i="51" s="1"/>
  <c r="AF4" i="51"/>
  <c r="D210" i="51"/>
  <c r="AG4" i="51" s="1"/>
  <c r="D214" i="51"/>
  <c r="AG8" i="51" s="1"/>
  <c r="AF8" i="51"/>
  <c r="D222" i="51"/>
  <c r="AG18" i="51" s="1"/>
  <c r="AF18" i="51"/>
  <c r="U4" i="51"/>
  <c r="AC10" i="51"/>
  <c r="D4" i="51"/>
  <c r="D12" i="51"/>
  <c r="AC8" i="51"/>
  <c r="U2" i="51"/>
  <c r="D213" i="51"/>
  <c r="AJ6" i="51" s="1"/>
  <c r="AI6" i="51"/>
  <c r="D221" i="51"/>
  <c r="AJ16" i="51" s="1"/>
  <c r="AI16" i="51"/>
  <c r="AF6" i="51"/>
  <c r="D212" i="51"/>
  <c r="AG6" i="51" s="1"/>
  <c r="D211" i="50"/>
  <c r="AJ4" i="50" s="1"/>
  <c r="AI4" i="50"/>
  <c r="D213" i="50"/>
  <c r="AJ6" i="50" s="1"/>
  <c r="AI6" i="50"/>
  <c r="D217" i="50"/>
  <c r="AJ10" i="50" s="1"/>
  <c r="AI10" i="50"/>
  <c r="AF10" i="50"/>
  <c r="D216" i="50"/>
  <c r="AG10" i="50" s="1"/>
  <c r="D222" i="50"/>
  <c r="AG18" i="50" s="1"/>
  <c r="AF18" i="50"/>
  <c r="D221" i="50"/>
  <c r="AJ16" i="50" s="1"/>
  <c r="AI16" i="50"/>
  <c r="D224" i="50"/>
  <c r="AG20" i="50" s="1"/>
  <c r="AF20" i="50"/>
  <c r="AF6" i="50"/>
  <c r="D212" i="50"/>
  <c r="AG6" i="50" s="1"/>
  <c r="D218" i="50"/>
  <c r="AG14" i="50" s="1"/>
  <c r="AF14" i="50"/>
  <c r="AF16" i="50"/>
  <c r="D220" i="50"/>
  <c r="AG16" i="50" s="1"/>
  <c r="AI8" i="50"/>
  <c r="D215" i="50"/>
  <c r="AJ8" i="50" s="1"/>
  <c r="U4" i="50"/>
  <c r="AC10" i="50"/>
  <c r="D4" i="50"/>
  <c r="AC8" i="50"/>
  <c r="D12" i="50"/>
  <c r="U2" i="50"/>
  <c r="D219" i="50"/>
  <c r="AJ14" i="50" s="1"/>
  <c r="AI14" i="50"/>
  <c r="AI18" i="50"/>
  <c r="D223" i="50"/>
  <c r="AJ18" i="50" s="1"/>
  <c r="AF4" i="50"/>
  <c r="D210" i="50"/>
  <c r="AG4" i="50" s="1"/>
  <c r="D214" i="50"/>
  <c r="AG8" i="50" s="1"/>
  <c r="AF8" i="50"/>
  <c r="D228" i="49"/>
  <c r="B216" i="49" a="1"/>
  <c r="B216" i="49" s="1"/>
  <c r="B223" i="49" a="1"/>
  <c r="B223" i="49" s="1"/>
  <c r="B224" i="49" a="1"/>
  <c r="B224" i="49" s="1"/>
  <c r="B215" i="49" a="1"/>
  <c r="B215" i="49" s="1"/>
  <c r="D229" i="49"/>
  <c r="B218" i="49" a="1"/>
  <c r="B218" i="49" s="1"/>
  <c r="B214" i="49" a="1"/>
  <c r="B214" i="49" s="1"/>
  <c r="B213" i="49" a="1"/>
  <c r="B213" i="49" s="1"/>
  <c r="B222" i="49" a="1"/>
  <c r="B222" i="49" s="1"/>
  <c r="B211" i="49" a="1"/>
  <c r="B211" i="49" s="1"/>
  <c r="B212" i="49" a="1"/>
  <c r="B212" i="49" s="1"/>
  <c r="U4" i="49"/>
  <c r="AC8" i="49"/>
  <c r="U2" i="49"/>
  <c r="AC10" i="49"/>
  <c r="D4" i="49"/>
  <c r="D12" i="49"/>
  <c r="B219" i="49" a="1"/>
  <c r="B219" i="49" s="1"/>
  <c r="B220" i="49" a="1"/>
  <c r="B220" i="49" s="1"/>
  <c r="B210" i="49" a="1"/>
  <c r="B210" i="49" s="1"/>
  <c r="B217" i="49" a="1"/>
  <c r="B217" i="49" s="1"/>
  <c r="B221" i="49" a="1"/>
  <c r="B221" i="49" s="1"/>
  <c r="D228" i="48"/>
  <c r="B221" i="48" a="1"/>
  <c r="B221" i="48" s="1"/>
  <c r="B218" i="48" a="1"/>
  <c r="B218" i="48" s="1"/>
  <c r="B220" i="48" a="1"/>
  <c r="B220" i="48" s="1"/>
  <c r="B217" i="48" a="1"/>
  <c r="B217" i="48" s="1"/>
  <c r="B215" i="48" a="1"/>
  <c r="B215" i="48" s="1"/>
  <c r="B210" i="48" a="1"/>
  <c r="B210" i="48" s="1"/>
  <c r="B219" i="48" a="1"/>
  <c r="B219" i="48" s="1"/>
  <c r="B211" i="48" a="1"/>
  <c r="B211" i="48" s="1"/>
  <c r="B213" i="48" a="1"/>
  <c r="B213" i="48" s="1"/>
  <c r="B214" i="48" a="1"/>
  <c r="B214" i="48" s="1"/>
  <c r="B212" i="48" a="1"/>
  <c r="B212" i="48" s="1"/>
  <c r="B224" i="48" a="1"/>
  <c r="B224" i="48" s="1"/>
  <c r="B216" i="48" a="1"/>
  <c r="B216" i="48" s="1"/>
  <c r="B223" i="48" a="1"/>
  <c r="B223" i="48" s="1"/>
  <c r="B222" i="48" a="1"/>
  <c r="B222" i="48" s="1"/>
  <c r="D229" i="48"/>
  <c r="U4" i="48"/>
  <c r="U2" i="48"/>
  <c r="AC8" i="48"/>
  <c r="AC10" i="48"/>
  <c r="D4" i="48"/>
  <c r="D12" i="48"/>
  <c r="D228" i="47"/>
  <c r="B210" i="47" a="1"/>
  <c r="B210" i="47" s="1"/>
  <c r="B219" i="47" a="1"/>
  <c r="B219" i="47" s="1"/>
  <c r="B213" i="47" a="1"/>
  <c r="B213" i="47" s="1"/>
  <c r="B220" i="47" a="1"/>
  <c r="B220" i="47" s="1"/>
  <c r="B211" i="47" a="1"/>
  <c r="B211" i="47" s="1"/>
  <c r="B218" i="47" a="1"/>
  <c r="B218" i="47" s="1"/>
  <c r="B212" i="47" a="1"/>
  <c r="B212" i="47" s="1"/>
  <c r="B224" i="47" a="1"/>
  <c r="B224" i="47" s="1"/>
  <c r="B217" i="47" a="1"/>
  <c r="B217" i="47" s="1"/>
  <c r="B216" i="47" a="1"/>
  <c r="B216" i="47" s="1"/>
  <c r="B215" i="47" a="1"/>
  <c r="B215" i="47" s="1"/>
  <c r="B222" i="47" a="1"/>
  <c r="B222" i="47" s="1"/>
  <c r="B221" i="47" a="1"/>
  <c r="B221" i="47" s="1"/>
  <c r="B223" i="47" a="1"/>
  <c r="B223" i="47" s="1"/>
  <c r="B214" i="47" a="1"/>
  <c r="B214" i="47" s="1"/>
  <c r="U4" i="47"/>
  <c r="AC8" i="47"/>
  <c r="U2" i="47"/>
  <c r="D12" i="47"/>
  <c r="AC10" i="47"/>
  <c r="D4" i="47"/>
  <c r="D228" i="46"/>
  <c r="B220" i="46" a="1"/>
  <c r="B220" i="46" s="1"/>
  <c r="B210" i="46" a="1"/>
  <c r="B210" i="46" s="1"/>
  <c r="B212" i="46" a="1"/>
  <c r="B212" i="46" s="1"/>
  <c r="B218" i="46" a="1"/>
  <c r="B218" i="46" s="1"/>
  <c r="B214" i="46" a="1"/>
  <c r="B214" i="46" s="1"/>
  <c r="B211" i="46" a="1"/>
  <c r="B211" i="46" s="1"/>
  <c r="B223" i="46" a="1"/>
  <c r="B223" i="46" s="1"/>
  <c r="B213" i="46" a="1"/>
  <c r="B213" i="46" s="1"/>
  <c r="B222" i="46" a="1"/>
  <c r="B222" i="46" s="1"/>
  <c r="B221" i="46" a="1"/>
  <c r="B221" i="46" s="1"/>
  <c r="B217" i="46" a="1"/>
  <c r="B217" i="46" s="1"/>
  <c r="U4" i="46"/>
  <c r="D4" i="46"/>
  <c r="U2" i="46"/>
  <c r="AC10" i="46"/>
  <c r="AC8" i="46"/>
  <c r="D12" i="46"/>
  <c r="B216" i="46" a="1"/>
  <c r="B216" i="46" s="1"/>
  <c r="D227" i="46"/>
  <c r="B215" i="46" a="1"/>
  <c r="B215" i="46" s="1"/>
  <c r="B219" i="46" a="1"/>
  <c r="B219" i="46" s="1"/>
  <c r="B224" i="46" a="1"/>
  <c r="B224" i="46" s="1"/>
  <c r="B220" i="45" a="1"/>
  <c r="B220" i="45" s="1"/>
  <c r="D228" i="45"/>
  <c r="B213" i="45" a="1"/>
  <c r="B213" i="45" s="1"/>
  <c r="B210" i="45" a="1"/>
  <c r="B210" i="45" s="1"/>
  <c r="B214" i="45" a="1"/>
  <c r="B214" i="45" s="1"/>
  <c r="D229" i="45"/>
  <c r="B216" i="45" a="1"/>
  <c r="B216" i="45" s="1"/>
  <c r="B222" i="45" a="1"/>
  <c r="B222" i="45" s="1"/>
  <c r="B217" i="45" a="1"/>
  <c r="B217" i="45" s="1"/>
  <c r="B221" i="45" a="1"/>
  <c r="B221" i="45" s="1"/>
  <c r="B218" i="45" a="1"/>
  <c r="B218" i="45" s="1"/>
  <c r="D227" i="45"/>
  <c r="B224" i="45" a="1"/>
  <c r="B224" i="45" s="1"/>
  <c r="B211" i="45" a="1"/>
  <c r="B211" i="45" s="1"/>
  <c r="B212" i="45" a="1"/>
  <c r="B212" i="45" s="1"/>
  <c r="B215" i="45" a="1"/>
  <c r="B215" i="45" s="1"/>
  <c r="B223" i="45" a="1"/>
  <c r="B223" i="45" s="1"/>
  <c r="B219" i="45" a="1"/>
  <c r="B219" i="45" s="1"/>
  <c r="U2" i="45"/>
  <c r="U4" i="45"/>
  <c r="AC10" i="45"/>
  <c r="D4" i="45"/>
  <c r="AC8" i="45"/>
  <c r="D12" i="45"/>
  <c r="D228" i="44"/>
  <c r="B223" i="44" a="1"/>
  <c r="B223" i="44" s="1"/>
  <c r="B215" i="44" a="1"/>
  <c r="B215" i="44" s="1"/>
  <c r="D227" i="44"/>
  <c r="B220" i="44" a="1"/>
  <c r="B220" i="44" s="1"/>
  <c r="B212" i="44" a="1"/>
  <c r="B212" i="44" s="1"/>
  <c r="B217" i="44" a="1"/>
  <c r="B217" i="44" s="1"/>
  <c r="B222" i="44" a="1"/>
  <c r="B222" i="44" s="1"/>
  <c r="B214" i="44" a="1"/>
  <c r="B214" i="44" s="1"/>
  <c r="B224" i="44" a="1"/>
  <c r="B224" i="44" s="1"/>
  <c r="B216" i="44" a="1"/>
  <c r="B216" i="44" s="1"/>
  <c r="B221" i="44" a="1"/>
  <c r="B221" i="44" s="1"/>
  <c r="B213" i="44" a="1"/>
  <c r="B213" i="44" s="1"/>
  <c r="B219" i="44" a="1"/>
  <c r="B219" i="44" s="1"/>
  <c r="B211" i="44" a="1"/>
  <c r="B211" i="44" s="1"/>
  <c r="B218" i="44" a="1"/>
  <c r="B218" i="44" s="1"/>
  <c r="B210" i="44" a="1"/>
  <c r="B210" i="44" s="1"/>
  <c r="D229" i="44"/>
  <c r="AA6" i="44"/>
  <c r="AP6" i="44"/>
  <c r="AQ6" i="44"/>
  <c r="D228" i="43"/>
  <c r="B215" i="43" a="1"/>
  <c r="B215" i="43" s="1"/>
  <c r="B212" i="43" a="1"/>
  <c r="B212" i="43" s="1"/>
  <c r="B221" i="43" a="1"/>
  <c r="B221" i="43" s="1"/>
  <c r="B218" i="43" a="1"/>
  <c r="B218" i="43" s="1"/>
  <c r="B222" i="43" a="1"/>
  <c r="B222" i="43" s="1"/>
  <c r="B223" i="43" a="1"/>
  <c r="B223" i="43" s="1"/>
  <c r="B219" i="43" a="1"/>
  <c r="B219" i="43" s="1"/>
  <c r="B211" i="43" a="1"/>
  <c r="B211" i="43" s="1"/>
  <c r="B210" i="43" a="1"/>
  <c r="B210" i="43" s="1"/>
  <c r="B214" i="43" a="1"/>
  <c r="B214" i="43" s="1"/>
  <c r="B213" i="43" a="1"/>
  <c r="B213" i="43" s="1"/>
  <c r="B217" i="43" a="1"/>
  <c r="B217" i="43" s="1"/>
  <c r="B216" i="43" a="1"/>
  <c r="B216" i="43" s="1"/>
  <c r="B220" i="43" a="1"/>
  <c r="B220" i="43" s="1"/>
  <c r="U4" i="43"/>
  <c r="AC10" i="43"/>
  <c r="D4" i="43"/>
  <c r="AC8" i="43"/>
  <c r="U2" i="43"/>
  <c r="D12" i="43"/>
  <c r="B224" i="43" a="1"/>
  <c r="B224" i="43" s="1"/>
  <c r="B210" i="42" a="1"/>
  <c r="B210" i="42" s="1"/>
  <c r="B222" i="42" a="1"/>
  <c r="B222" i="42" s="1"/>
  <c r="B220" i="42" a="1"/>
  <c r="B220" i="42" s="1"/>
  <c r="B214" i="42" a="1"/>
  <c r="B214" i="42" s="1"/>
  <c r="B212" i="42" a="1"/>
  <c r="B212" i="42" s="1"/>
  <c r="B219" i="42" a="1"/>
  <c r="B219" i="42" s="1"/>
  <c r="D227" i="42"/>
  <c r="B211" i="42" a="1"/>
  <c r="B211" i="42" s="1"/>
  <c r="B218" i="42" a="1"/>
  <c r="B218" i="42" s="1"/>
  <c r="B223" i="42" a="1"/>
  <c r="B223" i="42" s="1"/>
  <c r="B217" i="42" a="1"/>
  <c r="B217" i="42" s="1"/>
  <c r="B224" i="42" a="1"/>
  <c r="B224" i="42" s="1"/>
  <c r="B213" i="42" a="1"/>
  <c r="B213" i="42" s="1"/>
  <c r="B215" i="42" a="1"/>
  <c r="B215" i="42" s="1"/>
  <c r="B216" i="42" a="1"/>
  <c r="B216" i="42" s="1"/>
  <c r="B221" i="42" a="1"/>
  <c r="B221" i="42" s="1"/>
  <c r="D228" i="42"/>
  <c r="AC10" i="42"/>
  <c r="U4" i="42"/>
  <c r="D4" i="42"/>
  <c r="D12" i="42"/>
  <c r="AC8" i="42"/>
  <c r="U2" i="42"/>
  <c r="D229" i="42"/>
  <c r="D228" i="108"/>
  <c r="B214" i="108" a="1"/>
  <c r="B214" i="108" s="1"/>
  <c r="B210" i="108" a="1"/>
  <c r="B210" i="108" s="1"/>
  <c r="B221" i="108" a="1"/>
  <c r="B221" i="108" s="1"/>
  <c r="B217" i="108" a="1"/>
  <c r="B217" i="108" s="1"/>
  <c r="B222" i="108" a="1"/>
  <c r="B222" i="108" s="1"/>
  <c r="B223" i="108" a="1"/>
  <c r="B223" i="108" s="1"/>
  <c r="B219" i="108" a="1"/>
  <c r="B219" i="108" s="1"/>
  <c r="B213" i="108" a="1"/>
  <c r="B213" i="108" s="1"/>
  <c r="B218" i="108" a="1"/>
  <c r="B218" i="108" s="1"/>
  <c r="B215" i="108" a="1"/>
  <c r="B215" i="108" s="1"/>
  <c r="B211" i="108" a="1"/>
  <c r="B211" i="108" s="1"/>
  <c r="B216" i="108" a="1"/>
  <c r="B216" i="108" s="1"/>
  <c r="B220" i="108" a="1"/>
  <c r="B220" i="108" s="1"/>
  <c r="B224" i="108" a="1"/>
  <c r="B224" i="108" s="1"/>
  <c r="B212" i="108" a="1"/>
  <c r="B212" i="108" s="1"/>
  <c r="U4" i="108"/>
  <c r="AC10" i="108"/>
  <c r="D4" i="108"/>
  <c r="AC8" i="108"/>
  <c r="U2" i="108"/>
  <c r="D12" i="108"/>
  <c r="B215" i="40" a="1"/>
  <c r="B215" i="40" s="1"/>
  <c r="B211" i="40" a="1"/>
  <c r="B211" i="40" s="1"/>
  <c r="B214" i="40" a="1"/>
  <c r="B214" i="40" s="1"/>
  <c r="B223" i="40" a="1"/>
  <c r="B223" i="40" s="1"/>
  <c r="B220" i="40" a="1"/>
  <c r="B220" i="40" s="1"/>
  <c r="B224" i="40" a="1"/>
  <c r="B224" i="40" s="1"/>
  <c r="B213" i="40" a="1"/>
  <c r="B213" i="40" s="1"/>
  <c r="B219" i="40" a="1"/>
  <c r="B219" i="40" s="1"/>
  <c r="B217" i="40" a="1"/>
  <c r="B217" i="40" s="1"/>
  <c r="B221" i="40" a="1"/>
  <c r="B221" i="40" s="1"/>
  <c r="D227" i="40"/>
  <c r="D12" i="40"/>
  <c r="U4" i="40"/>
  <c r="U2" i="40"/>
  <c r="AC10" i="40"/>
  <c r="D4" i="40"/>
  <c r="AC8" i="40"/>
  <c r="B216" i="40" a="1"/>
  <c r="B216" i="40" s="1"/>
  <c r="B212" i="40" a="1"/>
  <c r="B212" i="40" s="1"/>
  <c r="D229" i="40"/>
  <c r="B222" i="40" a="1"/>
  <c r="B222" i="40" s="1"/>
  <c r="B210" i="40" a="1"/>
  <c r="B210" i="40" s="1"/>
  <c r="D228" i="40"/>
  <c r="B218" i="40" a="1"/>
  <c r="B218" i="40" s="1"/>
  <c r="D228" i="39"/>
  <c r="B223" i="39" a="1"/>
  <c r="B223" i="39" s="1"/>
  <c r="B219" i="39" a="1"/>
  <c r="B219" i="39" s="1"/>
  <c r="B224" i="39" a="1"/>
  <c r="B224" i="39" s="1"/>
  <c r="B215" i="39" a="1"/>
  <c r="B215" i="39" s="1"/>
  <c r="B211" i="39" a="1"/>
  <c r="B211" i="39" s="1"/>
  <c r="B218" i="39" a="1"/>
  <c r="B218" i="39" s="1"/>
  <c r="B210" i="39" a="1"/>
  <c r="B210" i="39" s="1"/>
  <c r="B220" i="39" a="1"/>
  <c r="B220" i="39" s="1"/>
  <c r="B212" i="39" a="1"/>
  <c r="B212" i="39" s="1"/>
  <c r="B216" i="39" a="1"/>
  <c r="B216" i="39" s="1"/>
  <c r="B217" i="39" a="1"/>
  <c r="B217" i="39" s="1"/>
  <c r="B221" i="39" a="1"/>
  <c r="B221" i="39" s="1"/>
  <c r="B222" i="39" a="1"/>
  <c r="B222" i="39" s="1"/>
  <c r="B213" i="39" a="1"/>
  <c r="B213" i="39" s="1"/>
  <c r="B214" i="39" a="1"/>
  <c r="B214" i="39" s="1"/>
  <c r="U4" i="39"/>
  <c r="AC10" i="39"/>
  <c r="D4" i="39"/>
  <c r="AC8" i="39"/>
  <c r="U2" i="39"/>
  <c r="D12" i="39"/>
  <c r="AI14" i="38"/>
  <c r="D219" i="38"/>
  <c r="AJ14" i="38" s="1"/>
  <c r="AI18" i="38"/>
  <c r="D223" i="38"/>
  <c r="AJ18" i="38" s="1"/>
  <c r="AF4" i="38"/>
  <c r="D210" i="38"/>
  <c r="AG4" i="38" s="1"/>
  <c r="D214" i="38"/>
  <c r="AG8" i="38" s="1"/>
  <c r="AF8" i="38"/>
  <c r="D224" i="38"/>
  <c r="AG20" i="38" s="1"/>
  <c r="AF20" i="38"/>
  <c r="AI8" i="38"/>
  <c r="D215" i="38"/>
  <c r="AJ8" i="38" s="1"/>
  <c r="D213" i="38"/>
  <c r="AJ6" i="38" s="1"/>
  <c r="AI6" i="38"/>
  <c r="D217" i="38"/>
  <c r="AJ10" i="38" s="1"/>
  <c r="AI10" i="38"/>
  <c r="D211" i="38"/>
  <c r="AJ4" i="38" s="1"/>
  <c r="AI4" i="38"/>
  <c r="D218" i="38"/>
  <c r="AG14" i="38" s="1"/>
  <c r="AF14" i="38"/>
  <c r="AF18" i="38"/>
  <c r="D222" i="38"/>
  <c r="AG18" i="38" s="1"/>
  <c r="D221" i="38"/>
  <c r="AJ16" i="38" s="1"/>
  <c r="AI16" i="38"/>
  <c r="AF6" i="38"/>
  <c r="D212" i="38"/>
  <c r="AG6" i="38" s="1"/>
  <c r="U4" i="38"/>
  <c r="AC10" i="38"/>
  <c r="D4" i="38"/>
  <c r="D12" i="38"/>
  <c r="AC8" i="38"/>
  <c r="U2" i="38"/>
  <c r="AF10" i="38"/>
  <c r="D216" i="38"/>
  <c r="AG10" i="38" s="1"/>
  <c r="AF16" i="38"/>
  <c r="D220" i="38"/>
  <c r="AG16" i="38" s="1"/>
  <c r="D216" i="37"/>
  <c r="AG10" i="37" s="1"/>
  <c r="AF10" i="37"/>
  <c r="D217" i="37"/>
  <c r="AJ10" i="37" s="1"/>
  <c r="AI10" i="37"/>
  <c r="AF18" i="37"/>
  <c r="D222" i="37"/>
  <c r="AG18" i="37" s="1"/>
  <c r="D224" i="37"/>
  <c r="AG20" i="37" s="1"/>
  <c r="AF20" i="37"/>
  <c r="D211" i="37"/>
  <c r="AJ4" i="37" s="1"/>
  <c r="AI4" i="37"/>
  <c r="AI8" i="37"/>
  <c r="D215" i="37"/>
  <c r="AJ8" i="37" s="1"/>
  <c r="D219" i="37"/>
  <c r="AJ14" i="37" s="1"/>
  <c r="AI14" i="37"/>
  <c r="AI18" i="37"/>
  <c r="D223" i="37"/>
  <c r="AJ18" i="37" s="1"/>
  <c r="AF4" i="37"/>
  <c r="D210" i="37"/>
  <c r="AG4" i="37" s="1"/>
  <c r="D214" i="37"/>
  <c r="AG8" i="37" s="1"/>
  <c r="AF8" i="37"/>
  <c r="U4" i="37"/>
  <c r="D12" i="37"/>
  <c r="AC10" i="37"/>
  <c r="D4" i="37"/>
  <c r="AC8" i="37"/>
  <c r="U2" i="37"/>
  <c r="D213" i="37"/>
  <c r="AJ6" i="37" s="1"/>
  <c r="AI6" i="37"/>
  <c r="AF6" i="37"/>
  <c r="D212" i="37"/>
  <c r="AG6" i="37" s="1"/>
  <c r="D218" i="37"/>
  <c r="AG14" i="37" s="1"/>
  <c r="AF14" i="37"/>
  <c r="AI16" i="37"/>
  <c r="D221" i="37"/>
  <c r="AJ16" i="37" s="1"/>
  <c r="AF16" i="37"/>
  <c r="D220" i="37"/>
  <c r="AG16" i="37" s="1"/>
  <c r="D228" i="36"/>
  <c r="B215" i="36" a="1"/>
  <c r="B215" i="36" s="1"/>
  <c r="B219" i="36" a="1"/>
  <c r="B219" i="36" s="1"/>
  <c r="B224" i="36" a="1"/>
  <c r="B224" i="36" s="1"/>
  <c r="B218" i="36" a="1"/>
  <c r="B218" i="36" s="1"/>
  <c r="B220" i="36" a="1"/>
  <c r="B220" i="36" s="1"/>
  <c r="B211" i="36" a="1"/>
  <c r="B211" i="36" s="1"/>
  <c r="B212" i="36" a="1"/>
  <c r="B212" i="36" s="1"/>
  <c r="B210" i="36" a="1"/>
  <c r="B210" i="36" s="1"/>
  <c r="B217" i="36" a="1"/>
  <c r="B217" i="36" s="1"/>
  <c r="B216" i="36" a="1"/>
  <c r="B216" i="36" s="1"/>
  <c r="B222" i="36" a="1"/>
  <c r="B222" i="36" s="1"/>
  <c r="B221" i="36" a="1"/>
  <c r="B221" i="36" s="1"/>
  <c r="B214" i="36" a="1"/>
  <c r="B214" i="36" s="1"/>
  <c r="B213" i="36" a="1"/>
  <c r="B213" i="36" s="1"/>
  <c r="B223" i="36" a="1"/>
  <c r="B223" i="36" s="1"/>
  <c r="D229" i="36"/>
  <c r="U4" i="36"/>
  <c r="AC10" i="36"/>
  <c r="D4" i="36"/>
  <c r="AC8" i="36"/>
  <c r="U2" i="36"/>
  <c r="D12" i="36"/>
  <c r="BU92" i="35"/>
  <c r="BR92" i="35"/>
  <c r="BT92" i="35"/>
  <c r="BS92" i="35"/>
  <c r="AM87" i="35"/>
  <c r="AN87" i="35"/>
  <c r="AO87" i="35"/>
  <c r="AQ87" i="35"/>
  <c r="AR87" i="35"/>
  <c r="AU87" i="35"/>
  <c r="BK87" i="35"/>
  <c r="BL87" i="35"/>
  <c r="BM87" i="35"/>
  <c r="BN87" i="35"/>
  <c r="BO87" i="35"/>
  <c r="BP87" i="35"/>
  <c r="BQ87" i="35"/>
  <c r="AM88" i="35"/>
  <c r="AN88" i="35"/>
  <c r="AO88" i="35"/>
  <c r="AQ88" i="35"/>
  <c r="AR88" i="35"/>
  <c r="AU88" i="35"/>
  <c r="BK88" i="35"/>
  <c r="BL88" i="35"/>
  <c r="BM88" i="35"/>
  <c r="BN88" i="35"/>
  <c r="BO88" i="35"/>
  <c r="BP88" i="35"/>
  <c r="BQ88" i="35"/>
  <c r="AM89" i="35"/>
  <c r="AN89" i="35"/>
  <c r="AO89" i="35"/>
  <c r="AQ89" i="35"/>
  <c r="AR89" i="35"/>
  <c r="AU89" i="35"/>
  <c r="BK89" i="35"/>
  <c r="BL89" i="35"/>
  <c r="BM89" i="35"/>
  <c r="BN89" i="35"/>
  <c r="BO89" i="35"/>
  <c r="BP89" i="35"/>
  <c r="BQ89" i="35"/>
  <c r="AM90" i="35"/>
  <c r="AN90" i="35"/>
  <c r="AO90" i="35"/>
  <c r="AQ90" i="35"/>
  <c r="AR90" i="35"/>
  <c r="AU90" i="35"/>
  <c r="BK90" i="35"/>
  <c r="BL90" i="35"/>
  <c r="BM90" i="35"/>
  <c r="BN90" i="35"/>
  <c r="BO90" i="35"/>
  <c r="BP90" i="35"/>
  <c r="BQ90" i="35"/>
  <c r="BQ86" i="35"/>
  <c r="BP86" i="35"/>
  <c r="BO86" i="35"/>
  <c r="BN86" i="35"/>
  <c r="BM86" i="35"/>
  <c r="BL86" i="35"/>
  <c r="BK86" i="35"/>
  <c r="AU86" i="35"/>
  <c r="AR86" i="35"/>
  <c r="AQ86" i="35"/>
  <c r="AO86" i="35"/>
  <c r="AN86" i="35"/>
  <c r="AM86" i="35"/>
  <c r="AG76" i="4"/>
  <c r="BI70" i="4"/>
  <c r="BI64" i="4"/>
  <c r="BI58" i="4"/>
  <c r="BI52" i="4"/>
  <c r="BI46" i="4"/>
  <c r="BI40" i="4"/>
  <c r="BI34" i="4"/>
  <c r="BI28" i="4"/>
  <c r="BI22" i="4"/>
  <c r="N8" i="61"/>
  <c r="V6" i="61"/>
  <c r="P2" i="61" s="1"/>
  <c r="T26" i="121"/>
  <c r="R26" i="121"/>
  <c r="Q26" i="121"/>
  <c r="P26" i="121"/>
  <c r="O26" i="121"/>
  <c r="N26" i="121"/>
  <c r="M26" i="121"/>
  <c r="L26" i="121"/>
  <c r="K26" i="121"/>
  <c r="J26" i="121"/>
  <c r="I26" i="121"/>
  <c r="H26" i="121"/>
  <c r="G26" i="121"/>
  <c r="F26" i="121"/>
  <c r="T25" i="121"/>
  <c r="R25" i="121"/>
  <c r="Q25" i="121"/>
  <c r="P25" i="121"/>
  <c r="O25" i="121"/>
  <c r="N25" i="121"/>
  <c r="M25" i="121"/>
  <c r="L25" i="121"/>
  <c r="K25" i="121"/>
  <c r="J25" i="121"/>
  <c r="I25" i="121"/>
  <c r="H25" i="121"/>
  <c r="G25" i="121"/>
  <c r="F25" i="121"/>
  <c r="T24" i="121"/>
  <c r="R24" i="121"/>
  <c r="Q24" i="121"/>
  <c r="P24" i="121"/>
  <c r="O24" i="121"/>
  <c r="N24" i="121"/>
  <c r="M24" i="121"/>
  <c r="L24" i="121"/>
  <c r="K24" i="121"/>
  <c r="J24" i="121"/>
  <c r="I24" i="121"/>
  <c r="H24" i="121"/>
  <c r="G24" i="121"/>
  <c r="F24" i="121"/>
  <c r="T23" i="121"/>
  <c r="R23" i="121"/>
  <c r="Q23" i="121"/>
  <c r="P23" i="121"/>
  <c r="O23" i="121"/>
  <c r="N23" i="121"/>
  <c r="M23" i="121"/>
  <c r="L23" i="121"/>
  <c r="K23" i="121"/>
  <c r="J23" i="121"/>
  <c r="I23" i="121"/>
  <c r="H23" i="121"/>
  <c r="G23" i="121"/>
  <c r="F23" i="121"/>
  <c r="T22" i="121"/>
  <c r="R22" i="121"/>
  <c r="Q22" i="121"/>
  <c r="P22" i="121"/>
  <c r="O22" i="121"/>
  <c r="N22" i="121"/>
  <c r="M22" i="121"/>
  <c r="L22" i="121"/>
  <c r="K22" i="121"/>
  <c r="J22" i="121"/>
  <c r="I22" i="121"/>
  <c r="H22" i="121"/>
  <c r="G22" i="121"/>
  <c r="F22" i="121"/>
  <c r="T21" i="121"/>
  <c r="R21" i="121"/>
  <c r="Q21" i="121"/>
  <c r="P21" i="121"/>
  <c r="O21" i="121"/>
  <c r="N21" i="121"/>
  <c r="M21" i="121"/>
  <c r="L21" i="121"/>
  <c r="K21" i="121"/>
  <c r="J21" i="121"/>
  <c r="I21" i="121"/>
  <c r="H21" i="121"/>
  <c r="G21" i="121"/>
  <c r="F21" i="121"/>
  <c r="T20" i="121"/>
  <c r="R20" i="121"/>
  <c r="Q20" i="121"/>
  <c r="P20" i="121"/>
  <c r="O20" i="121"/>
  <c r="N20" i="121"/>
  <c r="M20" i="121"/>
  <c r="L20" i="121"/>
  <c r="K20" i="121"/>
  <c r="J20" i="121"/>
  <c r="I20" i="121"/>
  <c r="H20" i="121"/>
  <c r="G20" i="121"/>
  <c r="F20" i="121"/>
  <c r="T19" i="121"/>
  <c r="R19" i="121"/>
  <c r="Q19" i="121"/>
  <c r="P19" i="121"/>
  <c r="O19" i="121"/>
  <c r="N19" i="121"/>
  <c r="M19" i="121"/>
  <c r="L19" i="121"/>
  <c r="K19" i="121"/>
  <c r="J19" i="121"/>
  <c r="I19" i="121"/>
  <c r="H19" i="121"/>
  <c r="G19" i="121"/>
  <c r="F19" i="121"/>
  <c r="T18" i="121"/>
  <c r="R18" i="121"/>
  <c r="Q18" i="121"/>
  <c r="P18" i="121"/>
  <c r="O18" i="121"/>
  <c r="N18" i="121"/>
  <c r="M18" i="121"/>
  <c r="L18" i="121"/>
  <c r="K18" i="121"/>
  <c r="J18" i="121"/>
  <c r="I18" i="121"/>
  <c r="H18" i="121"/>
  <c r="G18" i="121"/>
  <c r="F18" i="121"/>
  <c r="T17" i="121"/>
  <c r="R17" i="121"/>
  <c r="Q17" i="121"/>
  <c r="P17" i="121"/>
  <c r="O17" i="121"/>
  <c r="N17" i="121"/>
  <c r="M17" i="121"/>
  <c r="L17" i="121"/>
  <c r="K17" i="121"/>
  <c r="J17" i="121"/>
  <c r="I17" i="121"/>
  <c r="H17" i="121"/>
  <c r="G17" i="121"/>
  <c r="F17" i="121"/>
  <c r="T16" i="121"/>
  <c r="R16" i="121"/>
  <c r="Q16" i="121"/>
  <c r="P16" i="121"/>
  <c r="O16" i="121"/>
  <c r="N16" i="121"/>
  <c r="M16" i="121"/>
  <c r="L16" i="121"/>
  <c r="K16" i="121"/>
  <c r="J16" i="121"/>
  <c r="I16" i="121"/>
  <c r="H16" i="121"/>
  <c r="G16" i="121"/>
  <c r="F16" i="121"/>
  <c r="T15" i="121"/>
  <c r="R15" i="121"/>
  <c r="Q15" i="121"/>
  <c r="P15" i="121"/>
  <c r="O15" i="121"/>
  <c r="N15" i="121"/>
  <c r="M15" i="121"/>
  <c r="L15" i="121"/>
  <c r="K15" i="121"/>
  <c r="J15" i="121"/>
  <c r="I15" i="121"/>
  <c r="H15" i="121"/>
  <c r="G15" i="121"/>
  <c r="F15" i="121"/>
  <c r="T14" i="121"/>
  <c r="R14" i="121"/>
  <c r="Q14" i="121"/>
  <c r="P14" i="121"/>
  <c r="O14" i="121"/>
  <c r="N14" i="121"/>
  <c r="M14" i="121"/>
  <c r="L14" i="121"/>
  <c r="K14" i="121"/>
  <c r="J14" i="121"/>
  <c r="I14" i="121"/>
  <c r="H14" i="121"/>
  <c r="G14" i="121"/>
  <c r="F14" i="121"/>
  <c r="T13" i="121"/>
  <c r="R13" i="121"/>
  <c r="Q13" i="121"/>
  <c r="P13" i="121"/>
  <c r="O13" i="121"/>
  <c r="N13" i="121"/>
  <c r="M13" i="121"/>
  <c r="L13" i="121"/>
  <c r="K13" i="121"/>
  <c r="J13" i="121"/>
  <c r="I13" i="121"/>
  <c r="H13" i="121"/>
  <c r="G13" i="121"/>
  <c r="F13" i="121"/>
  <c r="T12" i="121"/>
  <c r="R12" i="121"/>
  <c r="Q12" i="121"/>
  <c r="P12" i="121"/>
  <c r="O12" i="121"/>
  <c r="N12" i="121"/>
  <c r="M12" i="121"/>
  <c r="L12" i="121"/>
  <c r="K12" i="121"/>
  <c r="J12" i="121"/>
  <c r="I12" i="121"/>
  <c r="H12" i="121"/>
  <c r="G12" i="121"/>
  <c r="F12" i="121"/>
  <c r="T11" i="121"/>
  <c r="R11" i="121"/>
  <c r="Q11" i="121"/>
  <c r="P11" i="121"/>
  <c r="O11" i="121"/>
  <c r="N11" i="121"/>
  <c r="M11" i="121"/>
  <c r="L11" i="121"/>
  <c r="K11" i="121"/>
  <c r="J11" i="121"/>
  <c r="I11" i="121"/>
  <c r="H11" i="121"/>
  <c r="G11" i="121"/>
  <c r="F11" i="121"/>
  <c r="T10" i="121"/>
  <c r="R10" i="121"/>
  <c r="Q10" i="121"/>
  <c r="P10" i="121"/>
  <c r="O10" i="121"/>
  <c r="N10" i="121"/>
  <c r="M10" i="121"/>
  <c r="L10" i="121"/>
  <c r="K10" i="121"/>
  <c r="J10" i="121"/>
  <c r="I10" i="121"/>
  <c r="H10" i="121"/>
  <c r="G10" i="121"/>
  <c r="F10" i="121"/>
  <c r="T9" i="121"/>
  <c r="R9" i="121"/>
  <c r="Q9" i="121"/>
  <c r="P9" i="121"/>
  <c r="O9" i="121"/>
  <c r="N9" i="121"/>
  <c r="M9" i="121"/>
  <c r="L9" i="121"/>
  <c r="K9" i="121"/>
  <c r="J9" i="121"/>
  <c r="I9" i="121"/>
  <c r="H9" i="121"/>
  <c r="G9" i="121"/>
  <c r="F9" i="121"/>
  <c r="T8" i="121"/>
  <c r="R8" i="121"/>
  <c r="Q8" i="121"/>
  <c r="P8" i="121"/>
  <c r="O8" i="121"/>
  <c r="N8" i="121"/>
  <c r="M8" i="121"/>
  <c r="L8" i="121"/>
  <c r="K8" i="121"/>
  <c r="J8" i="121"/>
  <c r="I8" i="121"/>
  <c r="H8" i="121"/>
  <c r="G8" i="121"/>
  <c r="F8" i="121"/>
  <c r="T7" i="121"/>
  <c r="R7" i="121"/>
  <c r="Q7" i="121"/>
  <c r="P7" i="121"/>
  <c r="O7" i="121"/>
  <c r="N7" i="121"/>
  <c r="M7" i="121"/>
  <c r="L7" i="121"/>
  <c r="K7" i="121"/>
  <c r="J7" i="121"/>
  <c r="I7" i="121"/>
  <c r="H7" i="121"/>
  <c r="G7" i="121"/>
  <c r="F7" i="121"/>
  <c r="T6" i="121"/>
  <c r="R6" i="121"/>
  <c r="Q6" i="121"/>
  <c r="P6" i="121"/>
  <c r="O6" i="121"/>
  <c r="N6" i="121"/>
  <c r="M6" i="121"/>
  <c r="L6" i="121"/>
  <c r="K6" i="121"/>
  <c r="J6" i="121"/>
  <c r="I6" i="121"/>
  <c r="H6" i="121"/>
  <c r="G6" i="121"/>
  <c r="F6" i="121"/>
  <c r="T5" i="121"/>
  <c r="R5" i="121"/>
  <c r="Q5" i="121"/>
  <c r="P5" i="121"/>
  <c r="O5" i="121"/>
  <c r="N5" i="121"/>
  <c r="M5" i="121"/>
  <c r="L5" i="121"/>
  <c r="K5" i="121"/>
  <c r="J5" i="121"/>
  <c r="I5" i="121"/>
  <c r="H5" i="121"/>
  <c r="G5" i="121"/>
  <c r="F5" i="121"/>
  <c r="T4" i="121"/>
  <c r="R4" i="121"/>
  <c r="Q4" i="121"/>
  <c r="P4" i="121"/>
  <c r="O4" i="121"/>
  <c r="N4" i="121"/>
  <c r="M4" i="121"/>
  <c r="L4" i="121"/>
  <c r="K4" i="121"/>
  <c r="J4" i="121"/>
  <c r="I4" i="121"/>
  <c r="H4" i="121"/>
  <c r="G4" i="121"/>
  <c r="F4" i="121"/>
  <c r="T3" i="121"/>
  <c r="R3" i="121"/>
  <c r="Q3" i="121"/>
  <c r="P3" i="121"/>
  <c r="O3" i="121"/>
  <c r="N3" i="121"/>
  <c r="M3" i="121"/>
  <c r="L3" i="121"/>
  <c r="K3" i="121"/>
  <c r="J3" i="121"/>
  <c r="I3" i="121"/>
  <c r="H3" i="121"/>
  <c r="G3" i="121"/>
  <c r="F3" i="121"/>
  <c r="AR2" i="19"/>
  <c r="T2" i="121" s="1"/>
  <c r="AP2" i="19"/>
  <c r="R2" i="121" s="1"/>
  <c r="Q2" i="121"/>
  <c r="AN2" i="19"/>
  <c r="P2" i="121" s="1"/>
  <c r="AM2" i="19"/>
  <c r="O2" i="121" s="1"/>
  <c r="AL2" i="19"/>
  <c r="N2" i="121" s="1"/>
  <c r="AK2" i="19"/>
  <c r="M2" i="121" s="1"/>
  <c r="AJ2" i="19"/>
  <c r="L2" i="121" s="1"/>
  <c r="AI2" i="19"/>
  <c r="K2" i="121" s="1"/>
  <c r="AH2" i="19"/>
  <c r="J2" i="121" s="1"/>
  <c r="AG2" i="19"/>
  <c r="I2" i="121" s="1"/>
  <c r="AF2" i="19"/>
  <c r="H2" i="121" s="1"/>
  <c r="AE2" i="19"/>
  <c r="G2" i="121" s="1"/>
  <c r="AD2" i="19"/>
  <c r="F2" i="121" s="1"/>
  <c r="AI18" i="59" l="1"/>
  <c r="D223" i="59"/>
  <c r="AJ18" i="59" s="1"/>
  <c r="D213" i="59"/>
  <c r="AJ6" i="59" s="1"/>
  <c r="AI6" i="59"/>
  <c r="D218" i="59"/>
  <c r="AG14" i="59" s="1"/>
  <c r="AF14" i="59"/>
  <c r="D221" i="59"/>
  <c r="AJ16" i="59" s="1"/>
  <c r="AI16" i="59"/>
  <c r="AF6" i="59"/>
  <c r="D212" i="59"/>
  <c r="AG6" i="59" s="1"/>
  <c r="D224" i="59"/>
  <c r="AG20" i="59" s="1"/>
  <c r="AF20" i="59"/>
  <c r="D214" i="59"/>
  <c r="AG8" i="59" s="1"/>
  <c r="AF8" i="59"/>
  <c r="D222" i="59"/>
  <c r="AG18" i="59" s="1"/>
  <c r="AF18" i="59"/>
  <c r="D219" i="59"/>
  <c r="AJ14" i="59" s="1"/>
  <c r="AI14" i="59"/>
  <c r="AN8" i="59"/>
  <c r="AN6" i="59"/>
  <c r="AI8" i="59"/>
  <c r="D215" i="59"/>
  <c r="AJ8" i="59" s="1"/>
  <c r="AF4" i="59"/>
  <c r="D210" i="59"/>
  <c r="AG4" i="59" s="1"/>
  <c r="AF16" i="59"/>
  <c r="D220" i="59"/>
  <c r="AG16" i="59" s="1"/>
  <c r="D217" i="59"/>
  <c r="AJ10" i="59" s="1"/>
  <c r="AI10" i="59"/>
  <c r="D211" i="59"/>
  <c r="AJ4" i="59" s="1"/>
  <c r="AI4" i="59"/>
  <c r="D216" i="59"/>
  <c r="AG10" i="59" s="1"/>
  <c r="AF10" i="59"/>
  <c r="D211" i="58"/>
  <c r="AJ4" i="58" s="1"/>
  <c r="AI4" i="58"/>
  <c r="D222" i="58"/>
  <c r="AG18" i="58" s="1"/>
  <c r="AF18" i="58"/>
  <c r="D221" i="58"/>
  <c r="AJ16" i="58" s="1"/>
  <c r="AI16" i="58"/>
  <c r="D216" i="58"/>
  <c r="AG10" i="58" s="1"/>
  <c r="AF10" i="58"/>
  <c r="AF6" i="58"/>
  <c r="D212" i="58"/>
  <c r="AG6" i="58" s="1"/>
  <c r="AF16" i="58"/>
  <c r="D220" i="58"/>
  <c r="AG16" i="58" s="1"/>
  <c r="D217" i="58"/>
  <c r="AJ10" i="58" s="1"/>
  <c r="AI10" i="58"/>
  <c r="AN6" i="58"/>
  <c r="AN8" i="58"/>
  <c r="AI18" i="58"/>
  <c r="D223" i="58"/>
  <c r="AJ18" i="58" s="1"/>
  <c r="AF20" i="58"/>
  <c r="D224" i="58"/>
  <c r="AG20" i="58" s="1"/>
  <c r="AF4" i="58"/>
  <c r="D210" i="58"/>
  <c r="AG4" i="58" s="1"/>
  <c r="D213" i="58"/>
  <c r="AJ6" i="58" s="1"/>
  <c r="AI6" i="58"/>
  <c r="D219" i="58"/>
  <c r="AJ14" i="58" s="1"/>
  <c r="AI14" i="58"/>
  <c r="AF8" i="58"/>
  <c r="D214" i="58"/>
  <c r="AG8" i="58" s="1"/>
  <c r="D218" i="58"/>
  <c r="AG14" i="58" s="1"/>
  <c r="AF14" i="58"/>
  <c r="AI8" i="58"/>
  <c r="D215" i="58"/>
  <c r="AJ8" i="58" s="1"/>
  <c r="D218" i="57"/>
  <c r="AG14" i="57" s="1"/>
  <c r="AF14" i="57"/>
  <c r="AI8" i="57"/>
  <c r="D215" i="57"/>
  <c r="AJ8" i="57" s="1"/>
  <c r="AI18" i="57"/>
  <c r="D223" i="57"/>
  <c r="AJ18" i="57" s="1"/>
  <c r="AI16" i="57"/>
  <c r="D221" i="57"/>
  <c r="AJ16" i="57" s="1"/>
  <c r="D216" i="57"/>
  <c r="AG10" i="57" s="1"/>
  <c r="AF10" i="57"/>
  <c r="AF16" i="57"/>
  <c r="D220" i="57"/>
  <c r="AG16" i="57" s="1"/>
  <c r="AF4" i="57"/>
  <c r="D210" i="57"/>
  <c r="AG4" i="57" s="1"/>
  <c r="D219" i="57"/>
  <c r="AJ14" i="57" s="1"/>
  <c r="AI14" i="57"/>
  <c r="D217" i="57"/>
  <c r="AJ10" i="57" s="1"/>
  <c r="AI10" i="57"/>
  <c r="D214" i="57"/>
  <c r="AG8" i="57" s="1"/>
  <c r="AF8" i="57"/>
  <c r="AI4" i="57"/>
  <c r="D211" i="57"/>
  <c r="AJ4" i="57" s="1"/>
  <c r="AI6" i="57"/>
  <c r="D213" i="57"/>
  <c r="AJ6" i="57" s="1"/>
  <c r="AN8" i="57"/>
  <c r="AN6" i="57"/>
  <c r="D224" i="57"/>
  <c r="AG20" i="57" s="1"/>
  <c r="AF20" i="57"/>
  <c r="AF18" i="57"/>
  <c r="D222" i="57"/>
  <c r="AG18" i="57" s="1"/>
  <c r="AF6" i="57"/>
  <c r="D212" i="57"/>
  <c r="AG6" i="57" s="1"/>
  <c r="AI8" i="56"/>
  <c r="D215" i="56"/>
  <c r="AJ8" i="56" s="1"/>
  <c r="AF4" i="56"/>
  <c r="D210" i="56"/>
  <c r="AG4" i="56" s="1"/>
  <c r="AF20" i="56"/>
  <c r="D224" i="56"/>
  <c r="AG20" i="56" s="1"/>
  <c r="AI18" i="56"/>
  <c r="D223" i="56"/>
  <c r="AJ18" i="56" s="1"/>
  <c r="AI6" i="56"/>
  <c r="D213" i="56"/>
  <c r="AJ6" i="56" s="1"/>
  <c r="AF6" i="56"/>
  <c r="D212" i="56"/>
  <c r="AG6" i="56" s="1"/>
  <c r="D214" i="56"/>
  <c r="AG8" i="56" s="1"/>
  <c r="AF8" i="56"/>
  <c r="D216" i="56"/>
  <c r="AG10" i="56" s="1"/>
  <c r="AF10" i="56"/>
  <c r="D211" i="56"/>
  <c r="AJ4" i="56" s="1"/>
  <c r="AI4" i="56"/>
  <c r="AI16" i="56"/>
  <c r="D221" i="56"/>
  <c r="AJ16" i="56" s="1"/>
  <c r="AN8" i="56"/>
  <c r="AN6" i="56"/>
  <c r="D217" i="56"/>
  <c r="AJ10" i="56" s="1"/>
  <c r="AI10" i="56"/>
  <c r="AF16" i="56"/>
  <c r="D220" i="56"/>
  <c r="AG16" i="56" s="1"/>
  <c r="D219" i="56"/>
  <c r="AJ14" i="56" s="1"/>
  <c r="AI14" i="56"/>
  <c r="AF18" i="56"/>
  <c r="D222" i="56"/>
  <c r="AG18" i="56" s="1"/>
  <c r="D218" i="56"/>
  <c r="AG14" i="56" s="1"/>
  <c r="AF14" i="56"/>
  <c r="D211" i="55"/>
  <c r="AJ4" i="55" s="1"/>
  <c r="AI4" i="55"/>
  <c r="D223" i="55"/>
  <c r="AJ18" i="55" s="1"/>
  <c r="AI18" i="55"/>
  <c r="D221" i="55"/>
  <c r="AJ16" i="55" s="1"/>
  <c r="AI16" i="55"/>
  <c r="D218" i="55"/>
  <c r="AG14" i="55" s="1"/>
  <c r="AF14" i="55"/>
  <c r="D222" i="55"/>
  <c r="AG18" i="55" s="1"/>
  <c r="AF18" i="55"/>
  <c r="D214" i="55"/>
  <c r="AG8" i="55" s="1"/>
  <c r="AF8" i="55"/>
  <c r="AF4" i="55"/>
  <c r="D210" i="55"/>
  <c r="AG4" i="55" s="1"/>
  <c r="AN8" i="55"/>
  <c r="AN6" i="55"/>
  <c r="AF10" i="55"/>
  <c r="D216" i="55"/>
  <c r="AG10" i="55" s="1"/>
  <c r="D219" i="55"/>
  <c r="AJ14" i="55" s="1"/>
  <c r="AI14" i="55"/>
  <c r="D224" i="55"/>
  <c r="AG20" i="55" s="1"/>
  <c r="AF20" i="55"/>
  <c r="D213" i="55"/>
  <c r="AJ6" i="55" s="1"/>
  <c r="AI6" i="55"/>
  <c r="AF6" i="55"/>
  <c r="D212" i="55"/>
  <c r="AG6" i="55" s="1"/>
  <c r="AF16" i="55"/>
  <c r="D220" i="55"/>
  <c r="AG16" i="55" s="1"/>
  <c r="D217" i="55"/>
  <c r="AJ10" i="55" s="1"/>
  <c r="AI10" i="55"/>
  <c r="AI8" i="55"/>
  <c r="D215" i="55"/>
  <c r="AJ8" i="55" s="1"/>
  <c r="AI6" i="54"/>
  <c r="D213" i="54"/>
  <c r="AJ6" i="54" s="1"/>
  <c r="D214" i="54"/>
  <c r="AG8" i="54" s="1"/>
  <c r="AF8" i="54"/>
  <c r="AI16" i="54"/>
  <c r="D221" i="54"/>
  <c r="AJ16" i="54" s="1"/>
  <c r="AF4" i="54"/>
  <c r="D210" i="54"/>
  <c r="AG4" i="54" s="1"/>
  <c r="D222" i="54"/>
  <c r="AG18" i="54" s="1"/>
  <c r="AF18" i="54"/>
  <c r="AF6" i="54"/>
  <c r="D212" i="54"/>
  <c r="AG6" i="54" s="1"/>
  <c r="D224" i="54"/>
  <c r="AG20" i="54" s="1"/>
  <c r="AF20" i="54"/>
  <c r="AI8" i="54"/>
  <c r="D215" i="54"/>
  <c r="AJ8" i="54" s="1"/>
  <c r="D218" i="54"/>
  <c r="AG14" i="54" s="1"/>
  <c r="AF14" i="54"/>
  <c r="D219" i="54"/>
  <c r="AJ14" i="54" s="1"/>
  <c r="AI14" i="54"/>
  <c r="D217" i="54"/>
  <c r="AJ10" i="54" s="1"/>
  <c r="AI10" i="54"/>
  <c r="AI18" i="54"/>
  <c r="D223" i="54"/>
  <c r="AJ18" i="54" s="1"/>
  <c r="AN8" i="54"/>
  <c r="AN6" i="54"/>
  <c r="AF16" i="54"/>
  <c r="D220" i="54"/>
  <c r="AG16" i="54" s="1"/>
  <c r="D211" i="54"/>
  <c r="AJ4" i="54" s="1"/>
  <c r="AI4" i="54"/>
  <c r="D216" i="54"/>
  <c r="AG10" i="54" s="1"/>
  <c r="AF10" i="54"/>
  <c r="D211" i="53"/>
  <c r="AJ4" i="53" s="1"/>
  <c r="AI4" i="53"/>
  <c r="AI18" i="53"/>
  <c r="D223" i="53"/>
  <c r="AJ18" i="53" s="1"/>
  <c r="AF6" i="53"/>
  <c r="D212" i="53"/>
  <c r="AG6" i="53" s="1"/>
  <c r="AF18" i="53"/>
  <c r="D222" i="53"/>
  <c r="AG18" i="53" s="1"/>
  <c r="D224" i="53"/>
  <c r="AG20" i="53" s="1"/>
  <c r="AF20" i="53"/>
  <c r="D216" i="53"/>
  <c r="AG10" i="53" s="1"/>
  <c r="AF10" i="53"/>
  <c r="AN8" i="53"/>
  <c r="AN6" i="53"/>
  <c r="D215" i="53"/>
  <c r="AJ8" i="53" s="1"/>
  <c r="AI8" i="53"/>
  <c r="AI6" i="53"/>
  <c r="D213" i="53"/>
  <c r="AJ6" i="53" s="1"/>
  <c r="D214" i="53"/>
  <c r="AG8" i="53" s="1"/>
  <c r="AF8" i="53"/>
  <c r="AI16" i="53"/>
  <c r="D221" i="53"/>
  <c r="AJ16" i="53" s="1"/>
  <c r="D217" i="53"/>
  <c r="AJ10" i="53" s="1"/>
  <c r="AI10" i="53"/>
  <c r="AF4" i="53"/>
  <c r="D210" i="53"/>
  <c r="AG4" i="53" s="1"/>
  <c r="D219" i="53"/>
  <c r="AJ14" i="53" s="1"/>
  <c r="AI14" i="53"/>
  <c r="AF14" i="53"/>
  <c r="D218" i="53"/>
  <c r="AG14" i="53" s="1"/>
  <c r="AF16" i="53"/>
  <c r="D220" i="53"/>
  <c r="AG16" i="53" s="1"/>
  <c r="AF6" i="52"/>
  <c r="D212" i="52"/>
  <c r="AG6" i="52" s="1"/>
  <c r="D213" i="52"/>
  <c r="AJ6" i="52" s="1"/>
  <c r="AI6" i="52"/>
  <c r="AI18" i="52"/>
  <c r="D223" i="52"/>
  <c r="AJ18" i="52" s="1"/>
  <c r="AN8" i="52"/>
  <c r="AN6" i="52"/>
  <c r="D224" i="52"/>
  <c r="AG20" i="52" s="1"/>
  <c r="AF20" i="52"/>
  <c r="AI8" i="52"/>
  <c r="D215" i="52"/>
  <c r="AJ8" i="52" s="1"/>
  <c r="D216" i="52"/>
  <c r="AG10" i="52" s="1"/>
  <c r="AF10" i="52"/>
  <c r="D219" i="52"/>
  <c r="AJ14" i="52" s="1"/>
  <c r="AI14" i="52"/>
  <c r="AF16" i="52"/>
  <c r="D220" i="52"/>
  <c r="AG16" i="52" s="1"/>
  <c r="D218" i="52"/>
  <c r="AG14" i="52" s="1"/>
  <c r="AF14" i="52"/>
  <c r="D211" i="52"/>
  <c r="AJ4" i="52" s="1"/>
  <c r="AI4" i="52"/>
  <c r="AI16" i="52"/>
  <c r="D221" i="52"/>
  <c r="AJ16" i="52" s="1"/>
  <c r="AF4" i="52"/>
  <c r="D210" i="52"/>
  <c r="AG4" i="52" s="1"/>
  <c r="D214" i="52"/>
  <c r="AG8" i="52" s="1"/>
  <c r="AF8" i="52"/>
  <c r="D217" i="52"/>
  <c r="AJ10" i="52" s="1"/>
  <c r="AI10" i="52"/>
  <c r="AF18" i="52"/>
  <c r="D222" i="52"/>
  <c r="AG18" i="52" s="1"/>
  <c r="AN6" i="51"/>
  <c r="AN8" i="51"/>
  <c r="AN8" i="50"/>
  <c r="AN6" i="50"/>
  <c r="AI8" i="49"/>
  <c r="D215" i="49"/>
  <c r="AJ8" i="49" s="1"/>
  <c r="AF16" i="49"/>
  <c r="D220" i="49"/>
  <c r="AG16" i="49" s="1"/>
  <c r="AF6" i="49"/>
  <c r="D212" i="49"/>
  <c r="AG6" i="49" s="1"/>
  <c r="D224" i="49"/>
  <c r="AG20" i="49" s="1"/>
  <c r="AF20" i="49"/>
  <c r="D214" i="49"/>
  <c r="AG8" i="49" s="1"/>
  <c r="AF8" i="49"/>
  <c r="D218" i="49"/>
  <c r="AG14" i="49" s="1"/>
  <c r="AF14" i="49"/>
  <c r="D219" i="49"/>
  <c r="AJ14" i="49" s="1"/>
  <c r="AI14" i="49"/>
  <c r="D211" i="49"/>
  <c r="AJ4" i="49" s="1"/>
  <c r="AI4" i="49"/>
  <c r="AI18" i="49"/>
  <c r="D223" i="49"/>
  <c r="AJ18" i="49" s="1"/>
  <c r="AF18" i="49"/>
  <c r="D222" i="49"/>
  <c r="AG18" i="49" s="1"/>
  <c r="D216" i="49"/>
  <c r="AG10" i="49" s="1"/>
  <c r="AF10" i="49"/>
  <c r="D221" i="49"/>
  <c r="AJ16" i="49" s="1"/>
  <c r="AI16" i="49"/>
  <c r="D217" i="49"/>
  <c r="AJ10" i="49" s="1"/>
  <c r="AI10" i="49"/>
  <c r="AF4" i="49"/>
  <c r="D210" i="49"/>
  <c r="AG4" i="49" s="1"/>
  <c r="AN8" i="49"/>
  <c r="AN6" i="49"/>
  <c r="AI6" i="49"/>
  <c r="D213" i="49"/>
  <c r="AJ6" i="49" s="1"/>
  <c r="AF18" i="48"/>
  <c r="D222" i="48"/>
  <c r="AG18" i="48" s="1"/>
  <c r="AI14" i="48"/>
  <c r="D219" i="48"/>
  <c r="AJ14" i="48" s="1"/>
  <c r="D223" i="48"/>
  <c r="AJ18" i="48" s="1"/>
  <c r="AI18" i="48"/>
  <c r="AF4" i="48"/>
  <c r="D210" i="48"/>
  <c r="AG4" i="48" s="1"/>
  <c r="AN8" i="48"/>
  <c r="AN6" i="48"/>
  <c r="AF6" i="48"/>
  <c r="D212" i="48"/>
  <c r="AG6" i="48" s="1"/>
  <c r="AF16" i="48"/>
  <c r="D220" i="48"/>
  <c r="AG16" i="48" s="1"/>
  <c r="AI8" i="48"/>
  <c r="D215" i="48"/>
  <c r="AJ8" i="48" s="1"/>
  <c r="D217" i="48"/>
  <c r="AJ10" i="48" s="1"/>
  <c r="AI10" i="48"/>
  <c r="D214" i="48"/>
  <c r="AG8" i="48" s="1"/>
  <c r="AF8" i="48"/>
  <c r="AI6" i="48"/>
  <c r="D213" i="48"/>
  <c r="AJ6" i="48" s="1"/>
  <c r="D221" i="48"/>
  <c r="AJ16" i="48" s="1"/>
  <c r="AI16" i="48"/>
  <c r="AF10" i="48"/>
  <c r="D216" i="48"/>
  <c r="AG10" i="48" s="1"/>
  <c r="AF20" i="48"/>
  <c r="D224" i="48"/>
  <c r="AG20" i="48" s="1"/>
  <c r="AF14" i="48"/>
  <c r="D218" i="48"/>
  <c r="AG14" i="48" s="1"/>
  <c r="D211" i="48"/>
  <c r="AJ4" i="48" s="1"/>
  <c r="AI4" i="48"/>
  <c r="AI18" i="47"/>
  <c r="D223" i="47"/>
  <c r="AJ18" i="47" s="1"/>
  <c r="AF14" i="47"/>
  <c r="D218" i="47"/>
  <c r="AG14" i="47" s="1"/>
  <c r="AN8" i="47"/>
  <c r="AN6" i="47"/>
  <c r="AI16" i="47"/>
  <c r="D221" i="47"/>
  <c r="AJ16" i="47" s="1"/>
  <c r="D211" i="47"/>
  <c r="AJ4" i="47" s="1"/>
  <c r="AI4" i="47"/>
  <c r="AF18" i="47"/>
  <c r="D222" i="47"/>
  <c r="AG18" i="47" s="1"/>
  <c r="AF16" i="47"/>
  <c r="D220" i="47"/>
  <c r="AG16" i="47" s="1"/>
  <c r="AI8" i="47"/>
  <c r="D215" i="47"/>
  <c r="AJ8" i="47" s="1"/>
  <c r="AI6" i="47"/>
  <c r="D213" i="47"/>
  <c r="AJ6" i="47" s="1"/>
  <c r="AF6" i="47"/>
  <c r="D212" i="47"/>
  <c r="AG6" i="47" s="1"/>
  <c r="D216" i="47"/>
  <c r="AG10" i="47" s="1"/>
  <c r="AF10" i="47"/>
  <c r="D217" i="47"/>
  <c r="AJ10" i="47" s="1"/>
  <c r="AI10" i="47"/>
  <c r="AF4" i="47"/>
  <c r="D210" i="47"/>
  <c r="AG4" i="47" s="1"/>
  <c r="D214" i="47"/>
  <c r="AG8" i="47" s="1"/>
  <c r="AF8" i="47"/>
  <c r="D219" i="47"/>
  <c r="AJ14" i="47" s="1"/>
  <c r="AI14" i="47"/>
  <c r="D224" i="47"/>
  <c r="AG20" i="47" s="1"/>
  <c r="AF20" i="47"/>
  <c r="AN8" i="46"/>
  <c r="AN6" i="46"/>
  <c r="D218" i="46"/>
  <c r="AG14" i="46" s="1"/>
  <c r="AF14" i="46"/>
  <c r="D217" i="46"/>
  <c r="AJ10" i="46" s="1"/>
  <c r="AI10" i="46"/>
  <c r="AF6" i="46"/>
  <c r="D212" i="46"/>
  <c r="AG6" i="46" s="1"/>
  <c r="D224" i="46"/>
  <c r="AG20" i="46" s="1"/>
  <c r="AF20" i="46"/>
  <c r="D216" i="46"/>
  <c r="AG10" i="46" s="1"/>
  <c r="AF10" i="46"/>
  <c r="D221" i="46"/>
  <c r="AJ16" i="46" s="1"/>
  <c r="AI16" i="46"/>
  <c r="AF4" i="46"/>
  <c r="D210" i="46"/>
  <c r="AG4" i="46" s="1"/>
  <c r="D214" i="46"/>
  <c r="AG8" i="46" s="1"/>
  <c r="AF8" i="46"/>
  <c r="AI8" i="46"/>
  <c r="D215" i="46"/>
  <c r="AJ8" i="46" s="1"/>
  <c r="D222" i="46"/>
  <c r="AG18" i="46" s="1"/>
  <c r="AF18" i="46"/>
  <c r="AF16" i="46"/>
  <c r="D220" i="46"/>
  <c r="AG16" i="46" s="1"/>
  <c r="AI18" i="46"/>
  <c r="D223" i="46"/>
  <c r="AJ18" i="46" s="1"/>
  <c r="D211" i="46"/>
  <c r="AJ4" i="46" s="1"/>
  <c r="AI4" i="46"/>
  <c r="D219" i="46"/>
  <c r="AJ14" i="46" s="1"/>
  <c r="AI14" i="46"/>
  <c r="D213" i="46"/>
  <c r="AJ6" i="46" s="1"/>
  <c r="AI6" i="46"/>
  <c r="AF6" i="45"/>
  <c r="D212" i="45"/>
  <c r="AG6" i="45" s="1"/>
  <c r="D216" i="45"/>
  <c r="AG10" i="45" s="1"/>
  <c r="AF10" i="45"/>
  <c r="AN8" i="45"/>
  <c r="AN6" i="45"/>
  <c r="D211" i="45"/>
  <c r="AJ4" i="45" s="1"/>
  <c r="AI4" i="45"/>
  <c r="AF4" i="45"/>
  <c r="D210" i="45"/>
  <c r="AG4" i="45" s="1"/>
  <c r="D218" i="45"/>
  <c r="AG14" i="45" s="1"/>
  <c r="AF14" i="45"/>
  <c r="D213" i="45"/>
  <c r="AJ6" i="45" s="1"/>
  <c r="AI6" i="45"/>
  <c r="D215" i="45"/>
  <c r="AJ8" i="45" s="1"/>
  <c r="AI8" i="45"/>
  <c r="D224" i="45"/>
  <c r="AG20" i="45" s="1"/>
  <c r="AF20" i="45"/>
  <c r="D219" i="45"/>
  <c r="AJ14" i="45" s="1"/>
  <c r="AI14" i="45"/>
  <c r="D221" i="45"/>
  <c r="AJ16" i="45" s="1"/>
  <c r="AI16" i="45"/>
  <c r="AF18" i="45"/>
  <c r="D222" i="45"/>
  <c r="AG18" i="45" s="1"/>
  <c r="D214" i="45"/>
  <c r="AG8" i="45" s="1"/>
  <c r="AF8" i="45"/>
  <c r="D223" i="45"/>
  <c r="AJ18" i="45" s="1"/>
  <c r="AI18" i="45"/>
  <c r="D217" i="45"/>
  <c r="AJ10" i="45" s="1"/>
  <c r="AI10" i="45"/>
  <c r="AF16" i="45"/>
  <c r="D220" i="45"/>
  <c r="AG16" i="45" s="1"/>
  <c r="AF16" i="44"/>
  <c r="D220" i="44"/>
  <c r="AG16" i="44" s="1"/>
  <c r="D221" i="44"/>
  <c r="AJ16" i="44" s="1"/>
  <c r="AI16" i="44"/>
  <c r="D222" i="44"/>
  <c r="AG18" i="44" s="1"/>
  <c r="AF18" i="44"/>
  <c r="D211" i="44"/>
  <c r="AJ4" i="44" s="1"/>
  <c r="AI4" i="44"/>
  <c r="AF6" i="44"/>
  <c r="D212" i="44"/>
  <c r="AG6" i="44" s="1"/>
  <c r="AC8" i="44"/>
  <c r="U2" i="44"/>
  <c r="AC10" i="44"/>
  <c r="D4" i="44"/>
  <c r="D12" i="44"/>
  <c r="U4" i="44"/>
  <c r="D216" i="44"/>
  <c r="AG10" i="44" s="1"/>
  <c r="AF10" i="44"/>
  <c r="AI8" i="44"/>
  <c r="D215" i="44"/>
  <c r="AJ8" i="44" s="1"/>
  <c r="D217" i="44"/>
  <c r="AJ10" i="44" s="1"/>
  <c r="AI10" i="44"/>
  <c r="D219" i="44"/>
  <c r="AJ14" i="44" s="1"/>
  <c r="AI14" i="44"/>
  <c r="AF20" i="44"/>
  <c r="D224" i="44"/>
  <c r="AG20" i="44" s="1"/>
  <c r="AI18" i="44"/>
  <c r="D223" i="44"/>
  <c r="AJ18" i="44" s="1"/>
  <c r="D218" i="44"/>
  <c r="AG14" i="44" s="1"/>
  <c r="AF14" i="44"/>
  <c r="AI6" i="44"/>
  <c r="D213" i="44"/>
  <c r="AJ6" i="44" s="1"/>
  <c r="AF4" i="44"/>
  <c r="D210" i="44"/>
  <c r="AG4" i="44" s="1"/>
  <c r="D214" i="44"/>
  <c r="AG8" i="44" s="1"/>
  <c r="AF8" i="44"/>
  <c r="AI18" i="43"/>
  <c r="D223" i="43"/>
  <c r="AJ18" i="43" s="1"/>
  <c r="D224" i="43"/>
  <c r="AG20" i="43" s="1"/>
  <c r="AF20" i="43"/>
  <c r="D222" i="43"/>
  <c r="AG18" i="43" s="1"/>
  <c r="AF18" i="43"/>
  <c r="D217" i="43"/>
  <c r="AJ10" i="43" s="1"/>
  <c r="AI10" i="43"/>
  <c r="D218" i="43"/>
  <c r="AG14" i="43" s="1"/>
  <c r="AF14" i="43"/>
  <c r="AF16" i="43"/>
  <c r="D220" i="43"/>
  <c r="AG16" i="43" s="1"/>
  <c r="AF10" i="43"/>
  <c r="D216" i="43"/>
  <c r="AG10" i="43" s="1"/>
  <c r="D213" i="43"/>
  <c r="AJ6" i="43" s="1"/>
  <c r="AI6" i="43"/>
  <c r="D221" i="43"/>
  <c r="AJ16" i="43" s="1"/>
  <c r="AI16" i="43"/>
  <c r="D214" i="43"/>
  <c r="AG8" i="43" s="1"/>
  <c r="AF8" i="43"/>
  <c r="AF6" i="43"/>
  <c r="D212" i="43"/>
  <c r="AG6" i="43" s="1"/>
  <c r="AN8" i="43"/>
  <c r="AN6" i="43"/>
  <c r="AF4" i="43"/>
  <c r="D210" i="43"/>
  <c r="AG4" i="43" s="1"/>
  <c r="AI8" i="43"/>
  <c r="D215" i="43"/>
  <c r="AJ8" i="43" s="1"/>
  <c r="AI14" i="43"/>
  <c r="D219" i="43"/>
  <c r="AJ14" i="43" s="1"/>
  <c r="D211" i="43"/>
  <c r="AJ4" i="43" s="1"/>
  <c r="AI4" i="43"/>
  <c r="D211" i="42"/>
  <c r="AJ4" i="42" s="1"/>
  <c r="AI4" i="42"/>
  <c r="D216" i="42"/>
  <c r="AG10" i="42" s="1"/>
  <c r="AF10" i="42"/>
  <c r="D215" i="42"/>
  <c r="AJ8" i="42" s="1"/>
  <c r="AI8" i="42"/>
  <c r="D219" i="42"/>
  <c r="AJ14" i="42" s="1"/>
  <c r="AI14" i="42"/>
  <c r="AI16" i="42"/>
  <c r="D221" i="42"/>
  <c r="AJ16" i="42" s="1"/>
  <c r="D213" i="42"/>
  <c r="AJ6" i="42" s="1"/>
  <c r="AI6" i="42"/>
  <c r="AF6" i="42"/>
  <c r="D212" i="42"/>
  <c r="AG6" i="42" s="1"/>
  <c r="AN8" i="42"/>
  <c r="AN6" i="42"/>
  <c r="D224" i="42"/>
  <c r="AG20" i="42" s="1"/>
  <c r="AF20" i="42"/>
  <c r="D220" i="42"/>
  <c r="AG16" i="42" s="1"/>
  <c r="AF16" i="42"/>
  <c r="D223" i="42"/>
  <c r="AJ18" i="42" s="1"/>
  <c r="AI18" i="42"/>
  <c r="D222" i="42"/>
  <c r="AG18" i="42" s="1"/>
  <c r="AF18" i="42"/>
  <c r="D214" i="42"/>
  <c r="AG8" i="42" s="1"/>
  <c r="AF8" i="42"/>
  <c r="D217" i="42"/>
  <c r="AJ10" i="42" s="1"/>
  <c r="AI10" i="42"/>
  <c r="D218" i="42"/>
  <c r="AG14" i="42" s="1"/>
  <c r="AF14" i="42"/>
  <c r="AF4" i="42"/>
  <c r="D210" i="42"/>
  <c r="AG4" i="42" s="1"/>
  <c r="D224" i="108"/>
  <c r="AG20" i="108" s="1"/>
  <c r="AF20" i="108"/>
  <c r="D222" i="108"/>
  <c r="AG18" i="108" s="1"/>
  <c r="AF18" i="108"/>
  <c r="D216" i="108"/>
  <c r="AG10" i="108" s="1"/>
  <c r="AF10" i="108"/>
  <c r="D217" i="108"/>
  <c r="AJ10" i="108" s="1"/>
  <c r="AI10" i="108"/>
  <c r="AF6" i="108"/>
  <c r="D212" i="108"/>
  <c r="AG6" i="108" s="1"/>
  <c r="AI18" i="108"/>
  <c r="D223" i="108"/>
  <c r="AJ18" i="108" s="1"/>
  <c r="AF16" i="108"/>
  <c r="D220" i="108"/>
  <c r="AG16" i="108" s="1"/>
  <c r="D211" i="108"/>
  <c r="AJ4" i="108" s="1"/>
  <c r="AI4" i="108"/>
  <c r="D221" i="108"/>
  <c r="AJ16" i="108" s="1"/>
  <c r="AI16" i="108"/>
  <c r="D219" i="108"/>
  <c r="AJ14" i="108" s="1"/>
  <c r="AI14" i="108"/>
  <c r="AN8" i="108"/>
  <c r="AN6" i="108"/>
  <c r="AF4" i="108"/>
  <c r="D210" i="108"/>
  <c r="AG4" i="108" s="1"/>
  <c r="D218" i="108"/>
  <c r="AG14" i="108" s="1"/>
  <c r="AF14" i="108"/>
  <c r="D214" i="108"/>
  <c r="AG8" i="108" s="1"/>
  <c r="AF8" i="108"/>
  <c r="AI8" i="108"/>
  <c r="D215" i="108"/>
  <c r="AJ8" i="108" s="1"/>
  <c r="D213" i="108"/>
  <c r="AJ6" i="108" s="1"/>
  <c r="AI6" i="108"/>
  <c r="D219" i="40"/>
  <c r="AJ14" i="40" s="1"/>
  <c r="AI14" i="40"/>
  <c r="AF4" i="40"/>
  <c r="D210" i="40"/>
  <c r="AG4" i="40" s="1"/>
  <c r="D224" i="40"/>
  <c r="AG20" i="40" s="1"/>
  <c r="AF20" i="40"/>
  <c r="D218" i="40"/>
  <c r="AG14" i="40" s="1"/>
  <c r="AF14" i="40"/>
  <c r="AN8" i="40"/>
  <c r="AN6" i="40"/>
  <c r="D213" i="40"/>
  <c r="AJ6" i="40" s="1"/>
  <c r="AI6" i="40"/>
  <c r="D222" i="40"/>
  <c r="AG18" i="40" s="1"/>
  <c r="AF18" i="40"/>
  <c r="AF16" i="40"/>
  <c r="D220" i="40"/>
  <c r="AG16" i="40" s="1"/>
  <c r="D223" i="40"/>
  <c r="AJ18" i="40" s="1"/>
  <c r="AI18" i="40"/>
  <c r="D214" i="40"/>
  <c r="AG8" i="40" s="1"/>
  <c r="AF8" i="40"/>
  <c r="D216" i="40"/>
  <c r="AG10" i="40" s="1"/>
  <c r="AF10" i="40"/>
  <c r="AI16" i="40"/>
  <c r="D221" i="40"/>
  <c r="AJ16" i="40" s="1"/>
  <c r="D211" i="40"/>
  <c r="AJ4" i="40" s="1"/>
  <c r="AI4" i="40"/>
  <c r="AF6" i="40"/>
  <c r="D212" i="40"/>
  <c r="AG6" i="40" s="1"/>
  <c r="D217" i="40"/>
  <c r="AJ10" i="40" s="1"/>
  <c r="AI10" i="40"/>
  <c r="AI8" i="40"/>
  <c r="D215" i="40"/>
  <c r="AJ8" i="40" s="1"/>
  <c r="D213" i="39"/>
  <c r="AJ6" i="39" s="1"/>
  <c r="AI6" i="39"/>
  <c r="D218" i="39"/>
  <c r="AG14" i="39" s="1"/>
  <c r="AF14" i="39"/>
  <c r="D222" i="39"/>
  <c r="AG18" i="39" s="1"/>
  <c r="AF18" i="39"/>
  <c r="D211" i="39"/>
  <c r="AJ4" i="39" s="1"/>
  <c r="AI4" i="39"/>
  <c r="D214" i="39"/>
  <c r="AG8" i="39" s="1"/>
  <c r="AF8" i="39"/>
  <c r="D221" i="39"/>
  <c r="AJ16" i="39" s="1"/>
  <c r="AI16" i="39"/>
  <c r="AI8" i="39"/>
  <c r="D215" i="39"/>
  <c r="AJ8" i="39" s="1"/>
  <c r="D217" i="39"/>
  <c r="AJ10" i="39" s="1"/>
  <c r="AI10" i="39"/>
  <c r="D224" i="39"/>
  <c r="AG20" i="39" s="1"/>
  <c r="AF20" i="39"/>
  <c r="AF4" i="39"/>
  <c r="D210" i="39"/>
  <c r="AG4" i="39" s="1"/>
  <c r="AN8" i="39"/>
  <c r="AN6" i="39"/>
  <c r="D219" i="39"/>
  <c r="AJ14" i="39" s="1"/>
  <c r="AI14" i="39"/>
  <c r="AF6" i="39"/>
  <c r="D212" i="39"/>
  <c r="AG6" i="39" s="1"/>
  <c r="AI18" i="39"/>
  <c r="D223" i="39"/>
  <c r="AJ18" i="39" s="1"/>
  <c r="D216" i="39"/>
  <c r="AG10" i="39" s="1"/>
  <c r="AF10" i="39"/>
  <c r="AF16" i="39"/>
  <c r="D220" i="39"/>
  <c r="AG16" i="39" s="1"/>
  <c r="AN8" i="38"/>
  <c r="AN6" i="38"/>
  <c r="AN8" i="37"/>
  <c r="AN6" i="37"/>
  <c r="AF6" i="36"/>
  <c r="D212" i="36"/>
  <c r="AG6" i="36" s="1"/>
  <c r="D213" i="36"/>
  <c r="AJ6" i="36" s="1"/>
  <c r="AI6" i="36"/>
  <c r="D214" i="36"/>
  <c r="AG8" i="36" s="1"/>
  <c r="AF8" i="36"/>
  <c r="AF16" i="36"/>
  <c r="D220" i="36"/>
  <c r="AG16" i="36" s="1"/>
  <c r="AI18" i="36"/>
  <c r="D223" i="36"/>
  <c r="AJ18" i="36" s="1"/>
  <c r="D211" i="36"/>
  <c r="AJ4" i="36" s="1"/>
  <c r="AI4" i="36"/>
  <c r="D221" i="36"/>
  <c r="AJ16" i="36" s="1"/>
  <c r="AI16" i="36"/>
  <c r="D218" i="36"/>
  <c r="AG14" i="36" s="1"/>
  <c r="AF14" i="36"/>
  <c r="D222" i="36"/>
  <c r="AG18" i="36" s="1"/>
  <c r="AF18" i="36"/>
  <c r="D216" i="36"/>
  <c r="AG10" i="36" s="1"/>
  <c r="AF10" i="36"/>
  <c r="D217" i="36"/>
  <c r="AJ10" i="36" s="1"/>
  <c r="AI10" i="36"/>
  <c r="AI8" i="36"/>
  <c r="D215" i="36"/>
  <c r="AJ8" i="36" s="1"/>
  <c r="AN8" i="36"/>
  <c r="AN6" i="36"/>
  <c r="D224" i="36"/>
  <c r="AG20" i="36" s="1"/>
  <c r="AF20" i="36"/>
  <c r="D219" i="36"/>
  <c r="AJ14" i="36" s="1"/>
  <c r="AI14" i="36"/>
  <c r="AF4" i="36"/>
  <c r="D210" i="36"/>
  <c r="AG4" i="36" s="1"/>
  <c r="BQ92" i="35"/>
  <c r="Y12" i="121"/>
  <c r="Y16" i="121"/>
  <c r="Y9" i="121"/>
  <c r="Y24" i="121"/>
  <c r="Y10" i="121"/>
  <c r="Y13" i="121"/>
  <c r="Y22" i="121"/>
  <c r="Y14" i="121"/>
  <c r="Y8" i="121"/>
  <c r="Y6" i="121"/>
  <c r="Y2" i="121"/>
  <c r="Y20" i="121"/>
  <c r="Y21" i="121"/>
  <c r="Y7" i="121"/>
  <c r="Y23" i="121"/>
  <c r="Y15" i="121"/>
  <c r="Y5" i="121"/>
  <c r="Y17" i="121"/>
  <c r="Y4" i="121"/>
  <c r="Y26" i="121"/>
  <c r="Y18" i="121"/>
  <c r="Y25" i="121"/>
  <c r="Y3" i="121"/>
  <c r="Y11" i="121"/>
  <c r="Y19" i="121"/>
  <c r="AN8" i="44" l="1"/>
  <c r="AN6" i="44"/>
  <c r="I4" i="120"/>
  <c r="K4" i="120" s="1"/>
  <c r="D13" i="120"/>
  <c r="F13" i="120" s="1"/>
  <c r="D12" i="120"/>
  <c r="F12" i="120" s="1"/>
  <c r="D11" i="120"/>
  <c r="F11" i="120" s="1"/>
  <c r="D10" i="120"/>
  <c r="F10" i="120" s="1"/>
  <c r="D9" i="120"/>
  <c r="F9" i="120" s="1"/>
  <c r="D8" i="120"/>
  <c r="F8" i="120" s="1"/>
  <c r="D7" i="120"/>
  <c r="F7" i="120" s="1"/>
  <c r="D6" i="120"/>
  <c r="F6" i="120" s="1"/>
  <c r="D5" i="120"/>
  <c r="F5" i="120" s="1"/>
  <c r="C5" i="119"/>
  <c r="R5" i="119" s="1"/>
  <c r="H18" i="5"/>
  <c r="V64" i="5"/>
  <c r="M4" i="120" l="1"/>
  <c r="F15" i="120"/>
  <c r="I5" i="119" s="1"/>
  <c r="K30" i="118"/>
  <c r="K28" i="118"/>
  <c r="K26" i="118"/>
  <c r="K24" i="118"/>
  <c r="K22" i="118"/>
  <c r="K20" i="118"/>
  <c r="K18" i="118"/>
  <c r="K16" i="118"/>
  <c r="K14" i="118"/>
  <c r="K12" i="118"/>
  <c r="K10" i="118"/>
  <c r="K8" i="118"/>
  <c r="K6" i="118"/>
  <c r="J30" i="118"/>
  <c r="J28" i="118"/>
  <c r="J26" i="118"/>
  <c r="J24" i="118"/>
  <c r="J22" i="118"/>
  <c r="J20" i="118"/>
  <c r="J18" i="118"/>
  <c r="J16" i="118"/>
  <c r="J14" i="118"/>
  <c r="J34" i="118" s="1"/>
  <c r="J12" i="118"/>
  <c r="J10" i="118"/>
  <c r="J8" i="118"/>
  <c r="J6" i="118"/>
  <c r="K4" i="118"/>
  <c r="J4" i="118"/>
  <c r="L30" i="118"/>
  <c r="L28" i="118"/>
  <c r="L26" i="118"/>
  <c r="L24" i="118"/>
  <c r="L22" i="118"/>
  <c r="L20" i="118"/>
  <c r="L18" i="118"/>
  <c r="L16" i="118"/>
  <c r="L14" i="118"/>
  <c r="L12" i="118"/>
  <c r="L10" i="118"/>
  <c r="L8" i="118"/>
  <c r="L6" i="118"/>
  <c r="L4" i="118"/>
  <c r="S26" i="121"/>
  <c r="S25" i="121"/>
  <c r="S23" i="121"/>
  <c r="S17" i="121"/>
  <c r="U16" i="121"/>
  <c r="S15" i="121"/>
  <c r="S13" i="121"/>
  <c r="S12" i="121"/>
  <c r="S11" i="121"/>
  <c r="U7" i="121"/>
  <c r="U6" i="121"/>
  <c r="U5" i="121"/>
  <c r="U4" i="121"/>
  <c r="CH38" i="35"/>
  <c r="CG38" i="35"/>
  <c r="CF38" i="35"/>
  <c r="CE38" i="35"/>
  <c r="CD38" i="35"/>
  <c r="CC38" i="35"/>
  <c r="CB38" i="35"/>
  <c r="CA38" i="35"/>
  <c r="BZ38" i="35"/>
  <c r="BY38" i="35"/>
  <c r="BX38" i="35"/>
  <c r="BW38" i="35"/>
  <c r="BV38" i="35"/>
  <c r="BW28" i="35"/>
  <c r="BX28" i="35"/>
  <c r="BY28" i="35"/>
  <c r="BW30" i="35"/>
  <c r="BX30" i="35"/>
  <c r="BY30" i="35"/>
  <c r="BY26" i="35"/>
  <c r="BX26" i="35"/>
  <c r="BW26" i="35"/>
  <c r="BV27" i="35"/>
  <c r="BV28" i="35"/>
  <c r="BV29" i="35"/>
  <c r="BV30" i="35"/>
  <c r="BV26" i="35"/>
  <c r="BV20" i="35"/>
  <c r="S4" i="121" l="1"/>
  <c r="V16" i="121"/>
  <c r="U8" i="121"/>
  <c r="S16" i="121"/>
  <c r="S24" i="121"/>
  <c r="U15" i="121"/>
  <c r="V21" i="121"/>
  <c r="U23" i="121"/>
  <c r="V26" i="121"/>
  <c r="L34" i="118"/>
  <c r="V9" i="121"/>
  <c r="V5" i="121"/>
  <c r="V6" i="121"/>
  <c r="V7" i="121"/>
  <c r="S8" i="121"/>
  <c r="V10" i="121"/>
  <c r="U12" i="121"/>
  <c r="U14" i="121"/>
  <c r="V15" i="121"/>
  <c r="S21" i="121"/>
  <c r="V4" i="121"/>
  <c r="S14" i="121"/>
  <c r="U22" i="121"/>
  <c r="U3" i="121"/>
  <c r="S3" i="121"/>
  <c r="V24" i="121"/>
  <c r="U21" i="121"/>
  <c r="U26" i="121"/>
  <c r="S5" i="121"/>
  <c r="S6" i="121"/>
  <c r="S7" i="121"/>
  <c r="S10" i="121"/>
  <c r="V12" i="121"/>
  <c r="U19" i="121"/>
  <c r="U25" i="121"/>
  <c r="U9" i="121"/>
  <c r="U18" i="121"/>
  <c r="U17" i="121"/>
  <c r="S19" i="121"/>
  <c r="V20" i="121"/>
  <c r="V22" i="121"/>
  <c r="V3" i="121"/>
  <c r="S9" i="121"/>
  <c r="V17" i="121"/>
  <c r="S22" i="121"/>
  <c r="U24" i="121"/>
  <c r="V8" i="121"/>
  <c r="V14" i="121"/>
  <c r="V19" i="121"/>
  <c r="U20" i="121"/>
  <c r="U11" i="121"/>
  <c r="U13" i="121"/>
  <c r="V18" i="121"/>
  <c r="S20" i="121"/>
  <c r="V23" i="121"/>
  <c r="V25" i="121"/>
  <c r="V11" i="121"/>
  <c r="V13" i="121"/>
  <c r="S18" i="121"/>
  <c r="U10" i="121"/>
  <c r="K34" i="118"/>
  <c r="H16" i="5" s="1"/>
  <c r="BX32" i="35"/>
  <c r="BY32" i="35"/>
  <c r="BW32" i="35"/>
  <c r="BV32" i="35"/>
  <c r="W57" i="4" l="1"/>
  <c r="W58" i="4"/>
  <c r="W59" i="4"/>
  <c r="W60" i="4"/>
  <c r="W61" i="4"/>
  <c r="W62" i="4"/>
  <c r="W63" i="4"/>
  <c r="W64" i="4"/>
  <c r="W65" i="4"/>
  <c r="W66" i="4"/>
  <c r="W67" i="4"/>
  <c r="W68" i="4"/>
  <c r="W69" i="4"/>
  <c r="W70" i="4"/>
  <c r="V57" i="4"/>
  <c r="V58" i="4"/>
  <c r="V59" i="4"/>
  <c r="V60" i="4"/>
  <c r="V61" i="4"/>
  <c r="V62" i="4"/>
  <c r="V63" i="4"/>
  <c r="V64" i="4"/>
  <c r="V65" i="4"/>
  <c r="V66" i="4"/>
  <c r="V67" i="4"/>
  <c r="V68" i="4"/>
  <c r="V69" i="4"/>
  <c r="V70" i="4"/>
  <c r="U57" i="4"/>
  <c r="U58" i="4"/>
  <c r="U59" i="4"/>
  <c r="U60" i="4"/>
  <c r="U61" i="4"/>
  <c r="U62" i="4"/>
  <c r="U63" i="4"/>
  <c r="U64" i="4"/>
  <c r="U65" i="4"/>
  <c r="U66" i="4"/>
  <c r="U67" i="4"/>
  <c r="U68" i="4"/>
  <c r="U69" i="4"/>
  <c r="U70" i="4"/>
  <c r="T57" i="4"/>
  <c r="T58" i="4"/>
  <c r="T59" i="4"/>
  <c r="T60" i="4"/>
  <c r="T61" i="4"/>
  <c r="T62" i="4"/>
  <c r="T63" i="4"/>
  <c r="T64" i="4"/>
  <c r="T65" i="4"/>
  <c r="T66" i="4"/>
  <c r="T67" i="4"/>
  <c r="T68" i="4"/>
  <c r="T69" i="4"/>
  <c r="T70" i="4"/>
  <c r="S57" i="4"/>
  <c r="S58" i="4"/>
  <c r="S59" i="4"/>
  <c r="S60" i="4"/>
  <c r="S61" i="4"/>
  <c r="S62" i="4"/>
  <c r="S63" i="4"/>
  <c r="S64" i="4"/>
  <c r="S65" i="4"/>
  <c r="S66" i="4"/>
  <c r="S67" i="4"/>
  <c r="S68" i="4"/>
  <c r="S69" i="4"/>
  <c r="S70" i="4"/>
  <c r="R57" i="4"/>
  <c r="R58" i="4"/>
  <c r="R59" i="4"/>
  <c r="R60" i="4"/>
  <c r="R61" i="4"/>
  <c r="R62" i="4"/>
  <c r="R63" i="4"/>
  <c r="R64" i="4"/>
  <c r="R65" i="4"/>
  <c r="R66" i="4"/>
  <c r="R67" i="4"/>
  <c r="R68" i="4"/>
  <c r="R69" i="4"/>
  <c r="R70" i="4"/>
  <c r="L38" i="5"/>
  <c r="AI76" i="4"/>
  <c r="L62" i="5"/>
  <c r="L48" i="5"/>
  <c r="L40" i="5"/>
  <c r="AU4" i="115" l="1"/>
  <c r="AS15" i="115"/>
  <c r="AQ25" i="115"/>
  <c r="AR25" i="115"/>
  <c r="AU25" i="115"/>
  <c r="AV25" i="115"/>
  <c r="AS27" i="115"/>
  <c r="AT27" i="115"/>
  <c r="AW27" i="115"/>
  <c r="AU28" i="115"/>
  <c r="AQ29" i="115"/>
  <c r="AR29" i="115"/>
  <c r="AU29" i="115"/>
  <c r="AV29" i="115"/>
  <c r="AS31" i="115"/>
  <c r="AT31" i="115"/>
  <c r="AW31" i="115"/>
  <c r="AU32" i="115"/>
  <c r="AQ33" i="115"/>
  <c r="AR33" i="115"/>
  <c r="AU33" i="115"/>
  <c r="AV33" i="115"/>
  <c r="AS35" i="115"/>
  <c r="AT35" i="115"/>
  <c r="AW35" i="115"/>
  <c r="AU36" i="115"/>
  <c r="AQ37" i="115"/>
  <c r="AR37" i="115"/>
  <c r="AU37" i="115"/>
  <c r="AV37" i="115"/>
  <c r="AS39" i="115"/>
  <c r="AT39" i="115"/>
  <c r="AW39" i="115"/>
  <c r="AU40" i="115"/>
  <c r="AQ41" i="115"/>
  <c r="AR41" i="115"/>
  <c r="AU41" i="115"/>
  <c r="AV41" i="115"/>
  <c r="AS43" i="115"/>
  <c r="AT43" i="115"/>
  <c r="AW43" i="115"/>
  <c r="AU44" i="115"/>
  <c r="AQ45" i="115"/>
  <c r="AR45" i="115"/>
  <c r="AU45" i="115"/>
  <c r="AV45" i="115"/>
  <c r="AS47" i="115"/>
  <c r="AT47" i="115"/>
  <c r="AW47" i="115"/>
  <c r="AU48" i="115"/>
  <c r="AQ49" i="115"/>
  <c r="AR49" i="115"/>
  <c r="AU49" i="115"/>
  <c r="AV49" i="115"/>
  <c r="AS51" i="115"/>
  <c r="AT51" i="115"/>
  <c r="AW51" i="115"/>
  <c r="AU52" i="115"/>
  <c r="AQ53" i="115"/>
  <c r="AR53" i="115"/>
  <c r="AU53" i="115"/>
  <c r="AV53" i="115"/>
  <c r="AS55" i="115"/>
  <c r="AT55" i="115"/>
  <c r="AW55" i="115"/>
  <c r="AP27" i="115"/>
  <c r="AP31" i="115"/>
  <c r="AP35" i="115"/>
  <c r="AP39" i="115"/>
  <c r="AP43" i="115"/>
  <c r="AP47" i="115"/>
  <c r="AP51" i="115"/>
  <c r="AP55" i="115"/>
  <c r="AO5" i="115"/>
  <c r="AO6" i="115"/>
  <c r="AO7" i="115"/>
  <c r="AO8" i="115"/>
  <c r="AO9" i="115"/>
  <c r="AO10" i="115"/>
  <c r="AO11" i="115"/>
  <c r="AO12" i="115"/>
  <c r="AO13" i="115"/>
  <c r="AO14" i="115"/>
  <c r="AO15" i="115"/>
  <c r="AO16" i="115"/>
  <c r="AO17" i="115"/>
  <c r="AO18" i="115"/>
  <c r="AO19" i="115"/>
  <c r="AO20" i="115"/>
  <c r="AO21" i="115"/>
  <c r="AO22" i="115"/>
  <c r="AO23" i="115"/>
  <c r="AO24" i="115"/>
  <c r="AO25" i="115"/>
  <c r="AO26" i="115"/>
  <c r="AO27" i="115"/>
  <c r="AO28" i="115"/>
  <c r="AO29" i="115"/>
  <c r="AO30" i="115"/>
  <c r="AO31" i="115"/>
  <c r="AO32" i="115"/>
  <c r="AO33" i="115"/>
  <c r="AO34" i="115"/>
  <c r="AO35" i="115"/>
  <c r="AO36" i="115"/>
  <c r="AO37" i="115"/>
  <c r="AO38" i="115"/>
  <c r="AO39" i="115"/>
  <c r="AO40" i="115"/>
  <c r="AO41" i="115"/>
  <c r="AO42" i="115"/>
  <c r="AO43" i="115"/>
  <c r="AO44" i="115"/>
  <c r="AO45" i="115"/>
  <c r="AO46" i="115"/>
  <c r="AO47" i="115"/>
  <c r="AO48" i="115"/>
  <c r="AO49" i="115"/>
  <c r="AO50" i="115"/>
  <c r="AO51" i="115"/>
  <c r="AO52" i="115"/>
  <c r="AO53" i="115"/>
  <c r="AO54" i="115"/>
  <c r="AO55" i="115"/>
  <c r="AO4" i="115"/>
  <c r="AZ54" i="115"/>
  <c r="BA54" i="115"/>
  <c r="BB54" i="115"/>
  <c r="BC54" i="115"/>
  <c r="BD54" i="115"/>
  <c r="BE54" i="115"/>
  <c r="BF54" i="115"/>
  <c r="BG54" i="115"/>
  <c r="BH54" i="115"/>
  <c r="BI54" i="115"/>
  <c r="BJ54" i="115"/>
  <c r="BK54" i="115"/>
  <c r="BN54" i="115"/>
  <c r="BO54" i="115"/>
  <c r="BP54" i="115"/>
  <c r="BQ54" i="115"/>
  <c r="BR54" i="115"/>
  <c r="BS54" i="115"/>
  <c r="BT54" i="115"/>
  <c r="BU54" i="115"/>
  <c r="BV54" i="115"/>
  <c r="BW54" i="115"/>
  <c r="BX54" i="115"/>
  <c r="BY54" i="115"/>
  <c r="AZ55" i="115"/>
  <c r="BA55" i="115"/>
  <c r="BB55" i="115"/>
  <c r="BC55" i="115"/>
  <c r="BD55" i="115"/>
  <c r="BE55" i="115"/>
  <c r="BF55" i="115"/>
  <c r="BG55" i="115"/>
  <c r="BH55" i="115"/>
  <c r="BI55" i="115"/>
  <c r="BJ55" i="115"/>
  <c r="BK55" i="115"/>
  <c r="BN55" i="115"/>
  <c r="BO55" i="115"/>
  <c r="BP55" i="115"/>
  <c r="BQ55" i="115"/>
  <c r="BR55" i="115"/>
  <c r="BS55" i="115"/>
  <c r="BT55" i="115"/>
  <c r="BU55" i="115"/>
  <c r="BV55" i="115"/>
  <c r="BW55" i="115"/>
  <c r="BX55" i="115"/>
  <c r="BY55" i="115"/>
  <c r="AJ55" i="115"/>
  <c r="AU55" i="115" s="1"/>
  <c r="AH55" i="115"/>
  <c r="AJ54" i="115"/>
  <c r="AU54" i="115" s="1"/>
  <c r="AH54" i="115"/>
  <c r="AS54" i="115" s="1"/>
  <c r="AJ53" i="115"/>
  <c r="AH53" i="115"/>
  <c r="AS53" i="115" s="1"/>
  <c r="AJ52" i="115"/>
  <c r="AH52" i="115"/>
  <c r="AS52" i="115" s="1"/>
  <c r="AJ51" i="115"/>
  <c r="AU51" i="115" s="1"/>
  <c r="AH51" i="115"/>
  <c r="AJ50" i="115"/>
  <c r="AU50" i="115" s="1"/>
  <c r="AH50" i="115"/>
  <c r="AS50" i="115" s="1"/>
  <c r="AJ49" i="115"/>
  <c r="AH49" i="115"/>
  <c r="AS49" i="115" s="1"/>
  <c r="AJ48" i="115"/>
  <c r="AH48" i="115"/>
  <c r="AS48" i="115" s="1"/>
  <c r="AJ47" i="115"/>
  <c r="AU47" i="115" s="1"/>
  <c r="AH47" i="115"/>
  <c r="AJ46" i="115"/>
  <c r="AU46" i="115" s="1"/>
  <c r="AH46" i="115"/>
  <c r="AS46" i="115" s="1"/>
  <c r="AJ45" i="115"/>
  <c r="AH45" i="115"/>
  <c r="AS45" i="115" s="1"/>
  <c r="AJ44" i="115"/>
  <c r="AH44" i="115"/>
  <c r="AS44" i="115" s="1"/>
  <c r="AJ43" i="115"/>
  <c r="AU43" i="115" s="1"/>
  <c r="AH43" i="115"/>
  <c r="AJ42" i="115"/>
  <c r="AU42" i="115" s="1"/>
  <c r="AH42" i="115"/>
  <c r="AS42" i="115" s="1"/>
  <c r="AJ41" i="115"/>
  <c r="AH41" i="115"/>
  <c r="AS41" i="115" s="1"/>
  <c r="AJ40" i="115"/>
  <c r="AH40" i="115"/>
  <c r="AS40" i="115" s="1"/>
  <c r="AJ39" i="115"/>
  <c r="AU39" i="115" s="1"/>
  <c r="AH39" i="115"/>
  <c r="AJ38" i="115"/>
  <c r="AU38" i="115" s="1"/>
  <c r="AH38" i="115"/>
  <c r="AS38" i="115" s="1"/>
  <c r="AJ37" i="115"/>
  <c r="AH37" i="115"/>
  <c r="AS37" i="115" s="1"/>
  <c r="AJ36" i="115"/>
  <c r="AH36" i="115"/>
  <c r="AS36" i="115" s="1"/>
  <c r="AJ35" i="115"/>
  <c r="AU35" i="115" s="1"/>
  <c r="AH35" i="115"/>
  <c r="AJ34" i="115"/>
  <c r="AU34" i="115" s="1"/>
  <c r="AH34" i="115"/>
  <c r="AS34" i="115" s="1"/>
  <c r="AJ33" i="115"/>
  <c r="AH33" i="115"/>
  <c r="AS33" i="115" s="1"/>
  <c r="AJ32" i="115"/>
  <c r="AH32" i="115"/>
  <c r="AS32" i="115" s="1"/>
  <c r="AJ31" i="115"/>
  <c r="AU31" i="115" s="1"/>
  <c r="AH31" i="115"/>
  <c r="AJ30" i="115"/>
  <c r="AU30" i="115" s="1"/>
  <c r="AH30" i="115"/>
  <c r="AS30" i="115" s="1"/>
  <c r="AJ29" i="115"/>
  <c r="AH29" i="115"/>
  <c r="AS29" i="115" s="1"/>
  <c r="AJ28" i="115"/>
  <c r="AH28" i="115"/>
  <c r="AS28" i="115" s="1"/>
  <c r="AJ27" i="115"/>
  <c r="AU27" i="115" s="1"/>
  <c r="AH27" i="115"/>
  <c r="AJ26" i="115"/>
  <c r="AU26" i="115" s="1"/>
  <c r="AH26" i="115"/>
  <c r="AS26" i="115" s="1"/>
  <c r="AJ25" i="115"/>
  <c r="AH25" i="115"/>
  <c r="AS25" i="115" s="1"/>
  <c r="AJ24" i="115"/>
  <c r="AU24" i="115" s="1"/>
  <c r="AH24" i="115"/>
  <c r="AS24" i="115" s="1"/>
  <c r="AJ23" i="115"/>
  <c r="AU23" i="115" s="1"/>
  <c r="AH23" i="115"/>
  <c r="AS23" i="115" s="1"/>
  <c r="AJ22" i="115"/>
  <c r="AU22" i="115" s="1"/>
  <c r="AH22" i="115"/>
  <c r="AS22" i="115" s="1"/>
  <c r="AJ21" i="115"/>
  <c r="AU21" i="115" s="1"/>
  <c r="AH21" i="115"/>
  <c r="AS21" i="115" s="1"/>
  <c r="AJ20" i="115"/>
  <c r="AU20" i="115" s="1"/>
  <c r="AH20" i="115"/>
  <c r="AS20" i="115" s="1"/>
  <c r="AJ19" i="115"/>
  <c r="AU19" i="115" s="1"/>
  <c r="AH19" i="115"/>
  <c r="AS19" i="115" s="1"/>
  <c r="AJ18" i="115"/>
  <c r="AU18" i="115" s="1"/>
  <c r="AH18" i="115"/>
  <c r="AS18" i="115" s="1"/>
  <c r="AJ17" i="115"/>
  <c r="AU17" i="115" s="1"/>
  <c r="AH17" i="115"/>
  <c r="AS17" i="115" s="1"/>
  <c r="AJ16" i="115"/>
  <c r="AU16" i="115" s="1"/>
  <c r="AH16" i="115"/>
  <c r="AS16" i="115" s="1"/>
  <c r="AJ15" i="115"/>
  <c r="AU15" i="115" s="1"/>
  <c r="AH15" i="115"/>
  <c r="AJ14" i="115"/>
  <c r="AU14" i="115" s="1"/>
  <c r="AH14" i="115"/>
  <c r="AS14" i="115" s="1"/>
  <c r="AJ13" i="115"/>
  <c r="AU13" i="115" s="1"/>
  <c r="AH13" i="115"/>
  <c r="AS13" i="115" s="1"/>
  <c r="AJ12" i="115"/>
  <c r="AU12" i="115" s="1"/>
  <c r="AH12" i="115"/>
  <c r="AS12" i="115" s="1"/>
  <c r="AJ11" i="115"/>
  <c r="AU11" i="115" s="1"/>
  <c r="AH11" i="115"/>
  <c r="AS11" i="115" s="1"/>
  <c r="AJ10" i="115"/>
  <c r="AU10" i="115" s="1"/>
  <c r="AH10" i="115"/>
  <c r="AS10" i="115" s="1"/>
  <c r="AJ9" i="115"/>
  <c r="AU9" i="115" s="1"/>
  <c r="AH9" i="115"/>
  <c r="AS9" i="115" s="1"/>
  <c r="AJ8" i="115"/>
  <c r="AU8" i="115" s="1"/>
  <c r="AH8" i="115"/>
  <c r="AS8" i="115" s="1"/>
  <c r="AJ7" i="115"/>
  <c r="AU7" i="115" s="1"/>
  <c r="AH7" i="115"/>
  <c r="AS7" i="115" s="1"/>
  <c r="AJ6" i="115"/>
  <c r="AU6" i="115" s="1"/>
  <c r="AH6" i="115"/>
  <c r="AS6" i="115" s="1"/>
  <c r="AK55" i="115"/>
  <c r="AV55" i="115" s="1"/>
  <c r="AG55" i="115"/>
  <c r="AR55" i="115" s="1"/>
  <c r="AK54" i="115"/>
  <c r="AV54" i="115" s="1"/>
  <c r="AG54" i="115"/>
  <c r="AR54" i="115" s="1"/>
  <c r="AK53" i="115"/>
  <c r="AG53" i="115"/>
  <c r="AK52" i="115"/>
  <c r="AV52" i="115" s="1"/>
  <c r="AG52" i="115"/>
  <c r="AR52" i="115" s="1"/>
  <c r="AK51" i="115"/>
  <c r="AV51" i="115" s="1"/>
  <c r="AG51" i="115"/>
  <c r="AR51" i="115" s="1"/>
  <c r="AK50" i="115"/>
  <c r="AV50" i="115" s="1"/>
  <c r="AG50" i="115"/>
  <c r="AR50" i="115" s="1"/>
  <c r="AK49" i="115"/>
  <c r="AG49" i="115"/>
  <c r="AK48" i="115"/>
  <c r="AV48" i="115" s="1"/>
  <c r="AG48" i="115"/>
  <c r="AR48" i="115" s="1"/>
  <c r="AK47" i="115"/>
  <c r="AV47" i="115" s="1"/>
  <c r="AG47" i="115"/>
  <c r="AR47" i="115" s="1"/>
  <c r="AK46" i="115"/>
  <c r="AV46" i="115" s="1"/>
  <c r="AG46" i="115"/>
  <c r="AR46" i="115" s="1"/>
  <c r="AK45" i="115"/>
  <c r="AG45" i="115"/>
  <c r="AK44" i="115"/>
  <c r="AV44" i="115" s="1"/>
  <c r="AG44" i="115"/>
  <c r="AR44" i="115" s="1"/>
  <c r="AK43" i="115"/>
  <c r="AV43" i="115" s="1"/>
  <c r="AG43" i="115"/>
  <c r="AR43" i="115" s="1"/>
  <c r="AK42" i="115"/>
  <c r="AV42" i="115" s="1"/>
  <c r="AG42" i="115"/>
  <c r="AR42" i="115" s="1"/>
  <c r="AK41" i="115"/>
  <c r="AG41" i="115"/>
  <c r="AK40" i="115"/>
  <c r="AV40" i="115" s="1"/>
  <c r="AG40" i="115"/>
  <c r="AR40" i="115" s="1"/>
  <c r="AK39" i="115"/>
  <c r="AV39" i="115" s="1"/>
  <c r="AG39" i="115"/>
  <c r="AR39" i="115" s="1"/>
  <c r="AK38" i="115"/>
  <c r="AV38" i="115" s="1"/>
  <c r="AG38" i="115"/>
  <c r="AR38" i="115" s="1"/>
  <c r="AK37" i="115"/>
  <c r="AG37" i="115"/>
  <c r="AK36" i="115"/>
  <c r="AV36" i="115" s="1"/>
  <c r="AG36" i="115"/>
  <c r="AR36" i="115" s="1"/>
  <c r="AK35" i="115"/>
  <c r="AV35" i="115" s="1"/>
  <c r="AG35" i="115"/>
  <c r="AR35" i="115" s="1"/>
  <c r="AK34" i="115"/>
  <c r="AV34" i="115" s="1"/>
  <c r="AG34" i="115"/>
  <c r="AR34" i="115" s="1"/>
  <c r="AK33" i="115"/>
  <c r="AG33" i="115"/>
  <c r="AK32" i="115"/>
  <c r="AV32" i="115" s="1"/>
  <c r="AG32" i="115"/>
  <c r="AR32" i="115" s="1"/>
  <c r="AK31" i="115"/>
  <c r="AV31" i="115" s="1"/>
  <c r="AG31" i="115"/>
  <c r="AR31" i="115" s="1"/>
  <c r="AK30" i="115"/>
  <c r="AV30" i="115" s="1"/>
  <c r="AG30" i="115"/>
  <c r="AR30" i="115" s="1"/>
  <c r="AK29" i="115"/>
  <c r="AG29" i="115"/>
  <c r="AK28" i="115"/>
  <c r="AV28" i="115" s="1"/>
  <c r="AG28" i="115"/>
  <c r="AR28" i="115" s="1"/>
  <c r="AK27" i="115"/>
  <c r="AV27" i="115" s="1"/>
  <c r="AG27" i="115"/>
  <c r="AR27" i="115" s="1"/>
  <c r="AK26" i="115"/>
  <c r="AV26" i="115" s="1"/>
  <c r="AG26" i="115"/>
  <c r="AR26" i="115" s="1"/>
  <c r="AK25" i="115"/>
  <c r="AG25" i="115"/>
  <c r="AK24" i="115"/>
  <c r="AV24" i="115" s="1"/>
  <c r="AG24" i="115"/>
  <c r="AR24" i="115" s="1"/>
  <c r="AK23" i="115"/>
  <c r="AV23" i="115" s="1"/>
  <c r="AG23" i="115"/>
  <c r="AR23" i="115" s="1"/>
  <c r="AK22" i="115"/>
  <c r="AV22" i="115" s="1"/>
  <c r="AG22" i="115"/>
  <c r="AR22" i="115" s="1"/>
  <c r="AK21" i="115"/>
  <c r="AV21" i="115" s="1"/>
  <c r="AG21" i="115"/>
  <c r="AR21" i="115" s="1"/>
  <c r="AK20" i="115"/>
  <c r="AV20" i="115" s="1"/>
  <c r="AG20" i="115"/>
  <c r="AR20" i="115" s="1"/>
  <c r="AK19" i="115"/>
  <c r="AV19" i="115" s="1"/>
  <c r="AG19" i="115"/>
  <c r="AR19" i="115" s="1"/>
  <c r="AK18" i="115"/>
  <c r="AV18" i="115" s="1"/>
  <c r="AG18" i="115"/>
  <c r="AR18" i="115" s="1"/>
  <c r="AK17" i="115"/>
  <c r="AV17" i="115" s="1"/>
  <c r="AG17" i="115"/>
  <c r="AR17" i="115" s="1"/>
  <c r="AK16" i="115"/>
  <c r="AV16" i="115" s="1"/>
  <c r="AG16" i="115"/>
  <c r="AR16" i="115" s="1"/>
  <c r="AK15" i="115"/>
  <c r="AV15" i="115" s="1"/>
  <c r="AG15" i="115"/>
  <c r="AR15" i="115" s="1"/>
  <c r="AK14" i="115"/>
  <c r="AV14" i="115" s="1"/>
  <c r="AG14" i="115"/>
  <c r="AR14" i="115" s="1"/>
  <c r="AK13" i="115"/>
  <c r="AV13" i="115" s="1"/>
  <c r="AG13" i="115"/>
  <c r="AR13" i="115" s="1"/>
  <c r="AK12" i="115"/>
  <c r="AV12" i="115" s="1"/>
  <c r="AG12" i="115"/>
  <c r="AR12" i="115" s="1"/>
  <c r="AK11" i="115"/>
  <c r="AV11" i="115" s="1"/>
  <c r="AG11" i="115"/>
  <c r="AR11" i="115" s="1"/>
  <c r="AK10" i="115"/>
  <c r="AV10" i="115" s="1"/>
  <c r="AG10" i="115"/>
  <c r="AR10" i="115" s="1"/>
  <c r="AK9" i="115"/>
  <c r="AV9" i="115" s="1"/>
  <c r="AG9" i="115"/>
  <c r="AR9" i="115" s="1"/>
  <c r="AK8" i="115"/>
  <c r="AV8" i="115" s="1"/>
  <c r="AG8" i="115"/>
  <c r="AR8" i="115" s="1"/>
  <c r="AK7" i="115"/>
  <c r="AV7" i="115" s="1"/>
  <c r="AG7" i="115"/>
  <c r="AR7" i="115" s="1"/>
  <c r="AK6" i="115"/>
  <c r="AV6" i="115" s="1"/>
  <c r="AG6" i="115"/>
  <c r="AR6" i="115" s="1"/>
  <c r="AL55" i="115"/>
  <c r="AI55" i="115"/>
  <c r="AF55" i="115"/>
  <c r="AQ55" i="115" s="1"/>
  <c r="AL54" i="115"/>
  <c r="AW54" i="115" s="1"/>
  <c r="AI54" i="115"/>
  <c r="AT54" i="115" s="1"/>
  <c r="AF54" i="115"/>
  <c r="AQ54" i="115" s="1"/>
  <c r="AL53" i="115"/>
  <c r="AW53" i="115" s="1"/>
  <c r="AI53" i="115"/>
  <c r="AT53" i="115" s="1"/>
  <c r="AF53" i="115"/>
  <c r="AL52" i="115"/>
  <c r="AW52" i="115" s="1"/>
  <c r="AI52" i="115"/>
  <c r="AT52" i="115" s="1"/>
  <c r="AF52" i="115"/>
  <c r="AQ52" i="115" s="1"/>
  <c r="AL51" i="115"/>
  <c r="AI51" i="115"/>
  <c r="AF51" i="115"/>
  <c r="AQ51" i="115" s="1"/>
  <c r="AL50" i="115"/>
  <c r="AW50" i="115" s="1"/>
  <c r="AI50" i="115"/>
  <c r="AT50" i="115" s="1"/>
  <c r="AF50" i="115"/>
  <c r="AQ50" i="115" s="1"/>
  <c r="AL49" i="115"/>
  <c r="AW49" i="115" s="1"/>
  <c r="AI49" i="115"/>
  <c r="AT49" i="115" s="1"/>
  <c r="AF49" i="115"/>
  <c r="AL48" i="115"/>
  <c r="AW48" i="115" s="1"/>
  <c r="AI48" i="115"/>
  <c r="AT48" i="115" s="1"/>
  <c r="AF48" i="115"/>
  <c r="AQ48" i="115" s="1"/>
  <c r="AL47" i="115"/>
  <c r="AI47" i="115"/>
  <c r="AF47" i="115"/>
  <c r="AQ47" i="115" s="1"/>
  <c r="AL46" i="115"/>
  <c r="AW46" i="115" s="1"/>
  <c r="AI46" i="115"/>
  <c r="AT46" i="115" s="1"/>
  <c r="AF46" i="115"/>
  <c r="AQ46" i="115" s="1"/>
  <c r="AL45" i="115"/>
  <c r="AW45" i="115" s="1"/>
  <c r="AI45" i="115"/>
  <c r="AT45" i="115" s="1"/>
  <c r="AF45" i="115"/>
  <c r="AL44" i="115"/>
  <c r="AW44" i="115" s="1"/>
  <c r="AI44" i="115"/>
  <c r="AT44" i="115" s="1"/>
  <c r="AF44" i="115"/>
  <c r="AQ44" i="115" s="1"/>
  <c r="AL43" i="115"/>
  <c r="AI43" i="115"/>
  <c r="AF43" i="115"/>
  <c r="AQ43" i="115" s="1"/>
  <c r="AL42" i="115"/>
  <c r="AW42" i="115" s="1"/>
  <c r="AI42" i="115"/>
  <c r="AT42" i="115" s="1"/>
  <c r="AF42" i="115"/>
  <c r="AQ42" i="115" s="1"/>
  <c r="AL41" i="115"/>
  <c r="AW41" i="115" s="1"/>
  <c r="AI41" i="115"/>
  <c r="AT41" i="115" s="1"/>
  <c r="AF41" i="115"/>
  <c r="AL40" i="115"/>
  <c r="AW40" i="115" s="1"/>
  <c r="AI40" i="115"/>
  <c r="AT40" i="115" s="1"/>
  <c r="AF40" i="115"/>
  <c r="AQ40" i="115" s="1"/>
  <c r="AL39" i="115"/>
  <c r="AI39" i="115"/>
  <c r="AF39" i="115"/>
  <c r="AQ39" i="115" s="1"/>
  <c r="AL38" i="115"/>
  <c r="AW38" i="115" s="1"/>
  <c r="AI38" i="115"/>
  <c r="AT38" i="115" s="1"/>
  <c r="AF38" i="115"/>
  <c r="AQ38" i="115" s="1"/>
  <c r="AL37" i="115"/>
  <c r="AW37" i="115" s="1"/>
  <c r="AI37" i="115"/>
  <c r="AT37" i="115" s="1"/>
  <c r="AF37" i="115"/>
  <c r="AL36" i="115"/>
  <c r="AW36" i="115" s="1"/>
  <c r="AI36" i="115"/>
  <c r="AT36" i="115" s="1"/>
  <c r="AF36" i="115"/>
  <c r="AQ36" i="115" s="1"/>
  <c r="AL35" i="115"/>
  <c r="AI35" i="115"/>
  <c r="AF35" i="115"/>
  <c r="AQ35" i="115" s="1"/>
  <c r="AL34" i="115"/>
  <c r="AW34" i="115" s="1"/>
  <c r="AI34" i="115"/>
  <c r="AT34" i="115" s="1"/>
  <c r="AF34" i="115"/>
  <c r="AQ34" i="115" s="1"/>
  <c r="AL33" i="115"/>
  <c r="AW33" i="115" s="1"/>
  <c r="AI33" i="115"/>
  <c r="AT33" i="115" s="1"/>
  <c r="AF33" i="115"/>
  <c r="AL32" i="115"/>
  <c r="AW32" i="115" s="1"/>
  <c r="AI32" i="115"/>
  <c r="AT32" i="115" s="1"/>
  <c r="AF32" i="115"/>
  <c r="AQ32" i="115" s="1"/>
  <c r="AL31" i="115"/>
  <c r="AI31" i="115"/>
  <c r="AF31" i="115"/>
  <c r="AQ31" i="115" s="1"/>
  <c r="AL30" i="115"/>
  <c r="AW30" i="115" s="1"/>
  <c r="AI30" i="115"/>
  <c r="AT30" i="115" s="1"/>
  <c r="AF30" i="115"/>
  <c r="AQ30" i="115" s="1"/>
  <c r="AL29" i="115"/>
  <c r="AW29" i="115" s="1"/>
  <c r="AI29" i="115"/>
  <c r="AT29" i="115" s="1"/>
  <c r="AF29" i="115"/>
  <c r="AL28" i="115"/>
  <c r="AW28" i="115" s="1"/>
  <c r="AI28" i="115"/>
  <c r="AT28" i="115" s="1"/>
  <c r="AF28" i="115"/>
  <c r="AQ28" i="115" s="1"/>
  <c r="AL27" i="115"/>
  <c r="AI27" i="115"/>
  <c r="AF27" i="115"/>
  <c r="AQ27" i="115" s="1"/>
  <c r="AL26" i="115"/>
  <c r="AW26" i="115" s="1"/>
  <c r="AI26" i="115"/>
  <c r="AT26" i="115" s="1"/>
  <c r="AF26" i="115"/>
  <c r="AQ26" i="115" s="1"/>
  <c r="AL25" i="115"/>
  <c r="AW25" i="115" s="1"/>
  <c r="AI25" i="115"/>
  <c r="AT25" i="115" s="1"/>
  <c r="AF25" i="115"/>
  <c r="AL24" i="115"/>
  <c r="AW24" i="115" s="1"/>
  <c r="AI24" i="115"/>
  <c r="AT24" i="115" s="1"/>
  <c r="AF24" i="115"/>
  <c r="AQ24" i="115" s="1"/>
  <c r="AL23" i="115"/>
  <c r="AW23" i="115" s="1"/>
  <c r="AI23" i="115"/>
  <c r="AT23" i="115" s="1"/>
  <c r="AF23" i="115"/>
  <c r="AQ23" i="115" s="1"/>
  <c r="AL22" i="115"/>
  <c r="AW22" i="115" s="1"/>
  <c r="AI22" i="115"/>
  <c r="AT22" i="115" s="1"/>
  <c r="AF22" i="115"/>
  <c r="AQ22" i="115" s="1"/>
  <c r="AL21" i="115"/>
  <c r="AW21" i="115" s="1"/>
  <c r="AI21" i="115"/>
  <c r="AT21" i="115" s="1"/>
  <c r="AF21" i="115"/>
  <c r="AQ21" i="115" s="1"/>
  <c r="AL20" i="115"/>
  <c r="AW20" i="115" s="1"/>
  <c r="AI20" i="115"/>
  <c r="AT20" i="115" s="1"/>
  <c r="AF20" i="115"/>
  <c r="AQ20" i="115" s="1"/>
  <c r="AL19" i="115"/>
  <c r="AW19" i="115" s="1"/>
  <c r="AI19" i="115"/>
  <c r="AT19" i="115" s="1"/>
  <c r="AF19" i="115"/>
  <c r="AQ19" i="115" s="1"/>
  <c r="AL18" i="115"/>
  <c r="AW18" i="115" s="1"/>
  <c r="AI18" i="115"/>
  <c r="AT18" i="115" s="1"/>
  <c r="AF18" i="115"/>
  <c r="AQ18" i="115" s="1"/>
  <c r="AL17" i="115"/>
  <c r="AW17" i="115" s="1"/>
  <c r="AI17" i="115"/>
  <c r="AT17" i="115" s="1"/>
  <c r="AF17" i="115"/>
  <c r="AQ17" i="115" s="1"/>
  <c r="AL16" i="115"/>
  <c r="AW16" i="115" s="1"/>
  <c r="AI16" i="115"/>
  <c r="AT16" i="115" s="1"/>
  <c r="AF16" i="115"/>
  <c r="AQ16" i="115" s="1"/>
  <c r="AL15" i="115"/>
  <c r="AW15" i="115" s="1"/>
  <c r="AI15" i="115"/>
  <c r="AT15" i="115" s="1"/>
  <c r="AF15" i="115"/>
  <c r="AQ15" i="115" s="1"/>
  <c r="AL14" i="115"/>
  <c r="AW14" i="115" s="1"/>
  <c r="AI14" i="115"/>
  <c r="AT14" i="115" s="1"/>
  <c r="AF14" i="115"/>
  <c r="AQ14" i="115" s="1"/>
  <c r="AL13" i="115"/>
  <c r="AW13" i="115" s="1"/>
  <c r="AI13" i="115"/>
  <c r="AT13" i="115" s="1"/>
  <c r="AF13" i="115"/>
  <c r="AQ13" i="115" s="1"/>
  <c r="AL12" i="115"/>
  <c r="AW12" i="115" s="1"/>
  <c r="AI12" i="115"/>
  <c r="AT12" i="115" s="1"/>
  <c r="AF12" i="115"/>
  <c r="AQ12" i="115" s="1"/>
  <c r="AL11" i="115"/>
  <c r="AW11" i="115" s="1"/>
  <c r="AI11" i="115"/>
  <c r="AT11" i="115" s="1"/>
  <c r="AF11" i="115"/>
  <c r="AQ11" i="115" s="1"/>
  <c r="AL10" i="115"/>
  <c r="AW10" i="115" s="1"/>
  <c r="AI10" i="115"/>
  <c r="AT10" i="115" s="1"/>
  <c r="AF10" i="115"/>
  <c r="AQ10" i="115" s="1"/>
  <c r="AL9" i="115"/>
  <c r="AW9" i="115" s="1"/>
  <c r="AI9" i="115"/>
  <c r="AT9" i="115" s="1"/>
  <c r="AF9" i="115"/>
  <c r="AQ9" i="115" s="1"/>
  <c r="AL8" i="115"/>
  <c r="AW8" i="115" s="1"/>
  <c r="AI8" i="115"/>
  <c r="AT8" i="115" s="1"/>
  <c r="AF8" i="115"/>
  <c r="AQ8" i="115" s="1"/>
  <c r="AL7" i="115"/>
  <c r="AW7" i="115" s="1"/>
  <c r="AI7" i="115"/>
  <c r="AT7" i="115" s="1"/>
  <c r="AF7" i="115"/>
  <c r="AQ7" i="115" s="1"/>
  <c r="AL6" i="115"/>
  <c r="AW6" i="115" s="1"/>
  <c r="AI6" i="115"/>
  <c r="AT6" i="115" s="1"/>
  <c r="AF6" i="115"/>
  <c r="AQ6" i="115" s="1"/>
  <c r="AE55" i="115"/>
  <c r="AE54" i="115"/>
  <c r="AP54" i="115" s="1"/>
  <c r="AE53" i="115"/>
  <c r="AP53" i="115" s="1"/>
  <c r="AE52" i="115"/>
  <c r="AP52" i="115" s="1"/>
  <c r="AE51" i="115"/>
  <c r="AE50" i="115"/>
  <c r="AP50" i="115" s="1"/>
  <c r="AE49" i="115"/>
  <c r="AP49" i="115" s="1"/>
  <c r="AE48" i="115"/>
  <c r="AP48" i="115" s="1"/>
  <c r="AE47" i="115"/>
  <c r="AE46" i="115"/>
  <c r="AP46" i="115" s="1"/>
  <c r="AE45" i="115"/>
  <c r="AP45" i="115" s="1"/>
  <c r="AE44" i="115"/>
  <c r="AP44" i="115" s="1"/>
  <c r="AE43" i="115"/>
  <c r="AE42" i="115"/>
  <c r="AP42" i="115" s="1"/>
  <c r="AE41" i="115"/>
  <c r="AP41" i="115" s="1"/>
  <c r="AE40" i="115"/>
  <c r="AP40" i="115" s="1"/>
  <c r="AE39" i="115"/>
  <c r="AE38" i="115"/>
  <c r="AP38" i="115" s="1"/>
  <c r="AE37" i="115"/>
  <c r="AP37" i="115" s="1"/>
  <c r="AE36" i="115"/>
  <c r="AP36" i="115" s="1"/>
  <c r="AE35" i="115"/>
  <c r="AE34" i="115"/>
  <c r="AP34" i="115" s="1"/>
  <c r="AE33" i="115"/>
  <c r="AP33" i="115" s="1"/>
  <c r="AE32" i="115"/>
  <c r="AP32" i="115" s="1"/>
  <c r="AE31" i="115"/>
  <c r="AE30" i="115"/>
  <c r="AP30" i="115" s="1"/>
  <c r="AE29" i="115"/>
  <c r="AP29" i="115" s="1"/>
  <c r="AE28" i="115"/>
  <c r="AP28" i="115" s="1"/>
  <c r="AE27" i="115"/>
  <c r="AE26" i="115"/>
  <c r="AP26" i="115" s="1"/>
  <c r="AE25" i="115"/>
  <c r="AP25" i="115" s="1"/>
  <c r="AE24" i="115"/>
  <c r="AP24" i="115" s="1"/>
  <c r="AE23" i="115"/>
  <c r="AP23" i="115" s="1"/>
  <c r="AE22" i="115"/>
  <c r="AP22" i="115" s="1"/>
  <c r="AE21" i="115"/>
  <c r="AP21" i="115" s="1"/>
  <c r="AE20" i="115"/>
  <c r="AP20" i="115" s="1"/>
  <c r="AE19" i="115"/>
  <c r="AP19" i="115" s="1"/>
  <c r="AE18" i="115"/>
  <c r="AP18" i="115" s="1"/>
  <c r="AE17" i="115"/>
  <c r="AP17" i="115" s="1"/>
  <c r="AE16" i="115"/>
  <c r="AP16" i="115" s="1"/>
  <c r="AE15" i="115"/>
  <c r="AP15" i="115" s="1"/>
  <c r="AE14" i="115"/>
  <c r="AP14" i="115" s="1"/>
  <c r="AE13" i="115"/>
  <c r="AP13" i="115" s="1"/>
  <c r="AE12" i="115"/>
  <c r="AP12" i="115" s="1"/>
  <c r="AE11" i="115"/>
  <c r="AP11" i="115" s="1"/>
  <c r="AE10" i="115"/>
  <c r="AP10" i="115" s="1"/>
  <c r="AE9" i="115"/>
  <c r="AP9" i="115" s="1"/>
  <c r="AE8" i="115"/>
  <c r="AP8" i="115" s="1"/>
  <c r="AE7" i="115"/>
  <c r="AP7" i="115" s="1"/>
  <c r="AE6" i="115"/>
  <c r="AP6" i="115" s="1"/>
  <c r="AL5" i="115"/>
  <c r="AW5" i="115" s="1"/>
  <c r="AK5" i="115"/>
  <c r="AV5" i="115" s="1"/>
  <c r="AJ5" i="115"/>
  <c r="AI5" i="115"/>
  <c r="AT5" i="115" s="1"/>
  <c r="AH5" i="115"/>
  <c r="AG5" i="115"/>
  <c r="AF5" i="115"/>
  <c r="AE5" i="115"/>
  <c r="AL4" i="115"/>
  <c r="AW4" i="115" s="1"/>
  <c r="AJ4" i="115"/>
  <c r="AI4" i="115"/>
  <c r="AT4" i="115" s="1"/>
  <c r="AH4" i="115"/>
  <c r="AS4" i="115" s="1"/>
  <c r="AG4" i="115"/>
  <c r="AR4" i="115" s="1"/>
  <c r="AF4" i="115"/>
  <c r="AQ4" i="115" s="1"/>
  <c r="AE4" i="115"/>
  <c r="AP4" i="115" s="1"/>
  <c r="AK4" i="115"/>
  <c r="AV4" i="115" s="1"/>
  <c r="CK1" i="115"/>
  <c r="BN5" i="115"/>
  <c r="BO5" i="115"/>
  <c r="BP5" i="115"/>
  <c r="BQ5" i="115"/>
  <c r="BR5" i="115"/>
  <c r="BS5" i="115"/>
  <c r="BT5" i="115"/>
  <c r="BU5" i="115"/>
  <c r="BV5" i="115"/>
  <c r="BW5" i="115"/>
  <c r="BX5" i="115"/>
  <c r="BY5" i="115"/>
  <c r="BN6" i="115"/>
  <c r="BO6" i="115"/>
  <c r="BP6" i="115"/>
  <c r="BQ6" i="115"/>
  <c r="BR6" i="115"/>
  <c r="BS6" i="115"/>
  <c r="BT6" i="115"/>
  <c r="BU6" i="115"/>
  <c r="BV6" i="115"/>
  <c r="BW6" i="115"/>
  <c r="BX6" i="115"/>
  <c r="BY6" i="115"/>
  <c r="BN7" i="115"/>
  <c r="BO7" i="115"/>
  <c r="BP7" i="115"/>
  <c r="BQ7" i="115"/>
  <c r="BR7" i="115"/>
  <c r="BS7" i="115"/>
  <c r="BT7" i="115"/>
  <c r="BU7" i="115"/>
  <c r="BV7" i="115"/>
  <c r="BW7" i="115"/>
  <c r="BX7" i="115"/>
  <c r="BY7" i="115"/>
  <c r="BN8" i="115"/>
  <c r="BO8" i="115"/>
  <c r="BP8" i="115"/>
  <c r="BQ8" i="115"/>
  <c r="BR8" i="115"/>
  <c r="BS8" i="115"/>
  <c r="BT8" i="115"/>
  <c r="BU8" i="115"/>
  <c r="BV8" i="115"/>
  <c r="BW8" i="115"/>
  <c r="BX8" i="115"/>
  <c r="BY8" i="115"/>
  <c r="BN9" i="115"/>
  <c r="BO9" i="115"/>
  <c r="BP9" i="115"/>
  <c r="BQ9" i="115"/>
  <c r="BR9" i="115"/>
  <c r="BS9" i="115"/>
  <c r="BT9" i="115"/>
  <c r="BU9" i="115"/>
  <c r="BV9" i="115"/>
  <c r="BW9" i="115"/>
  <c r="BX9" i="115"/>
  <c r="BY9" i="115"/>
  <c r="BN10" i="115"/>
  <c r="BO10" i="115"/>
  <c r="BP10" i="115"/>
  <c r="BQ10" i="115"/>
  <c r="BR10" i="115"/>
  <c r="BS10" i="115"/>
  <c r="BT10" i="115"/>
  <c r="BU10" i="115"/>
  <c r="BV10" i="115"/>
  <c r="BW10" i="115"/>
  <c r="BX10" i="115"/>
  <c r="BY10" i="115"/>
  <c r="BN11" i="115"/>
  <c r="BO11" i="115"/>
  <c r="BP11" i="115"/>
  <c r="BQ11" i="115"/>
  <c r="BR11" i="115"/>
  <c r="BS11" i="115"/>
  <c r="BT11" i="115"/>
  <c r="BU11" i="115"/>
  <c r="BV11" i="115"/>
  <c r="BW11" i="115"/>
  <c r="BX11" i="115"/>
  <c r="BY11" i="115"/>
  <c r="BN12" i="115"/>
  <c r="BO12" i="115"/>
  <c r="BP12" i="115"/>
  <c r="BQ12" i="115"/>
  <c r="BR12" i="115"/>
  <c r="BS12" i="115"/>
  <c r="BT12" i="115"/>
  <c r="BU12" i="115"/>
  <c r="BV12" i="115"/>
  <c r="BW12" i="115"/>
  <c r="BX12" i="115"/>
  <c r="BY12" i="115"/>
  <c r="BN13" i="115"/>
  <c r="BO13" i="115"/>
  <c r="BP13" i="115"/>
  <c r="BQ13" i="115"/>
  <c r="BR13" i="115"/>
  <c r="BS13" i="115"/>
  <c r="BT13" i="115"/>
  <c r="BU13" i="115"/>
  <c r="BV13" i="115"/>
  <c r="BW13" i="115"/>
  <c r="BX13" i="115"/>
  <c r="BY13" i="115"/>
  <c r="BN14" i="115"/>
  <c r="BO14" i="115"/>
  <c r="BP14" i="115"/>
  <c r="BQ14" i="115"/>
  <c r="BR14" i="115"/>
  <c r="BS14" i="115"/>
  <c r="BT14" i="115"/>
  <c r="BU14" i="115"/>
  <c r="BV14" i="115"/>
  <c r="BW14" i="115"/>
  <c r="BX14" i="115"/>
  <c r="BY14" i="115"/>
  <c r="BN15" i="115"/>
  <c r="BO15" i="115"/>
  <c r="BP15" i="115"/>
  <c r="BQ15" i="115"/>
  <c r="BR15" i="115"/>
  <c r="BS15" i="115"/>
  <c r="BT15" i="115"/>
  <c r="BU15" i="115"/>
  <c r="BV15" i="115"/>
  <c r="BW15" i="115"/>
  <c r="BX15" i="115"/>
  <c r="BY15" i="115"/>
  <c r="BN16" i="115"/>
  <c r="BO16" i="115"/>
  <c r="BP16" i="115"/>
  <c r="BQ16" i="115"/>
  <c r="BR16" i="115"/>
  <c r="BS16" i="115"/>
  <c r="BT16" i="115"/>
  <c r="BU16" i="115"/>
  <c r="BV16" i="115"/>
  <c r="BW16" i="115"/>
  <c r="BX16" i="115"/>
  <c r="BY16" i="115"/>
  <c r="BN17" i="115"/>
  <c r="BO17" i="115"/>
  <c r="BP17" i="115"/>
  <c r="BQ17" i="115"/>
  <c r="BR17" i="115"/>
  <c r="BS17" i="115"/>
  <c r="BT17" i="115"/>
  <c r="BU17" i="115"/>
  <c r="BV17" i="115"/>
  <c r="BW17" i="115"/>
  <c r="BX17" i="115"/>
  <c r="BY17" i="115"/>
  <c r="BN18" i="115"/>
  <c r="BO18" i="115"/>
  <c r="BP18" i="115"/>
  <c r="BQ18" i="115"/>
  <c r="BR18" i="115"/>
  <c r="BS18" i="115"/>
  <c r="BT18" i="115"/>
  <c r="BU18" i="115"/>
  <c r="BV18" i="115"/>
  <c r="BW18" i="115"/>
  <c r="BX18" i="115"/>
  <c r="BY18" i="115"/>
  <c r="BN19" i="115"/>
  <c r="BO19" i="115"/>
  <c r="BP19" i="115"/>
  <c r="BQ19" i="115"/>
  <c r="BR19" i="115"/>
  <c r="BS19" i="115"/>
  <c r="BT19" i="115"/>
  <c r="BU19" i="115"/>
  <c r="BV19" i="115"/>
  <c r="BW19" i="115"/>
  <c r="BX19" i="115"/>
  <c r="BY19" i="115"/>
  <c r="BN20" i="115"/>
  <c r="BO20" i="115"/>
  <c r="BP20" i="115"/>
  <c r="BQ20" i="115"/>
  <c r="BR20" i="115"/>
  <c r="BS20" i="115"/>
  <c r="BT20" i="115"/>
  <c r="BU20" i="115"/>
  <c r="BV20" i="115"/>
  <c r="BW20" i="115"/>
  <c r="BX20" i="115"/>
  <c r="BY20" i="115"/>
  <c r="BN21" i="115"/>
  <c r="BO21" i="115"/>
  <c r="BP21" i="115"/>
  <c r="BQ21" i="115"/>
  <c r="BR21" i="115"/>
  <c r="BS21" i="115"/>
  <c r="BT21" i="115"/>
  <c r="BU21" i="115"/>
  <c r="BV21" i="115"/>
  <c r="BW21" i="115"/>
  <c r="BX21" i="115"/>
  <c r="BY21" i="115"/>
  <c r="BN22" i="115"/>
  <c r="BO22" i="115"/>
  <c r="BP22" i="115"/>
  <c r="BQ22" i="115"/>
  <c r="BR22" i="115"/>
  <c r="BS22" i="115"/>
  <c r="BT22" i="115"/>
  <c r="BU22" i="115"/>
  <c r="BV22" i="115"/>
  <c r="BW22" i="115"/>
  <c r="BX22" i="115"/>
  <c r="BY22" i="115"/>
  <c r="BN23" i="115"/>
  <c r="BO23" i="115"/>
  <c r="BP23" i="115"/>
  <c r="BQ23" i="115"/>
  <c r="BR23" i="115"/>
  <c r="BS23" i="115"/>
  <c r="BT23" i="115"/>
  <c r="BU23" i="115"/>
  <c r="BV23" i="115"/>
  <c r="BW23" i="115"/>
  <c r="BX23" i="115"/>
  <c r="BY23" i="115"/>
  <c r="BN24" i="115"/>
  <c r="BO24" i="115"/>
  <c r="BP24" i="115"/>
  <c r="BQ24" i="115"/>
  <c r="BR24" i="115"/>
  <c r="BS24" i="115"/>
  <c r="BT24" i="115"/>
  <c r="BU24" i="115"/>
  <c r="BV24" i="115"/>
  <c r="BW24" i="115"/>
  <c r="BX24" i="115"/>
  <c r="BY24" i="115"/>
  <c r="BN25" i="115"/>
  <c r="BO25" i="115"/>
  <c r="BP25" i="115"/>
  <c r="BQ25" i="115"/>
  <c r="BR25" i="115"/>
  <c r="BS25" i="115"/>
  <c r="BT25" i="115"/>
  <c r="BU25" i="115"/>
  <c r="BV25" i="115"/>
  <c r="BW25" i="115"/>
  <c r="BX25" i="115"/>
  <c r="BY25" i="115"/>
  <c r="BN26" i="115"/>
  <c r="BO26" i="115"/>
  <c r="BP26" i="115"/>
  <c r="BQ26" i="115"/>
  <c r="BR26" i="115"/>
  <c r="BS26" i="115"/>
  <c r="BT26" i="115"/>
  <c r="BU26" i="115"/>
  <c r="BV26" i="115"/>
  <c r="BW26" i="115"/>
  <c r="BX26" i="115"/>
  <c r="BY26" i="115"/>
  <c r="BN27" i="115"/>
  <c r="BO27" i="115"/>
  <c r="BP27" i="115"/>
  <c r="BQ27" i="115"/>
  <c r="BR27" i="115"/>
  <c r="BS27" i="115"/>
  <c r="BT27" i="115"/>
  <c r="BU27" i="115"/>
  <c r="BV27" i="115"/>
  <c r="BW27" i="115"/>
  <c r="BX27" i="115"/>
  <c r="BY27" i="115"/>
  <c r="BN28" i="115"/>
  <c r="BO28" i="115"/>
  <c r="BP28" i="115"/>
  <c r="BQ28" i="115"/>
  <c r="BR28" i="115"/>
  <c r="BS28" i="115"/>
  <c r="BT28" i="115"/>
  <c r="BU28" i="115"/>
  <c r="BV28" i="115"/>
  <c r="BW28" i="115"/>
  <c r="BX28" i="115"/>
  <c r="BY28" i="115"/>
  <c r="BN29" i="115"/>
  <c r="BO29" i="115"/>
  <c r="BP29" i="115"/>
  <c r="BQ29" i="115"/>
  <c r="BR29" i="115"/>
  <c r="BS29" i="115"/>
  <c r="BT29" i="115"/>
  <c r="BU29" i="115"/>
  <c r="BV29" i="115"/>
  <c r="BW29" i="115"/>
  <c r="BX29" i="115"/>
  <c r="BY29" i="115"/>
  <c r="BN30" i="115"/>
  <c r="BO30" i="115"/>
  <c r="BP30" i="115"/>
  <c r="BQ30" i="115"/>
  <c r="BR30" i="115"/>
  <c r="BS30" i="115"/>
  <c r="BT30" i="115"/>
  <c r="BU30" i="115"/>
  <c r="BV30" i="115"/>
  <c r="BW30" i="115"/>
  <c r="BX30" i="115"/>
  <c r="BY30" i="115"/>
  <c r="BN31" i="115"/>
  <c r="BO31" i="115"/>
  <c r="BP31" i="115"/>
  <c r="BQ31" i="115"/>
  <c r="BR31" i="115"/>
  <c r="BS31" i="115"/>
  <c r="BT31" i="115"/>
  <c r="BU31" i="115"/>
  <c r="BV31" i="115"/>
  <c r="BW31" i="115"/>
  <c r="BX31" i="115"/>
  <c r="BY31" i="115"/>
  <c r="BN32" i="115"/>
  <c r="BO32" i="115"/>
  <c r="BP32" i="115"/>
  <c r="BQ32" i="115"/>
  <c r="BR32" i="115"/>
  <c r="BS32" i="115"/>
  <c r="BT32" i="115"/>
  <c r="BU32" i="115"/>
  <c r="BV32" i="115"/>
  <c r="BW32" i="115"/>
  <c r="BX32" i="115"/>
  <c r="BY32" i="115"/>
  <c r="BN33" i="115"/>
  <c r="BO33" i="115"/>
  <c r="BP33" i="115"/>
  <c r="BQ33" i="115"/>
  <c r="BR33" i="115"/>
  <c r="BS33" i="115"/>
  <c r="BT33" i="115"/>
  <c r="BU33" i="115"/>
  <c r="BV33" i="115"/>
  <c r="BW33" i="115"/>
  <c r="BX33" i="115"/>
  <c r="BY33" i="115"/>
  <c r="BN34" i="115"/>
  <c r="BO34" i="115"/>
  <c r="BP34" i="115"/>
  <c r="BQ34" i="115"/>
  <c r="BR34" i="115"/>
  <c r="BS34" i="115"/>
  <c r="BT34" i="115"/>
  <c r="BU34" i="115"/>
  <c r="BV34" i="115"/>
  <c r="BW34" i="115"/>
  <c r="BX34" i="115"/>
  <c r="BY34" i="115"/>
  <c r="BN35" i="115"/>
  <c r="BO35" i="115"/>
  <c r="BP35" i="115"/>
  <c r="BQ35" i="115"/>
  <c r="BR35" i="115"/>
  <c r="BS35" i="115"/>
  <c r="BT35" i="115"/>
  <c r="BU35" i="115"/>
  <c r="BV35" i="115"/>
  <c r="BW35" i="115"/>
  <c r="BX35" i="115"/>
  <c r="BY35" i="115"/>
  <c r="BN36" i="115"/>
  <c r="BO36" i="115"/>
  <c r="BP36" i="115"/>
  <c r="BQ36" i="115"/>
  <c r="BR36" i="115"/>
  <c r="BS36" i="115"/>
  <c r="BT36" i="115"/>
  <c r="BU36" i="115"/>
  <c r="BV36" i="115"/>
  <c r="BW36" i="115"/>
  <c r="BX36" i="115"/>
  <c r="BY36" i="115"/>
  <c r="BN37" i="115"/>
  <c r="BO37" i="115"/>
  <c r="BP37" i="115"/>
  <c r="BQ37" i="115"/>
  <c r="BR37" i="115"/>
  <c r="BS37" i="115"/>
  <c r="BT37" i="115"/>
  <c r="BU37" i="115"/>
  <c r="BV37" i="115"/>
  <c r="BW37" i="115"/>
  <c r="BX37" i="115"/>
  <c r="BY37" i="115"/>
  <c r="BN38" i="115"/>
  <c r="BO38" i="115"/>
  <c r="BP38" i="115"/>
  <c r="BQ38" i="115"/>
  <c r="BR38" i="115"/>
  <c r="BS38" i="115"/>
  <c r="BT38" i="115"/>
  <c r="BU38" i="115"/>
  <c r="BV38" i="115"/>
  <c r="BW38" i="115"/>
  <c r="BX38" i="115"/>
  <c r="BY38" i="115"/>
  <c r="BN39" i="115"/>
  <c r="BO39" i="115"/>
  <c r="BP39" i="115"/>
  <c r="BQ39" i="115"/>
  <c r="BR39" i="115"/>
  <c r="BS39" i="115"/>
  <c r="BT39" i="115"/>
  <c r="BU39" i="115"/>
  <c r="BV39" i="115"/>
  <c r="BW39" i="115"/>
  <c r="BX39" i="115"/>
  <c r="BY39" i="115"/>
  <c r="BN40" i="115"/>
  <c r="BO40" i="115"/>
  <c r="BP40" i="115"/>
  <c r="BQ40" i="115"/>
  <c r="BR40" i="115"/>
  <c r="BS40" i="115"/>
  <c r="BT40" i="115"/>
  <c r="BU40" i="115"/>
  <c r="BV40" i="115"/>
  <c r="BW40" i="115"/>
  <c r="BX40" i="115"/>
  <c r="BY40" i="115"/>
  <c r="BN41" i="115"/>
  <c r="BO41" i="115"/>
  <c r="BP41" i="115"/>
  <c r="BQ41" i="115"/>
  <c r="BR41" i="115"/>
  <c r="BS41" i="115"/>
  <c r="BT41" i="115"/>
  <c r="BU41" i="115"/>
  <c r="BV41" i="115"/>
  <c r="BW41" i="115"/>
  <c r="BX41" i="115"/>
  <c r="BY41" i="115"/>
  <c r="BN42" i="115"/>
  <c r="BO42" i="115"/>
  <c r="BP42" i="115"/>
  <c r="BQ42" i="115"/>
  <c r="BR42" i="115"/>
  <c r="BS42" i="115"/>
  <c r="BT42" i="115"/>
  <c r="BU42" i="115"/>
  <c r="BV42" i="115"/>
  <c r="BW42" i="115"/>
  <c r="BX42" i="115"/>
  <c r="BY42" i="115"/>
  <c r="BN43" i="115"/>
  <c r="BO43" i="115"/>
  <c r="BP43" i="115"/>
  <c r="BQ43" i="115"/>
  <c r="BR43" i="115"/>
  <c r="BS43" i="115"/>
  <c r="BT43" i="115"/>
  <c r="BU43" i="115"/>
  <c r="BV43" i="115"/>
  <c r="BW43" i="115"/>
  <c r="BX43" i="115"/>
  <c r="BY43" i="115"/>
  <c r="BN44" i="115"/>
  <c r="BO44" i="115"/>
  <c r="BP44" i="115"/>
  <c r="BQ44" i="115"/>
  <c r="BR44" i="115"/>
  <c r="BS44" i="115"/>
  <c r="BT44" i="115"/>
  <c r="BU44" i="115"/>
  <c r="BV44" i="115"/>
  <c r="BW44" i="115"/>
  <c r="BX44" i="115"/>
  <c r="BY44" i="115"/>
  <c r="BN45" i="115"/>
  <c r="BO45" i="115"/>
  <c r="BP45" i="115"/>
  <c r="BQ45" i="115"/>
  <c r="BR45" i="115"/>
  <c r="BS45" i="115"/>
  <c r="BT45" i="115"/>
  <c r="BU45" i="115"/>
  <c r="BV45" i="115"/>
  <c r="BW45" i="115"/>
  <c r="BX45" i="115"/>
  <c r="BY45" i="115"/>
  <c r="BN46" i="115"/>
  <c r="BO46" i="115"/>
  <c r="BP46" i="115"/>
  <c r="BQ46" i="115"/>
  <c r="BR46" i="115"/>
  <c r="BS46" i="115"/>
  <c r="BT46" i="115"/>
  <c r="BU46" i="115"/>
  <c r="BV46" i="115"/>
  <c r="BW46" i="115"/>
  <c r="BX46" i="115"/>
  <c r="BY46" i="115"/>
  <c r="BN47" i="115"/>
  <c r="BO47" i="115"/>
  <c r="BP47" i="115"/>
  <c r="BQ47" i="115"/>
  <c r="BR47" i="115"/>
  <c r="BS47" i="115"/>
  <c r="BT47" i="115"/>
  <c r="BU47" i="115"/>
  <c r="BV47" i="115"/>
  <c r="BW47" i="115"/>
  <c r="BX47" i="115"/>
  <c r="BY47" i="115"/>
  <c r="BN48" i="115"/>
  <c r="BO48" i="115"/>
  <c r="BP48" i="115"/>
  <c r="BQ48" i="115"/>
  <c r="BR48" i="115"/>
  <c r="BS48" i="115"/>
  <c r="BT48" i="115"/>
  <c r="BU48" i="115"/>
  <c r="BV48" i="115"/>
  <c r="BW48" i="115"/>
  <c r="BX48" i="115"/>
  <c r="BY48" i="115"/>
  <c r="BN49" i="115"/>
  <c r="BO49" i="115"/>
  <c r="BP49" i="115"/>
  <c r="BQ49" i="115"/>
  <c r="BR49" i="115"/>
  <c r="BS49" i="115"/>
  <c r="BT49" i="115"/>
  <c r="BU49" i="115"/>
  <c r="BV49" i="115"/>
  <c r="BW49" i="115"/>
  <c r="BX49" i="115"/>
  <c r="BY49" i="115"/>
  <c r="BN50" i="115"/>
  <c r="BO50" i="115"/>
  <c r="BP50" i="115"/>
  <c r="BQ50" i="115"/>
  <c r="BR50" i="115"/>
  <c r="BS50" i="115"/>
  <c r="BT50" i="115"/>
  <c r="BU50" i="115"/>
  <c r="BV50" i="115"/>
  <c r="BW50" i="115"/>
  <c r="BX50" i="115"/>
  <c r="BY50" i="115"/>
  <c r="BN51" i="115"/>
  <c r="BO51" i="115"/>
  <c r="BP51" i="115"/>
  <c r="BQ51" i="115"/>
  <c r="BR51" i="115"/>
  <c r="BS51" i="115"/>
  <c r="BT51" i="115"/>
  <c r="BU51" i="115"/>
  <c r="BV51" i="115"/>
  <c r="BW51" i="115"/>
  <c r="BX51" i="115"/>
  <c r="BY51" i="115"/>
  <c r="BN52" i="115"/>
  <c r="BO52" i="115"/>
  <c r="BP52" i="115"/>
  <c r="BQ52" i="115"/>
  <c r="BR52" i="115"/>
  <c r="BS52" i="115"/>
  <c r="BT52" i="115"/>
  <c r="BU52" i="115"/>
  <c r="BV52" i="115"/>
  <c r="BW52" i="115"/>
  <c r="BX52" i="115"/>
  <c r="BY52" i="115"/>
  <c r="BN53" i="115"/>
  <c r="BO53" i="115"/>
  <c r="BP53" i="115"/>
  <c r="BQ53" i="115"/>
  <c r="BR53" i="115"/>
  <c r="BS53" i="115"/>
  <c r="BT53" i="115"/>
  <c r="BU53" i="115"/>
  <c r="BV53" i="115"/>
  <c r="BW53" i="115"/>
  <c r="BX53" i="115"/>
  <c r="BY53" i="115"/>
  <c r="BO4" i="115"/>
  <c r="BP4" i="115"/>
  <c r="BQ4" i="115"/>
  <c r="BR4" i="115"/>
  <c r="BS4" i="115"/>
  <c r="BT4" i="115"/>
  <c r="BU4" i="115"/>
  <c r="BV4" i="115"/>
  <c r="BW4" i="115"/>
  <c r="BX4" i="115"/>
  <c r="BY4" i="115"/>
  <c r="BN4" i="115"/>
  <c r="AZ5" i="115"/>
  <c r="BA5" i="115"/>
  <c r="BB5" i="115"/>
  <c r="BC5" i="115"/>
  <c r="BD5" i="115"/>
  <c r="BE5" i="115"/>
  <c r="BF5" i="115"/>
  <c r="BG5" i="115"/>
  <c r="BH5" i="115"/>
  <c r="BI5" i="115"/>
  <c r="BJ5" i="115"/>
  <c r="BK5" i="115"/>
  <c r="AZ6" i="115"/>
  <c r="BA6" i="115"/>
  <c r="BB6" i="115"/>
  <c r="BC6" i="115"/>
  <c r="BD6" i="115"/>
  <c r="BE6" i="115"/>
  <c r="BF6" i="115"/>
  <c r="BG6" i="115"/>
  <c r="BH6" i="115"/>
  <c r="BI6" i="115"/>
  <c r="BJ6" i="115"/>
  <c r="BK6" i="115"/>
  <c r="AZ7" i="115"/>
  <c r="BA7" i="115"/>
  <c r="BB7" i="115"/>
  <c r="BC7" i="115"/>
  <c r="BD7" i="115"/>
  <c r="BE7" i="115"/>
  <c r="BF7" i="115"/>
  <c r="BG7" i="115"/>
  <c r="BH7" i="115"/>
  <c r="BI7" i="115"/>
  <c r="BJ7" i="115"/>
  <c r="BK7" i="115"/>
  <c r="AZ8" i="115"/>
  <c r="BA8" i="115"/>
  <c r="BB8" i="115"/>
  <c r="BC8" i="115"/>
  <c r="BD8" i="115"/>
  <c r="BE8" i="115"/>
  <c r="BF8" i="115"/>
  <c r="BG8" i="115"/>
  <c r="BH8" i="115"/>
  <c r="BI8" i="115"/>
  <c r="BJ8" i="115"/>
  <c r="BK8" i="115"/>
  <c r="AZ9" i="115"/>
  <c r="BA9" i="115"/>
  <c r="BB9" i="115"/>
  <c r="BC9" i="115"/>
  <c r="BD9" i="115"/>
  <c r="BE9" i="115"/>
  <c r="BF9" i="115"/>
  <c r="BG9" i="115"/>
  <c r="BH9" i="115"/>
  <c r="BI9" i="115"/>
  <c r="BJ9" i="115"/>
  <c r="BK9" i="115"/>
  <c r="AZ10" i="115"/>
  <c r="BA10" i="115"/>
  <c r="BB10" i="115"/>
  <c r="BC10" i="115"/>
  <c r="BD10" i="115"/>
  <c r="BE10" i="115"/>
  <c r="BF10" i="115"/>
  <c r="BG10" i="115"/>
  <c r="BH10" i="115"/>
  <c r="BI10" i="115"/>
  <c r="BJ10" i="115"/>
  <c r="BK10" i="115"/>
  <c r="AZ11" i="115"/>
  <c r="BA11" i="115"/>
  <c r="BB11" i="115"/>
  <c r="BC11" i="115"/>
  <c r="BD11" i="115"/>
  <c r="BE11" i="115"/>
  <c r="BF11" i="115"/>
  <c r="BG11" i="115"/>
  <c r="BH11" i="115"/>
  <c r="BI11" i="115"/>
  <c r="BJ11" i="115"/>
  <c r="BK11" i="115"/>
  <c r="AZ12" i="115"/>
  <c r="BA12" i="115"/>
  <c r="BB12" i="115"/>
  <c r="BC12" i="115"/>
  <c r="BD12" i="115"/>
  <c r="BE12" i="115"/>
  <c r="BF12" i="115"/>
  <c r="BG12" i="115"/>
  <c r="BH12" i="115"/>
  <c r="BI12" i="115"/>
  <c r="BJ12" i="115"/>
  <c r="BK12" i="115"/>
  <c r="AZ13" i="115"/>
  <c r="BA13" i="115"/>
  <c r="BB13" i="115"/>
  <c r="BC13" i="115"/>
  <c r="BD13" i="115"/>
  <c r="BE13" i="115"/>
  <c r="BF13" i="115"/>
  <c r="BG13" i="115"/>
  <c r="BH13" i="115"/>
  <c r="BI13" i="115"/>
  <c r="BJ13" i="115"/>
  <c r="BK13" i="115"/>
  <c r="AZ14" i="115"/>
  <c r="BA14" i="115"/>
  <c r="BB14" i="115"/>
  <c r="BC14" i="115"/>
  <c r="BD14" i="115"/>
  <c r="BE14" i="115"/>
  <c r="BF14" i="115"/>
  <c r="BG14" i="115"/>
  <c r="BH14" i="115"/>
  <c r="BI14" i="115"/>
  <c r="BJ14" i="115"/>
  <c r="BK14" i="115"/>
  <c r="AZ15" i="115"/>
  <c r="BA15" i="115"/>
  <c r="BB15" i="115"/>
  <c r="BC15" i="115"/>
  <c r="BD15" i="115"/>
  <c r="BE15" i="115"/>
  <c r="BF15" i="115"/>
  <c r="BG15" i="115"/>
  <c r="BH15" i="115"/>
  <c r="BI15" i="115"/>
  <c r="BJ15" i="115"/>
  <c r="BK15" i="115"/>
  <c r="AZ16" i="115"/>
  <c r="BA16" i="115"/>
  <c r="BB16" i="115"/>
  <c r="BC16" i="115"/>
  <c r="BD16" i="115"/>
  <c r="BE16" i="115"/>
  <c r="BF16" i="115"/>
  <c r="BG16" i="115"/>
  <c r="BH16" i="115"/>
  <c r="BI16" i="115"/>
  <c r="BJ16" i="115"/>
  <c r="BK16" i="115"/>
  <c r="AZ17" i="115"/>
  <c r="BA17" i="115"/>
  <c r="BB17" i="115"/>
  <c r="BC17" i="115"/>
  <c r="BD17" i="115"/>
  <c r="BE17" i="115"/>
  <c r="BF17" i="115"/>
  <c r="BG17" i="115"/>
  <c r="BH17" i="115"/>
  <c r="BI17" i="115"/>
  <c r="BJ17" i="115"/>
  <c r="BK17" i="115"/>
  <c r="AZ18" i="115"/>
  <c r="BA18" i="115"/>
  <c r="BB18" i="115"/>
  <c r="BC18" i="115"/>
  <c r="BD18" i="115"/>
  <c r="BE18" i="115"/>
  <c r="BF18" i="115"/>
  <c r="BG18" i="115"/>
  <c r="BH18" i="115"/>
  <c r="BI18" i="115"/>
  <c r="BJ18" i="115"/>
  <c r="BK18" i="115"/>
  <c r="AZ19" i="115"/>
  <c r="BA19" i="115"/>
  <c r="BB19" i="115"/>
  <c r="BC19" i="115"/>
  <c r="BD19" i="115"/>
  <c r="BE19" i="115"/>
  <c r="BF19" i="115"/>
  <c r="BG19" i="115"/>
  <c r="BH19" i="115"/>
  <c r="BI19" i="115"/>
  <c r="BJ19" i="115"/>
  <c r="BK19" i="115"/>
  <c r="AZ20" i="115"/>
  <c r="BA20" i="115"/>
  <c r="BB20" i="115"/>
  <c r="BC20" i="115"/>
  <c r="BD20" i="115"/>
  <c r="BE20" i="115"/>
  <c r="BF20" i="115"/>
  <c r="BG20" i="115"/>
  <c r="BH20" i="115"/>
  <c r="BI20" i="115"/>
  <c r="BJ20" i="115"/>
  <c r="BK20" i="115"/>
  <c r="AZ21" i="115"/>
  <c r="BA21" i="115"/>
  <c r="BB21" i="115"/>
  <c r="BC21" i="115"/>
  <c r="BD21" i="115"/>
  <c r="BE21" i="115"/>
  <c r="BF21" i="115"/>
  <c r="BG21" i="115"/>
  <c r="BH21" i="115"/>
  <c r="BI21" i="115"/>
  <c r="BJ21" i="115"/>
  <c r="BK21" i="115"/>
  <c r="AZ22" i="115"/>
  <c r="BA22" i="115"/>
  <c r="BB22" i="115"/>
  <c r="BC22" i="115"/>
  <c r="BD22" i="115"/>
  <c r="BE22" i="115"/>
  <c r="BF22" i="115"/>
  <c r="BG22" i="115"/>
  <c r="BH22" i="115"/>
  <c r="BI22" i="115"/>
  <c r="BJ22" i="115"/>
  <c r="BK22" i="115"/>
  <c r="AZ23" i="115"/>
  <c r="BA23" i="115"/>
  <c r="BB23" i="115"/>
  <c r="BC23" i="115"/>
  <c r="BD23" i="115"/>
  <c r="BE23" i="115"/>
  <c r="BF23" i="115"/>
  <c r="BG23" i="115"/>
  <c r="BH23" i="115"/>
  <c r="BI23" i="115"/>
  <c r="BJ23" i="115"/>
  <c r="BK23" i="115"/>
  <c r="AZ24" i="115"/>
  <c r="BA24" i="115"/>
  <c r="BB24" i="115"/>
  <c r="BC24" i="115"/>
  <c r="BD24" i="115"/>
  <c r="BE24" i="115"/>
  <c r="BF24" i="115"/>
  <c r="BG24" i="115"/>
  <c r="BH24" i="115"/>
  <c r="BI24" i="115"/>
  <c r="BJ24" i="115"/>
  <c r="BK24" i="115"/>
  <c r="AZ25" i="115"/>
  <c r="BA25" i="115"/>
  <c r="BB25" i="115"/>
  <c r="BC25" i="115"/>
  <c r="BD25" i="115"/>
  <c r="BE25" i="115"/>
  <c r="BF25" i="115"/>
  <c r="BG25" i="115"/>
  <c r="BH25" i="115"/>
  <c r="BI25" i="115"/>
  <c r="BJ25" i="115"/>
  <c r="BK25" i="115"/>
  <c r="AZ26" i="115"/>
  <c r="BA26" i="115"/>
  <c r="BB26" i="115"/>
  <c r="BC26" i="115"/>
  <c r="BD26" i="115"/>
  <c r="BE26" i="115"/>
  <c r="BF26" i="115"/>
  <c r="BG26" i="115"/>
  <c r="BH26" i="115"/>
  <c r="BI26" i="115"/>
  <c r="BJ26" i="115"/>
  <c r="BK26" i="115"/>
  <c r="AZ27" i="115"/>
  <c r="BA27" i="115"/>
  <c r="BB27" i="115"/>
  <c r="BC27" i="115"/>
  <c r="BD27" i="115"/>
  <c r="BE27" i="115"/>
  <c r="BF27" i="115"/>
  <c r="BG27" i="115"/>
  <c r="BH27" i="115"/>
  <c r="BI27" i="115"/>
  <c r="BJ27" i="115"/>
  <c r="BK27" i="115"/>
  <c r="AZ28" i="115"/>
  <c r="BA28" i="115"/>
  <c r="BB28" i="115"/>
  <c r="BC28" i="115"/>
  <c r="BD28" i="115"/>
  <c r="BE28" i="115"/>
  <c r="BF28" i="115"/>
  <c r="BG28" i="115"/>
  <c r="BH28" i="115"/>
  <c r="BI28" i="115"/>
  <c r="BJ28" i="115"/>
  <c r="BK28" i="115"/>
  <c r="AZ29" i="115"/>
  <c r="BA29" i="115"/>
  <c r="BB29" i="115"/>
  <c r="BC29" i="115"/>
  <c r="BD29" i="115"/>
  <c r="BE29" i="115"/>
  <c r="BF29" i="115"/>
  <c r="BG29" i="115"/>
  <c r="BH29" i="115"/>
  <c r="BI29" i="115"/>
  <c r="BJ29" i="115"/>
  <c r="BK29" i="115"/>
  <c r="AZ30" i="115"/>
  <c r="BA30" i="115"/>
  <c r="BB30" i="115"/>
  <c r="BC30" i="115"/>
  <c r="BD30" i="115"/>
  <c r="BE30" i="115"/>
  <c r="BF30" i="115"/>
  <c r="BG30" i="115"/>
  <c r="BH30" i="115"/>
  <c r="BI30" i="115"/>
  <c r="BJ30" i="115"/>
  <c r="BK30" i="115"/>
  <c r="AZ31" i="115"/>
  <c r="BA31" i="115"/>
  <c r="BB31" i="115"/>
  <c r="BC31" i="115"/>
  <c r="BD31" i="115"/>
  <c r="BE31" i="115"/>
  <c r="BF31" i="115"/>
  <c r="BG31" i="115"/>
  <c r="BH31" i="115"/>
  <c r="BI31" i="115"/>
  <c r="BJ31" i="115"/>
  <c r="BK31" i="115"/>
  <c r="AZ32" i="115"/>
  <c r="BA32" i="115"/>
  <c r="BB32" i="115"/>
  <c r="BC32" i="115"/>
  <c r="BD32" i="115"/>
  <c r="BE32" i="115"/>
  <c r="BF32" i="115"/>
  <c r="BG32" i="115"/>
  <c r="BH32" i="115"/>
  <c r="BI32" i="115"/>
  <c r="BJ32" i="115"/>
  <c r="BK32" i="115"/>
  <c r="AZ33" i="115"/>
  <c r="BA33" i="115"/>
  <c r="BB33" i="115"/>
  <c r="BC33" i="115"/>
  <c r="BD33" i="115"/>
  <c r="BE33" i="115"/>
  <c r="BF33" i="115"/>
  <c r="BG33" i="115"/>
  <c r="BH33" i="115"/>
  <c r="BI33" i="115"/>
  <c r="BJ33" i="115"/>
  <c r="BK33" i="115"/>
  <c r="AZ34" i="115"/>
  <c r="BA34" i="115"/>
  <c r="BB34" i="115"/>
  <c r="BC34" i="115"/>
  <c r="BD34" i="115"/>
  <c r="BE34" i="115"/>
  <c r="BF34" i="115"/>
  <c r="BG34" i="115"/>
  <c r="BH34" i="115"/>
  <c r="BI34" i="115"/>
  <c r="BJ34" i="115"/>
  <c r="BK34" i="115"/>
  <c r="AZ35" i="115"/>
  <c r="BA35" i="115"/>
  <c r="BB35" i="115"/>
  <c r="BC35" i="115"/>
  <c r="BD35" i="115"/>
  <c r="BE35" i="115"/>
  <c r="BF35" i="115"/>
  <c r="BG35" i="115"/>
  <c r="BH35" i="115"/>
  <c r="BI35" i="115"/>
  <c r="BJ35" i="115"/>
  <c r="BK35" i="115"/>
  <c r="AZ36" i="115"/>
  <c r="BA36" i="115"/>
  <c r="BB36" i="115"/>
  <c r="BC36" i="115"/>
  <c r="BD36" i="115"/>
  <c r="BE36" i="115"/>
  <c r="BF36" i="115"/>
  <c r="BG36" i="115"/>
  <c r="BH36" i="115"/>
  <c r="BI36" i="115"/>
  <c r="BJ36" i="115"/>
  <c r="BK36" i="115"/>
  <c r="AZ37" i="115"/>
  <c r="BA37" i="115"/>
  <c r="BB37" i="115"/>
  <c r="BC37" i="115"/>
  <c r="BD37" i="115"/>
  <c r="BE37" i="115"/>
  <c r="BF37" i="115"/>
  <c r="BG37" i="115"/>
  <c r="BH37" i="115"/>
  <c r="BI37" i="115"/>
  <c r="BJ37" i="115"/>
  <c r="BK37" i="115"/>
  <c r="AZ38" i="115"/>
  <c r="BA38" i="115"/>
  <c r="BB38" i="115"/>
  <c r="BC38" i="115"/>
  <c r="BD38" i="115"/>
  <c r="BE38" i="115"/>
  <c r="BF38" i="115"/>
  <c r="BG38" i="115"/>
  <c r="BH38" i="115"/>
  <c r="BI38" i="115"/>
  <c r="BJ38" i="115"/>
  <c r="BK38" i="115"/>
  <c r="AZ39" i="115"/>
  <c r="BA39" i="115"/>
  <c r="BB39" i="115"/>
  <c r="BC39" i="115"/>
  <c r="BD39" i="115"/>
  <c r="BE39" i="115"/>
  <c r="BF39" i="115"/>
  <c r="BG39" i="115"/>
  <c r="BH39" i="115"/>
  <c r="BI39" i="115"/>
  <c r="BJ39" i="115"/>
  <c r="BK39" i="115"/>
  <c r="AZ40" i="115"/>
  <c r="BA40" i="115"/>
  <c r="BB40" i="115"/>
  <c r="BC40" i="115"/>
  <c r="BD40" i="115"/>
  <c r="BE40" i="115"/>
  <c r="BF40" i="115"/>
  <c r="BG40" i="115"/>
  <c r="BH40" i="115"/>
  <c r="BI40" i="115"/>
  <c r="BJ40" i="115"/>
  <c r="BK40" i="115"/>
  <c r="AZ41" i="115"/>
  <c r="BA41" i="115"/>
  <c r="BB41" i="115"/>
  <c r="BC41" i="115"/>
  <c r="BD41" i="115"/>
  <c r="BE41" i="115"/>
  <c r="BF41" i="115"/>
  <c r="BG41" i="115"/>
  <c r="BH41" i="115"/>
  <c r="BI41" i="115"/>
  <c r="BJ41" i="115"/>
  <c r="BK41" i="115"/>
  <c r="AZ42" i="115"/>
  <c r="BA42" i="115"/>
  <c r="BB42" i="115"/>
  <c r="BC42" i="115"/>
  <c r="BD42" i="115"/>
  <c r="BE42" i="115"/>
  <c r="BF42" i="115"/>
  <c r="BG42" i="115"/>
  <c r="BH42" i="115"/>
  <c r="BI42" i="115"/>
  <c r="BJ42" i="115"/>
  <c r="BK42" i="115"/>
  <c r="AZ43" i="115"/>
  <c r="BA43" i="115"/>
  <c r="BB43" i="115"/>
  <c r="BC43" i="115"/>
  <c r="BD43" i="115"/>
  <c r="BE43" i="115"/>
  <c r="BF43" i="115"/>
  <c r="BG43" i="115"/>
  <c r="BH43" i="115"/>
  <c r="BI43" i="115"/>
  <c r="BJ43" i="115"/>
  <c r="BK43" i="115"/>
  <c r="AZ44" i="115"/>
  <c r="BA44" i="115"/>
  <c r="BB44" i="115"/>
  <c r="BC44" i="115"/>
  <c r="BD44" i="115"/>
  <c r="BE44" i="115"/>
  <c r="BF44" i="115"/>
  <c r="BG44" i="115"/>
  <c r="BH44" i="115"/>
  <c r="BI44" i="115"/>
  <c r="BJ44" i="115"/>
  <c r="BK44" i="115"/>
  <c r="AZ45" i="115"/>
  <c r="BA45" i="115"/>
  <c r="BB45" i="115"/>
  <c r="BC45" i="115"/>
  <c r="BD45" i="115"/>
  <c r="BE45" i="115"/>
  <c r="BF45" i="115"/>
  <c r="BG45" i="115"/>
  <c r="BH45" i="115"/>
  <c r="BI45" i="115"/>
  <c r="BJ45" i="115"/>
  <c r="BK45" i="115"/>
  <c r="AZ46" i="115"/>
  <c r="BA46" i="115"/>
  <c r="BB46" i="115"/>
  <c r="BC46" i="115"/>
  <c r="BD46" i="115"/>
  <c r="BE46" i="115"/>
  <c r="BF46" i="115"/>
  <c r="BG46" i="115"/>
  <c r="BH46" i="115"/>
  <c r="BI46" i="115"/>
  <c r="BJ46" i="115"/>
  <c r="BK46" i="115"/>
  <c r="AZ47" i="115"/>
  <c r="BA47" i="115"/>
  <c r="BB47" i="115"/>
  <c r="BC47" i="115"/>
  <c r="BD47" i="115"/>
  <c r="BE47" i="115"/>
  <c r="BF47" i="115"/>
  <c r="BG47" i="115"/>
  <c r="BH47" i="115"/>
  <c r="BI47" i="115"/>
  <c r="BJ47" i="115"/>
  <c r="BK47" i="115"/>
  <c r="AZ48" i="115"/>
  <c r="BA48" i="115"/>
  <c r="BB48" i="115"/>
  <c r="BC48" i="115"/>
  <c r="BD48" i="115"/>
  <c r="BE48" i="115"/>
  <c r="BF48" i="115"/>
  <c r="BG48" i="115"/>
  <c r="BH48" i="115"/>
  <c r="BI48" i="115"/>
  <c r="BJ48" i="115"/>
  <c r="BK48" i="115"/>
  <c r="AZ49" i="115"/>
  <c r="BA49" i="115"/>
  <c r="BB49" i="115"/>
  <c r="BC49" i="115"/>
  <c r="BD49" i="115"/>
  <c r="BE49" i="115"/>
  <c r="BF49" i="115"/>
  <c r="BG49" i="115"/>
  <c r="BH49" i="115"/>
  <c r="BI49" i="115"/>
  <c r="BJ49" i="115"/>
  <c r="BK49" i="115"/>
  <c r="AZ50" i="115"/>
  <c r="BA50" i="115"/>
  <c r="BB50" i="115"/>
  <c r="BC50" i="115"/>
  <c r="BD50" i="115"/>
  <c r="BE50" i="115"/>
  <c r="BF50" i="115"/>
  <c r="BG50" i="115"/>
  <c r="BH50" i="115"/>
  <c r="BI50" i="115"/>
  <c r="BJ50" i="115"/>
  <c r="BK50" i="115"/>
  <c r="AZ51" i="115"/>
  <c r="BA51" i="115"/>
  <c r="BB51" i="115"/>
  <c r="BC51" i="115"/>
  <c r="BD51" i="115"/>
  <c r="BE51" i="115"/>
  <c r="BF51" i="115"/>
  <c r="BG51" i="115"/>
  <c r="BH51" i="115"/>
  <c r="BI51" i="115"/>
  <c r="BJ51" i="115"/>
  <c r="BK51" i="115"/>
  <c r="AZ52" i="115"/>
  <c r="BA52" i="115"/>
  <c r="BB52" i="115"/>
  <c r="BC52" i="115"/>
  <c r="BD52" i="115"/>
  <c r="BE52" i="115"/>
  <c r="BF52" i="115"/>
  <c r="BG52" i="115"/>
  <c r="BH52" i="115"/>
  <c r="BI52" i="115"/>
  <c r="BJ52" i="115"/>
  <c r="BK52" i="115"/>
  <c r="AZ53" i="115"/>
  <c r="BA53" i="115"/>
  <c r="BB53" i="115"/>
  <c r="BC53" i="115"/>
  <c r="BD53" i="115"/>
  <c r="BE53" i="115"/>
  <c r="BF53" i="115"/>
  <c r="BG53" i="115"/>
  <c r="BH53" i="115"/>
  <c r="BI53" i="115"/>
  <c r="BJ53" i="115"/>
  <c r="BK53" i="115"/>
  <c r="BA4" i="115"/>
  <c r="BB4" i="115"/>
  <c r="BC4" i="115"/>
  <c r="BD4" i="115"/>
  <c r="BE4" i="115"/>
  <c r="BF4" i="115"/>
  <c r="BG4" i="115"/>
  <c r="BH4" i="115"/>
  <c r="BI4" i="115"/>
  <c r="BJ4" i="115"/>
  <c r="BK4" i="115"/>
  <c r="AZ4" i="115"/>
  <c r="F2" i="115"/>
  <c r="CC7" i="115" l="1"/>
  <c r="DF49" i="115"/>
  <c r="DE31" i="115"/>
  <c r="CR5" i="115"/>
  <c r="DG4" i="115"/>
  <c r="CT51" i="115"/>
  <c r="CK48" i="115"/>
  <c r="CS44" i="115"/>
  <c r="CV39" i="115"/>
  <c r="CN35" i="115"/>
  <c r="CK31" i="115"/>
  <c r="CT23" i="115"/>
  <c r="CL17" i="115"/>
  <c r="DD17" i="115" s="1"/>
  <c r="CT11" i="115"/>
  <c r="CF49" i="115"/>
  <c r="CH26" i="115"/>
  <c r="CR52" i="115"/>
  <c r="DH52" i="115" s="1"/>
  <c r="CK49" i="115"/>
  <c r="CN45" i="115"/>
  <c r="CK40" i="115"/>
  <c r="CO35" i="115"/>
  <c r="DE35" i="115" s="1"/>
  <c r="CL31" i="115"/>
  <c r="CV23" i="115"/>
  <c r="CN17" i="115"/>
  <c r="CV11" i="115"/>
  <c r="CI54" i="115"/>
  <c r="CF33" i="115"/>
  <c r="CI6" i="115"/>
  <c r="CL53" i="115"/>
  <c r="CL49" i="115"/>
  <c r="CO45" i="115"/>
  <c r="CV41" i="115"/>
  <c r="DL41" i="115" s="1"/>
  <c r="CR36" i="115"/>
  <c r="CN31" i="115"/>
  <c r="CV25" i="115"/>
  <c r="CK19" i="115"/>
  <c r="CO12" i="115"/>
  <c r="CK7" i="115"/>
  <c r="CC55" i="115"/>
  <c r="CI33" i="115"/>
  <c r="CC12" i="115"/>
  <c r="CN49" i="115"/>
  <c r="CS36" i="115"/>
  <c r="CL19" i="115"/>
  <c r="CD35" i="115"/>
  <c r="CO42" i="115"/>
  <c r="CQ4" i="115"/>
  <c r="CS50" i="115"/>
  <c r="CP46" i="115"/>
  <c r="CP42" i="115"/>
  <c r="CP38" i="115"/>
  <c r="CL33" i="115"/>
  <c r="CR26" i="115"/>
  <c r="DH26" i="115" s="1"/>
  <c r="CN21" i="115"/>
  <c r="CO14" i="115"/>
  <c r="CV7" i="115"/>
  <c r="CJ40" i="115"/>
  <c r="CG19" i="115"/>
  <c r="CO53" i="115"/>
  <c r="CK42" i="115"/>
  <c r="CO26" i="115"/>
  <c r="CP12" i="115"/>
  <c r="CF12" i="115"/>
  <c r="CS4" i="115"/>
  <c r="CN51" i="115"/>
  <c r="CS47" i="115"/>
  <c r="CS43" i="115"/>
  <c r="CR38" i="115"/>
  <c r="CR34" i="115"/>
  <c r="CO28" i="115"/>
  <c r="CV21" i="115"/>
  <c r="CR16" i="115"/>
  <c r="CS9" i="115"/>
  <c r="CH47" i="115"/>
  <c r="CB21" i="115"/>
  <c r="CV45" i="115"/>
  <c r="CS31" i="115"/>
  <c r="CL7" i="115"/>
  <c r="CV5" i="115"/>
  <c r="CN5" i="115"/>
  <c r="CP4" i="115"/>
  <c r="CR50" i="115"/>
  <c r="CK46" i="115"/>
  <c r="CO38" i="115"/>
  <c r="CK33" i="115"/>
  <c r="CP26" i="115"/>
  <c r="CL21" i="115"/>
  <c r="CV13" i="115"/>
  <c r="CT7" i="115"/>
  <c r="CG40" i="115"/>
  <c r="CD19" i="115"/>
  <c r="CT4" i="115"/>
  <c r="DJ4" i="115" s="1"/>
  <c r="CO51" i="115"/>
  <c r="CT47" i="115"/>
  <c r="CT43" i="115"/>
  <c r="CS38" i="115"/>
  <c r="DI38" i="115" s="1"/>
  <c r="CS34" i="115"/>
  <c r="CP28" i="115"/>
  <c r="CO22" i="115"/>
  <c r="CK17" i="115"/>
  <c r="CT9" i="115"/>
  <c r="CB48" i="115"/>
  <c r="CE26" i="115"/>
  <c r="CB5" i="115"/>
  <c r="CJ48" i="115"/>
  <c r="CH34" i="115"/>
  <c r="CF20" i="115"/>
  <c r="CD6" i="115"/>
  <c r="CS52" i="115"/>
  <c r="CO49" i="115"/>
  <c r="CN47" i="115"/>
  <c r="CV43" i="115"/>
  <c r="CR40" i="115"/>
  <c r="DH40" i="115" s="1"/>
  <c r="CK37" i="115"/>
  <c r="CN33" i="115"/>
  <c r="CL29" i="115"/>
  <c r="CO24" i="115"/>
  <c r="CN19" i="115"/>
  <c r="CK15" i="115"/>
  <c r="CV9" i="115"/>
  <c r="CJ4" i="115"/>
  <c r="DL4" i="115" s="1"/>
  <c r="CI41" i="115"/>
  <c r="CG27" i="115"/>
  <c r="CE13" i="115"/>
  <c r="CK53" i="115"/>
  <c r="CK50" i="115"/>
  <c r="CO47" i="115"/>
  <c r="CK44" i="115"/>
  <c r="DC44" i="115" s="1"/>
  <c r="CS40" i="115"/>
  <c r="CL37" i="115"/>
  <c r="CO33" i="115"/>
  <c r="CN29" i="115"/>
  <c r="CP24" i="115"/>
  <c r="CS19" i="115"/>
  <c r="CL15" i="115"/>
  <c r="CO10" i="115"/>
  <c r="CV55" i="115"/>
  <c r="CN55" i="115"/>
  <c r="CR54" i="115"/>
  <c r="CE4" i="115"/>
  <c r="CE42" i="115"/>
  <c r="CC28" i="115"/>
  <c r="CJ13" i="115"/>
  <c r="CN53" i="115"/>
  <c r="CS51" i="115"/>
  <c r="CV49" i="115"/>
  <c r="CV47" i="115"/>
  <c r="CO46" i="115"/>
  <c r="CR44" i="115"/>
  <c r="CR42" i="115"/>
  <c r="CK41" i="115"/>
  <c r="CN39" i="115"/>
  <c r="CN37" i="115"/>
  <c r="DB37" i="115" s="1"/>
  <c r="CS35" i="115"/>
  <c r="CV33" i="115"/>
  <c r="CT31" i="115"/>
  <c r="CS29" i="115"/>
  <c r="CN27" i="115"/>
  <c r="CR24" i="115"/>
  <c r="CP22" i="115"/>
  <c r="CO20" i="115"/>
  <c r="CS17" i="115"/>
  <c r="CN15" i="115"/>
  <c r="CL13" i="115"/>
  <c r="CP10" i="115"/>
  <c r="CO8" i="115"/>
  <c r="CQ5" i="115"/>
  <c r="CP54" i="115"/>
  <c r="CD51" i="115"/>
  <c r="CC44" i="115"/>
  <c r="CB37" i="115"/>
  <c r="CJ29" i="115"/>
  <c r="CI22" i="115"/>
  <c r="CH15" i="115"/>
  <c r="CG8" i="115"/>
  <c r="CS42" i="115"/>
  <c r="CL41" i="115"/>
  <c r="CO39" i="115"/>
  <c r="CO37" i="115"/>
  <c r="CT35" i="115"/>
  <c r="CK34" i="115"/>
  <c r="DC34" i="115" s="1"/>
  <c r="CV31" i="115"/>
  <c r="CT29" i="115"/>
  <c r="CS27" i="115"/>
  <c r="CK25" i="115"/>
  <c r="CR22" i="115"/>
  <c r="CP20" i="115"/>
  <c r="CT17" i="115"/>
  <c r="CS15" i="115"/>
  <c r="CN13" i="115"/>
  <c r="CR10" i="115"/>
  <c r="CP8" i="115"/>
  <c r="CO6" i="115"/>
  <c r="CG51" i="115"/>
  <c r="CF44" i="115"/>
  <c r="CE37" i="115"/>
  <c r="CD30" i="115"/>
  <c r="CC23" i="115"/>
  <c r="CB16" i="115"/>
  <c r="CJ8" i="115"/>
  <c r="DL8" i="115" s="1"/>
  <c r="CV53" i="115"/>
  <c r="CV51" i="115"/>
  <c r="CO50" i="115"/>
  <c r="CR48" i="115"/>
  <c r="CK45" i="115"/>
  <c r="CN43" i="115"/>
  <c r="CN41" i="115"/>
  <c r="CS39" i="115"/>
  <c r="DI39" i="115" s="1"/>
  <c r="CV37" i="115"/>
  <c r="CV35" i="115"/>
  <c r="CO34" i="115"/>
  <c r="CR32" i="115"/>
  <c r="DH32" i="115" s="1"/>
  <c r="CV29" i="115"/>
  <c r="CT27" i="115"/>
  <c r="CS25" i="115"/>
  <c r="CK23" i="115"/>
  <c r="CR20" i="115"/>
  <c r="CP18" i="115"/>
  <c r="CT15" i="115"/>
  <c r="CS13" i="115"/>
  <c r="CN11" i="115"/>
  <c r="CR8" i="115"/>
  <c r="CP6" i="115"/>
  <c r="CF52" i="115"/>
  <c r="CE45" i="115"/>
  <c r="CD38" i="115"/>
  <c r="CC31" i="115"/>
  <c r="CB24" i="115"/>
  <c r="CJ16" i="115"/>
  <c r="CI9" i="115"/>
  <c r="CR46" i="115"/>
  <c r="CU5" i="115"/>
  <c r="CL4" i="115"/>
  <c r="CK52" i="115"/>
  <c r="CP50" i="115"/>
  <c r="CS48" i="115"/>
  <c r="CS46" i="115"/>
  <c r="CL45" i="115"/>
  <c r="CO43" i="115"/>
  <c r="CO41" i="115"/>
  <c r="DE41" i="115" s="1"/>
  <c r="CT39" i="115"/>
  <c r="CK38" i="115"/>
  <c r="CK36" i="115"/>
  <c r="CP34" i="115"/>
  <c r="DF34" i="115" s="1"/>
  <c r="CS32" i="115"/>
  <c r="DI32" i="115" s="1"/>
  <c r="CO30" i="115"/>
  <c r="CV27" i="115"/>
  <c r="CT25" i="115"/>
  <c r="CL23" i="115"/>
  <c r="CK21" i="115"/>
  <c r="CR18" i="115"/>
  <c r="CV15" i="115"/>
  <c r="CT13" i="115"/>
  <c r="DJ13" i="115" s="1"/>
  <c r="CS11" i="115"/>
  <c r="CK9" i="115"/>
  <c r="CR6" i="115"/>
  <c r="CB53" i="115"/>
  <c r="CJ45" i="115"/>
  <c r="CI38" i="115"/>
  <c r="CH31" i="115"/>
  <c r="CG24" i="115"/>
  <c r="CF17" i="115"/>
  <c r="CE10" i="115"/>
  <c r="CP55" i="115"/>
  <c r="DF55" i="115" s="1"/>
  <c r="CH55" i="115"/>
  <c r="CC52" i="115"/>
  <c r="CG48" i="115"/>
  <c r="CB45" i="115"/>
  <c r="CF41" i="115"/>
  <c r="DG41" i="115" s="1"/>
  <c r="CJ37" i="115"/>
  <c r="CE34" i="115"/>
  <c r="CI30" i="115"/>
  <c r="CD27" i="115"/>
  <c r="DB27" i="115" s="1"/>
  <c r="CH23" i="115"/>
  <c r="CC20" i="115"/>
  <c r="CG16" i="115"/>
  <c r="CB13" i="115"/>
  <c r="CF9" i="115"/>
  <c r="CJ5" i="115"/>
  <c r="CB4" i="115"/>
  <c r="CE53" i="115"/>
  <c r="CI49" i="115"/>
  <c r="CD46" i="115"/>
  <c r="CH42" i="115"/>
  <c r="CC39" i="115"/>
  <c r="CG35" i="115"/>
  <c r="CB32" i="115"/>
  <c r="CF28" i="115"/>
  <c r="CJ24" i="115"/>
  <c r="CE21" i="115"/>
  <c r="CI17" i="115"/>
  <c r="CD14" i="115"/>
  <c r="CH10" i="115"/>
  <c r="CI5" i="115"/>
  <c r="CH6" i="115"/>
  <c r="CG7" i="115"/>
  <c r="CF8" i="115"/>
  <c r="CE9" i="115"/>
  <c r="CD10" i="115"/>
  <c r="CC11" i="115"/>
  <c r="CB12" i="115"/>
  <c r="CJ12" i="115"/>
  <c r="CI13" i="115"/>
  <c r="CH14" i="115"/>
  <c r="CG15" i="115"/>
  <c r="CF16" i="115"/>
  <c r="CE17" i="115"/>
  <c r="CD18" i="115"/>
  <c r="CC19" i="115"/>
  <c r="CB20" i="115"/>
  <c r="CJ20" i="115"/>
  <c r="CI21" i="115"/>
  <c r="CH22" i="115"/>
  <c r="CG23" i="115"/>
  <c r="CF24" i="115"/>
  <c r="CE25" i="115"/>
  <c r="CD26" i="115"/>
  <c r="CC27" i="115"/>
  <c r="CB28" i="115"/>
  <c r="CJ28" i="115"/>
  <c r="CI29" i="115"/>
  <c r="CH30" i="115"/>
  <c r="CG31" i="115"/>
  <c r="CF32" i="115"/>
  <c r="CE33" i="115"/>
  <c r="CD34" i="115"/>
  <c r="CC35" i="115"/>
  <c r="CB36" i="115"/>
  <c r="CJ36" i="115"/>
  <c r="CI37" i="115"/>
  <c r="CH38" i="115"/>
  <c r="CG39" i="115"/>
  <c r="CF40" i="115"/>
  <c r="CE41" i="115"/>
  <c r="CD42" i="115"/>
  <c r="CC43" i="115"/>
  <c r="CB44" i="115"/>
  <c r="CY44" i="115" s="1"/>
  <c r="CJ44" i="115"/>
  <c r="CI45" i="115"/>
  <c r="CH46" i="115"/>
  <c r="CG47" i="115"/>
  <c r="CF48" i="115"/>
  <c r="CE49" i="115"/>
  <c r="CD50" i="115"/>
  <c r="CC51" i="115"/>
  <c r="CB52" i="115"/>
  <c r="CJ52" i="115"/>
  <c r="CI53" i="115"/>
  <c r="CH54" i="115"/>
  <c r="CG55" i="115"/>
  <c r="CF4" i="115"/>
  <c r="CK54" i="115"/>
  <c r="CV54" i="115"/>
  <c r="CT55" i="115"/>
  <c r="CN6" i="115"/>
  <c r="CV6" i="115"/>
  <c r="CR7" i="115"/>
  <c r="CN8" i="115"/>
  <c r="CV8" i="115"/>
  <c r="CR9" i="115"/>
  <c r="CN10" i="115"/>
  <c r="CV10" i="115"/>
  <c r="CR11" i="115"/>
  <c r="CN12" i="115"/>
  <c r="CV12" i="115"/>
  <c r="CR13" i="115"/>
  <c r="CN14" i="115"/>
  <c r="CV14" i="115"/>
  <c r="CR15" i="115"/>
  <c r="DH15" i="115" s="1"/>
  <c r="CN16" i="115"/>
  <c r="CV16" i="115"/>
  <c r="CR17" i="115"/>
  <c r="CN18" i="115"/>
  <c r="CV18" i="115"/>
  <c r="CR19" i="115"/>
  <c r="CN20" i="115"/>
  <c r="CV20" i="115"/>
  <c r="CR21" i="115"/>
  <c r="CN22" i="115"/>
  <c r="CV22" i="115"/>
  <c r="CR23" i="115"/>
  <c r="CN24" i="115"/>
  <c r="CV24" i="115"/>
  <c r="CR25" i="115"/>
  <c r="DH25" i="115" s="1"/>
  <c r="CN26" i="115"/>
  <c r="DB26" i="115" s="1"/>
  <c r="CV26" i="115"/>
  <c r="CR27" i="115"/>
  <c r="DH27" i="115" s="1"/>
  <c r="CN28" i="115"/>
  <c r="DB28" i="115" s="1"/>
  <c r="CV28" i="115"/>
  <c r="CR29" i="115"/>
  <c r="CN30" i="115"/>
  <c r="CV30" i="115"/>
  <c r="CR31" i="115"/>
  <c r="CN32" i="115"/>
  <c r="CV32" i="115"/>
  <c r="CR33" i="115"/>
  <c r="DH33" i="115" s="1"/>
  <c r="CN34" i="115"/>
  <c r="DB34" i="115" s="1"/>
  <c r="CV34" i="115"/>
  <c r="CR35" i="115"/>
  <c r="DH35" i="115" s="1"/>
  <c r="CN36" i="115"/>
  <c r="DB36" i="115" s="1"/>
  <c r="CV36" i="115"/>
  <c r="DL36" i="115" s="1"/>
  <c r="CR37" i="115"/>
  <c r="CN38" i="115"/>
  <c r="CV38" i="115"/>
  <c r="CR39" i="115"/>
  <c r="CN40" i="115"/>
  <c r="CV40" i="115"/>
  <c r="CR41" i="115"/>
  <c r="CN42" i="115"/>
  <c r="DB42" i="115" s="1"/>
  <c r="CV42" i="115"/>
  <c r="CR43" i="115"/>
  <c r="CN44" i="115"/>
  <c r="CV44" i="115"/>
  <c r="DL44" i="115" s="1"/>
  <c r="CR45" i="115"/>
  <c r="CN46" i="115"/>
  <c r="CV46" i="115"/>
  <c r="CR47" i="115"/>
  <c r="CN48" i="115"/>
  <c r="CV48" i="115"/>
  <c r="CR49" i="115"/>
  <c r="CN50" i="115"/>
  <c r="CV50" i="115"/>
  <c r="CR51" i="115"/>
  <c r="CN52" i="115"/>
  <c r="CV52" i="115"/>
  <c r="CR53" i="115"/>
  <c r="CO4" i="115"/>
  <c r="CK4" i="115"/>
  <c r="DC4" i="115" s="1"/>
  <c r="CL36" i="115"/>
  <c r="CB9" i="115"/>
  <c r="CI10" i="115"/>
  <c r="CG12" i="115"/>
  <c r="CE14" i="115"/>
  <c r="CB17" i="115"/>
  <c r="CI18" i="115"/>
  <c r="CG20" i="115"/>
  <c r="CE22" i="115"/>
  <c r="CC24" i="115"/>
  <c r="CJ25" i="115"/>
  <c r="CH27" i="115"/>
  <c r="CF29" i="115"/>
  <c r="CC32" i="115"/>
  <c r="CJ33" i="115"/>
  <c r="CH35" i="115"/>
  <c r="CF37" i="115"/>
  <c r="CC40" i="115"/>
  <c r="CI42" i="115"/>
  <c r="CG44" i="115"/>
  <c r="CD47" i="115"/>
  <c r="CJ49" i="115"/>
  <c r="CG52" i="115"/>
  <c r="CD55" i="115"/>
  <c r="CS6" i="115"/>
  <c r="CS8" i="115"/>
  <c r="CS10" i="115"/>
  <c r="CO13" i="115"/>
  <c r="CK16" i="115"/>
  <c r="CK18" i="115"/>
  <c r="CK20" i="115"/>
  <c r="CK22" i="115"/>
  <c r="CK24" i="115"/>
  <c r="CK26" i="115"/>
  <c r="DC26" i="115" s="1"/>
  <c r="CK28" i="115"/>
  <c r="CK30" i="115"/>
  <c r="CK32" i="115"/>
  <c r="DC32" i="115" s="1"/>
  <c r="CG6" i="115"/>
  <c r="CF7" i="115"/>
  <c r="CE8" i="115"/>
  <c r="DF8" i="115" s="1"/>
  <c r="CD9" i="115"/>
  <c r="CC10" i="115"/>
  <c r="CB11" i="115"/>
  <c r="CJ11" i="115"/>
  <c r="CI12" i="115"/>
  <c r="DK12" i="115" s="1"/>
  <c r="CH13" i="115"/>
  <c r="CG14" i="115"/>
  <c r="CF15" i="115"/>
  <c r="CE16" i="115"/>
  <c r="CD17" i="115"/>
  <c r="CC18" i="115"/>
  <c r="CB19" i="115"/>
  <c r="CZ19" i="115" s="1"/>
  <c r="CJ19" i="115"/>
  <c r="CI20" i="115"/>
  <c r="CH21" i="115"/>
  <c r="CG22" i="115"/>
  <c r="CF23" i="115"/>
  <c r="DG23" i="115" s="1"/>
  <c r="L54" i="5" s="1"/>
  <c r="CE24" i="115"/>
  <c r="CD25" i="115"/>
  <c r="CC26" i="115"/>
  <c r="CB27" i="115"/>
  <c r="CJ27" i="115"/>
  <c r="CI28" i="115"/>
  <c r="CH29" i="115"/>
  <c r="CG30" i="115"/>
  <c r="CF31" i="115"/>
  <c r="CE32" i="115"/>
  <c r="CD33" i="115"/>
  <c r="DB33" i="115" s="1"/>
  <c r="CC34" i="115"/>
  <c r="CB35" i="115"/>
  <c r="CJ35" i="115"/>
  <c r="CI36" i="115"/>
  <c r="CH37" i="115"/>
  <c r="CG38" i="115"/>
  <c r="CF39" i="115"/>
  <c r="CE40" i="115"/>
  <c r="DC40" i="115" s="1"/>
  <c r="CD41" i="115"/>
  <c r="CC42" i="115"/>
  <c r="CB43" i="115"/>
  <c r="CJ43" i="115"/>
  <c r="CI44" i="115"/>
  <c r="DK44" i="115" s="1"/>
  <c r="CH45" i="115"/>
  <c r="CG46" i="115"/>
  <c r="CF47" i="115"/>
  <c r="CE48" i="115"/>
  <c r="DC48" i="115" s="1"/>
  <c r="CD49" i="115"/>
  <c r="CC50" i="115"/>
  <c r="CB51" i="115"/>
  <c r="CJ51" i="115"/>
  <c r="CI52" i="115"/>
  <c r="CH53" i="115"/>
  <c r="CG54" i="115"/>
  <c r="CF55" i="115"/>
  <c r="CG4" i="115"/>
  <c r="CU54" i="115"/>
  <c r="DK54" i="115" s="1"/>
  <c r="CS55" i="115"/>
  <c r="CM6" i="115"/>
  <c r="CU6" i="115"/>
  <c r="CQ7" i="115"/>
  <c r="CM8" i="115"/>
  <c r="CU8" i="115"/>
  <c r="CQ9" i="115"/>
  <c r="CM10" i="115"/>
  <c r="CU10" i="115"/>
  <c r="DK10" i="115" s="1"/>
  <c r="CQ11" i="115"/>
  <c r="CM12" i="115"/>
  <c r="CU12" i="115"/>
  <c r="CQ13" i="115"/>
  <c r="CM14" i="115"/>
  <c r="CU14" i="115"/>
  <c r="CQ15" i="115"/>
  <c r="CM16" i="115"/>
  <c r="CU16" i="115"/>
  <c r="CQ17" i="115"/>
  <c r="DG17" i="115" s="1"/>
  <c r="CM18" i="115"/>
  <c r="DA18" i="115" s="1"/>
  <c r="CU18" i="115"/>
  <c r="DK18" i="115" s="1"/>
  <c r="CQ19" i="115"/>
  <c r="CM20" i="115"/>
  <c r="DA20" i="115" s="1"/>
  <c r="CU20" i="115"/>
  <c r="CQ21" i="115"/>
  <c r="CM22" i="115"/>
  <c r="CU22" i="115"/>
  <c r="CQ23" i="115"/>
  <c r="CM24" i="115"/>
  <c r="DA24" i="115" s="1"/>
  <c r="CU24" i="115"/>
  <c r="CQ25" i="115"/>
  <c r="CM26" i="115"/>
  <c r="CU26" i="115"/>
  <c r="CQ27" i="115"/>
  <c r="CM28" i="115"/>
  <c r="CU28" i="115"/>
  <c r="CQ29" i="115"/>
  <c r="CM30" i="115"/>
  <c r="DA30" i="115" s="1"/>
  <c r="CU30" i="115"/>
  <c r="CQ31" i="115"/>
  <c r="DG31" i="115" s="1"/>
  <c r="CM32" i="115"/>
  <c r="DA32" i="115" s="1"/>
  <c r="CU32" i="115"/>
  <c r="CQ33" i="115"/>
  <c r="CM34" i="115"/>
  <c r="CU34" i="115"/>
  <c r="CQ35" i="115"/>
  <c r="CM36" i="115"/>
  <c r="CU36" i="115"/>
  <c r="CQ37" i="115"/>
  <c r="CM38" i="115"/>
  <c r="DA38" i="115" s="1"/>
  <c r="CU38" i="115"/>
  <c r="DK38" i="115" s="1"/>
  <c r="CQ39" i="115"/>
  <c r="DG39" i="115" s="1"/>
  <c r="CM40" i="115"/>
  <c r="DA40" i="115" s="1"/>
  <c r="CU40" i="115"/>
  <c r="DK40" i="115" s="1"/>
  <c r="CQ41" i="115"/>
  <c r="CM42" i="115"/>
  <c r="DA42" i="115" s="1"/>
  <c r="CU42" i="115"/>
  <c r="DK42" i="115" s="1"/>
  <c r="CQ43" i="115"/>
  <c r="CM44" i="115"/>
  <c r="CU44" i="115"/>
  <c r="CQ45" i="115"/>
  <c r="DG45" i="115" s="1"/>
  <c r="CM46" i="115"/>
  <c r="CU46" i="115"/>
  <c r="CQ47" i="115"/>
  <c r="CM48" i="115"/>
  <c r="CU48" i="115"/>
  <c r="DK48" i="115" s="1"/>
  <c r="CQ49" i="115"/>
  <c r="DG49" i="115" s="1"/>
  <c r="CM50" i="115"/>
  <c r="CU50" i="115"/>
  <c r="CQ51" i="115"/>
  <c r="DG51" i="115" s="1"/>
  <c r="CM52" i="115"/>
  <c r="DA52" i="115" s="1"/>
  <c r="CU52" i="115"/>
  <c r="DK52" i="115" s="1"/>
  <c r="CQ53" i="115"/>
  <c r="DG53" i="115" s="1"/>
  <c r="CN4" i="115"/>
  <c r="CV4" i="115"/>
  <c r="CP39" i="115"/>
  <c r="CE6" i="115"/>
  <c r="CC8" i="115"/>
  <c r="CJ9" i="115"/>
  <c r="CH11" i="115"/>
  <c r="CF13" i="115"/>
  <c r="CD15" i="115"/>
  <c r="CC16" i="115"/>
  <c r="CJ17" i="115"/>
  <c r="CH19" i="115"/>
  <c r="CF21" i="115"/>
  <c r="CD23" i="115"/>
  <c r="CB25" i="115"/>
  <c r="CI26" i="115"/>
  <c r="CG28" i="115"/>
  <c r="CD31" i="115"/>
  <c r="CB33" i="115"/>
  <c r="CI34" i="115"/>
  <c r="CG36" i="115"/>
  <c r="DH36" i="115" s="1"/>
  <c r="CD39" i="115"/>
  <c r="CB41" i="115"/>
  <c r="CH43" i="115"/>
  <c r="CE46" i="115"/>
  <c r="DC46" i="115" s="1"/>
  <c r="CB49" i="115"/>
  <c r="CH51" i="115"/>
  <c r="CE54" i="115"/>
  <c r="CS54" i="115"/>
  <c r="DI54" i="115" s="1"/>
  <c r="CO7" i="115"/>
  <c r="CO9" i="115"/>
  <c r="CO11" i="115"/>
  <c r="DE11" i="115" s="1"/>
  <c r="CS12" i="115"/>
  <c r="DI12" i="115" s="1"/>
  <c r="CS14" i="115"/>
  <c r="CO17" i="115"/>
  <c r="CO19" i="115"/>
  <c r="CO21" i="115"/>
  <c r="CO23" i="115"/>
  <c r="CO25" i="115"/>
  <c r="CO27" i="115"/>
  <c r="DE27" i="115" s="1"/>
  <c r="CO29" i="115"/>
  <c r="DE29" i="115" s="1"/>
  <c r="CO31" i="115"/>
  <c r="CG5" i="115"/>
  <c r="CF6" i="115"/>
  <c r="CE7" i="115"/>
  <c r="CD8" i="115"/>
  <c r="CC9" i="115"/>
  <c r="CB10" i="115"/>
  <c r="CJ10" i="115"/>
  <c r="CI11" i="115"/>
  <c r="CH12" i="115"/>
  <c r="CG13" i="115"/>
  <c r="CF14" i="115"/>
  <c r="CE15" i="115"/>
  <c r="CD16" i="115"/>
  <c r="CC17" i="115"/>
  <c r="CB18" i="115"/>
  <c r="CJ18" i="115"/>
  <c r="CI19" i="115"/>
  <c r="CH20" i="115"/>
  <c r="CG21" i="115"/>
  <c r="CF22" i="115"/>
  <c r="CE23" i="115"/>
  <c r="CD24" i="115"/>
  <c r="CC25" i="115"/>
  <c r="CB26" i="115"/>
  <c r="CJ26" i="115"/>
  <c r="CI27" i="115"/>
  <c r="CH28" i="115"/>
  <c r="CG29" i="115"/>
  <c r="CF30" i="115"/>
  <c r="CE31" i="115"/>
  <c r="CD32" i="115"/>
  <c r="CC33" i="115"/>
  <c r="CB34" i="115"/>
  <c r="CJ34" i="115"/>
  <c r="CI35" i="115"/>
  <c r="CH36" i="115"/>
  <c r="CG37" i="115"/>
  <c r="CF38" i="115"/>
  <c r="CE39" i="115"/>
  <c r="CD40" i="115"/>
  <c r="CC41" i="115"/>
  <c r="CB42" i="115"/>
  <c r="CZ42" i="115" s="1"/>
  <c r="CJ42" i="115"/>
  <c r="CI43" i="115"/>
  <c r="CH44" i="115"/>
  <c r="CG45" i="115"/>
  <c r="CF46" i="115"/>
  <c r="CE47" i="115"/>
  <c r="CD48" i="115"/>
  <c r="CC49" i="115"/>
  <c r="CB50" i="115"/>
  <c r="CJ50" i="115"/>
  <c r="CI51" i="115"/>
  <c r="CH52" i="115"/>
  <c r="CG53" i="115"/>
  <c r="CF54" i="115"/>
  <c r="CE55" i="115"/>
  <c r="CH4" i="115"/>
  <c r="DI4" i="115" s="1"/>
  <c r="CT54" i="115"/>
  <c r="CR55" i="115"/>
  <c r="CL6" i="115"/>
  <c r="CT6" i="115"/>
  <c r="CP7" i="115"/>
  <c r="CL8" i="115"/>
  <c r="CT8" i="115"/>
  <c r="CP9" i="115"/>
  <c r="DF9" i="115" s="1"/>
  <c r="L52" i="5" s="1"/>
  <c r="CL10" i="115"/>
  <c r="CT10" i="115"/>
  <c r="DJ10" i="115" s="1"/>
  <c r="CP11" i="115"/>
  <c r="CL12" i="115"/>
  <c r="CT12" i="115"/>
  <c r="CP13" i="115"/>
  <c r="CL14" i="115"/>
  <c r="CT14" i="115"/>
  <c r="CP15" i="115"/>
  <c r="CL16" i="115"/>
  <c r="CY16" i="115" s="1"/>
  <c r="CT16" i="115"/>
  <c r="CP17" i="115"/>
  <c r="DF17" i="115" s="1"/>
  <c r="CL18" i="115"/>
  <c r="CT18" i="115"/>
  <c r="DJ18" i="115" s="1"/>
  <c r="CP19" i="115"/>
  <c r="CL20" i="115"/>
  <c r="CZ20" i="115" s="1"/>
  <c r="CT20" i="115"/>
  <c r="CP21" i="115"/>
  <c r="CL22" i="115"/>
  <c r="CT22" i="115"/>
  <c r="CP23" i="115"/>
  <c r="CL24" i="115"/>
  <c r="CT24" i="115"/>
  <c r="CP25" i="115"/>
  <c r="DF25" i="115" s="1"/>
  <c r="CL26" i="115"/>
  <c r="CY26" i="115" s="1"/>
  <c r="CT26" i="115"/>
  <c r="CP27" i="115"/>
  <c r="CL28" i="115"/>
  <c r="DD28" i="115" s="1"/>
  <c r="CT28" i="115"/>
  <c r="CP29" i="115"/>
  <c r="CL30" i="115"/>
  <c r="CT30" i="115"/>
  <c r="DJ30" i="115" s="1"/>
  <c r="CP31" i="115"/>
  <c r="CL32" i="115"/>
  <c r="CY32" i="115" s="1"/>
  <c r="CT32" i="115"/>
  <c r="CP33" i="115"/>
  <c r="CL34" i="115"/>
  <c r="DD34" i="115" s="1"/>
  <c r="CT34" i="115"/>
  <c r="CP35" i="115"/>
  <c r="CT36" i="115"/>
  <c r="DJ36" i="115" s="1"/>
  <c r="CP37" i="115"/>
  <c r="DF37" i="115" s="1"/>
  <c r="CL38" i="115"/>
  <c r="CY38" i="115" s="1"/>
  <c r="CT38" i="115"/>
  <c r="DJ38" i="115" s="1"/>
  <c r="CL40" i="115"/>
  <c r="CT40" i="115"/>
  <c r="DJ40" i="115" s="1"/>
  <c r="CP41" i="115"/>
  <c r="CL42" i="115"/>
  <c r="CT42" i="115"/>
  <c r="DJ42" i="115" s="1"/>
  <c r="CP43" i="115"/>
  <c r="DF43" i="115" s="1"/>
  <c r="CL44" i="115"/>
  <c r="CZ44" i="115" s="1"/>
  <c r="CT44" i="115"/>
  <c r="CP45" i="115"/>
  <c r="CL46" i="115"/>
  <c r="CY46" i="115" s="1"/>
  <c r="CT46" i="115"/>
  <c r="CP47" i="115"/>
  <c r="CL48" i="115"/>
  <c r="CZ48" i="115" s="1"/>
  <c r="CT48" i="115"/>
  <c r="DJ48" i="115" s="1"/>
  <c r="CP49" i="115"/>
  <c r="CL50" i="115"/>
  <c r="CT50" i="115"/>
  <c r="CP51" i="115"/>
  <c r="CL52" i="115"/>
  <c r="CZ52" i="115" s="1"/>
  <c r="CT52" i="115"/>
  <c r="DJ52" i="115" s="1"/>
  <c r="CP53" i="115"/>
  <c r="CM4" i="115"/>
  <c r="CU4" i="115"/>
  <c r="CD7" i="115"/>
  <c r="CE30" i="115"/>
  <c r="CE38" i="115"/>
  <c r="CJ41" i="115"/>
  <c r="CF45" i="115"/>
  <c r="CC48" i="115"/>
  <c r="CI50" i="115"/>
  <c r="CF53" i="115"/>
  <c r="CI4" i="115"/>
  <c r="CQ55" i="115"/>
  <c r="CK6" i="115"/>
  <c r="CK8" i="115"/>
  <c r="CK10" i="115"/>
  <c r="CK12" i="115"/>
  <c r="CK14" i="115"/>
  <c r="DC14" i="115" s="1"/>
  <c r="CO15" i="115"/>
  <c r="CS16" i="115"/>
  <c r="CS18" i="115"/>
  <c r="CS20" i="115"/>
  <c r="CS22" i="115"/>
  <c r="CS24" i="115"/>
  <c r="CS26" i="115"/>
  <c r="DI26" i="115" s="1"/>
  <c r="CS28" i="115"/>
  <c r="DI28" i="115" s="1"/>
  <c r="CS30" i="115"/>
  <c r="CC6" i="115"/>
  <c r="CB7" i="115"/>
  <c r="CJ7" i="115"/>
  <c r="CI8" i="115"/>
  <c r="CH9" i="115"/>
  <c r="CG10" i="115"/>
  <c r="DH10" i="115" s="1"/>
  <c r="CF11" i="115"/>
  <c r="CE12" i="115"/>
  <c r="DF12" i="115" s="1"/>
  <c r="CD13" i="115"/>
  <c r="CC14" i="115"/>
  <c r="CB15" i="115"/>
  <c r="CJ15" i="115"/>
  <c r="CI16" i="115"/>
  <c r="CH17" i="115"/>
  <c r="CG18" i="115"/>
  <c r="CF19" i="115"/>
  <c r="CE20" i="115"/>
  <c r="CD21" i="115"/>
  <c r="CC22" i="115"/>
  <c r="CB23" i="115"/>
  <c r="CJ23" i="115"/>
  <c r="CI24" i="115"/>
  <c r="DJ24" i="115" s="1"/>
  <c r="CH25" i="115"/>
  <c r="CG26" i="115"/>
  <c r="CF27" i="115"/>
  <c r="CE28" i="115"/>
  <c r="CD29" i="115"/>
  <c r="CC30" i="115"/>
  <c r="CB31" i="115"/>
  <c r="CY31" i="115" s="1"/>
  <c r="CJ31" i="115"/>
  <c r="CI32" i="115"/>
  <c r="CH33" i="115"/>
  <c r="CG34" i="115"/>
  <c r="CF35" i="115"/>
  <c r="CE36" i="115"/>
  <c r="CD37" i="115"/>
  <c r="CC38" i="115"/>
  <c r="CB39" i="115"/>
  <c r="CJ39" i="115"/>
  <c r="CI40" i="115"/>
  <c r="CH41" i="115"/>
  <c r="CG42" i="115"/>
  <c r="CF43" i="115"/>
  <c r="CE44" i="115"/>
  <c r="CD45" i="115"/>
  <c r="CC46" i="115"/>
  <c r="CB47" i="115"/>
  <c r="CJ47" i="115"/>
  <c r="CI48" i="115"/>
  <c r="CH49" i="115"/>
  <c r="CG50" i="115"/>
  <c r="CF51" i="115"/>
  <c r="CE52" i="115"/>
  <c r="CD53" i="115"/>
  <c r="CC54" i="115"/>
  <c r="CB55" i="115"/>
  <c r="CJ55" i="115"/>
  <c r="CC4" i="115"/>
  <c r="CN54" i="115"/>
  <c r="CL55" i="115"/>
  <c r="CY55" i="115" s="1"/>
  <c r="CM5" i="115"/>
  <c r="CQ6" i="115"/>
  <c r="CM7" i="115"/>
  <c r="DA7" i="115" s="1"/>
  <c r="CU7" i="115"/>
  <c r="CQ8" i="115"/>
  <c r="CM9" i="115"/>
  <c r="DA9" i="115" s="1"/>
  <c r="CU9" i="115"/>
  <c r="CQ10" i="115"/>
  <c r="CM11" i="115"/>
  <c r="CU11" i="115"/>
  <c r="DK11" i="115" s="1"/>
  <c r="CQ12" i="115"/>
  <c r="DG12" i="115" s="1"/>
  <c r="CM13" i="115"/>
  <c r="CU13" i="115"/>
  <c r="DK13" i="115" s="1"/>
  <c r="CQ14" i="115"/>
  <c r="CM15" i="115"/>
  <c r="CU15" i="115"/>
  <c r="CQ16" i="115"/>
  <c r="CM17" i="115"/>
  <c r="DA17" i="115" s="1"/>
  <c r="CU17" i="115"/>
  <c r="DK17" i="115" s="1"/>
  <c r="CQ18" i="115"/>
  <c r="CM19" i="115"/>
  <c r="CU19" i="115"/>
  <c r="DK19" i="115" s="1"/>
  <c r="CQ20" i="115"/>
  <c r="CM21" i="115"/>
  <c r="CU21" i="115"/>
  <c r="CQ22" i="115"/>
  <c r="DG22" i="115" s="1"/>
  <c r="CM23" i="115"/>
  <c r="CU23" i="115"/>
  <c r="CQ24" i="115"/>
  <c r="CM25" i="115"/>
  <c r="CU25" i="115"/>
  <c r="CQ26" i="115"/>
  <c r="CM27" i="115"/>
  <c r="DA27" i="115" s="1"/>
  <c r="CU27" i="115"/>
  <c r="CQ28" i="115"/>
  <c r="DG28" i="115" s="1"/>
  <c r="CM29" i="115"/>
  <c r="CU29" i="115"/>
  <c r="CQ30" i="115"/>
  <c r="DG30" i="115" s="1"/>
  <c r="CM31" i="115"/>
  <c r="CU31" i="115"/>
  <c r="CQ32" i="115"/>
  <c r="CM33" i="115"/>
  <c r="DA33" i="115" s="1"/>
  <c r="CU33" i="115"/>
  <c r="DK33" i="115" s="1"/>
  <c r="CQ34" i="115"/>
  <c r="CM35" i="115"/>
  <c r="DA35" i="115" s="1"/>
  <c r="CU35" i="115"/>
  <c r="CQ36" i="115"/>
  <c r="DG36" i="115" s="1"/>
  <c r="CM37" i="115"/>
  <c r="CU37" i="115"/>
  <c r="DK37" i="115" s="1"/>
  <c r="CQ38" i="115"/>
  <c r="DG38" i="115" s="1"/>
  <c r="CM39" i="115"/>
  <c r="DA39" i="115" s="1"/>
  <c r="CU39" i="115"/>
  <c r="CQ40" i="115"/>
  <c r="CM41" i="115"/>
  <c r="DA41" i="115" s="1"/>
  <c r="CU41" i="115"/>
  <c r="DK41" i="115" s="1"/>
  <c r="CQ42" i="115"/>
  <c r="CM43" i="115"/>
  <c r="CU43" i="115"/>
  <c r="DK43" i="115" s="1"/>
  <c r="CQ44" i="115"/>
  <c r="DG44" i="115" s="1"/>
  <c r="CM45" i="115"/>
  <c r="CU45" i="115"/>
  <c r="DK45" i="115" s="1"/>
  <c r="CQ46" i="115"/>
  <c r="CM47" i="115"/>
  <c r="DA47" i="115" s="1"/>
  <c r="CU47" i="115"/>
  <c r="CQ48" i="115"/>
  <c r="DG48" i="115" s="1"/>
  <c r="CM49" i="115"/>
  <c r="CU49" i="115"/>
  <c r="CQ50" i="115"/>
  <c r="CM51" i="115"/>
  <c r="CU51" i="115"/>
  <c r="CQ52" i="115"/>
  <c r="DG52" i="115" s="1"/>
  <c r="CM53" i="115"/>
  <c r="CU53" i="115"/>
  <c r="CR4" i="115"/>
  <c r="DH4" i="115" s="1"/>
  <c r="CB6" i="115"/>
  <c r="CJ6" i="115"/>
  <c r="CI7" i="115"/>
  <c r="CH8" i="115"/>
  <c r="CG9" i="115"/>
  <c r="CF10" i="115"/>
  <c r="CE11" i="115"/>
  <c r="CD12" i="115"/>
  <c r="CC13" i="115"/>
  <c r="CB14" i="115"/>
  <c r="CJ14" i="115"/>
  <c r="CI15" i="115"/>
  <c r="CH16" i="115"/>
  <c r="CG17" i="115"/>
  <c r="CF18" i="115"/>
  <c r="CE19" i="115"/>
  <c r="CD20" i="115"/>
  <c r="CC21" i="115"/>
  <c r="CB22" i="115"/>
  <c r="CJ22" i="115"/>
  <c r="CI23" i="115"/>
  <c r="CH24" i="115"/>
  <c r="DI24" i="115" s="1"/>
  <c r="CG25" i="115"/>
  <c r="CF26" i="115"/>
  <c r="CE27" i="115"/>
  <c r="CD28" i="115"/>
  <c r="CC29" i="115"/>
  <c r="CB30" i="115"/>
  <c r="CJ30" i="115"/>
  <c r="CI31" i="115"/>
  <c r="CH32" i="115"/>
  <c r="CG33" i="115"/>
  <c r="CF34" i="115"/>
  <c r="CE35" i="115"/>
  <c r="DF35" i="115" s="1"/>
  <c r="CD36" i="115"/>
  <c r="CC37" i="115"/>
  <c r="CB38" i="115"/>
  <c r="CJ38" i="115"/>
  <c r="CI39" i="115"/>
  <c r="CH40" i="115"/>
  <c r="CG41" i="115"/>
  <c r="DH41" i="115" s="1"/>
  <c r="CF42" i="115"/>
  <c r="CE43" i="115"/>
  <c r="CD44" i="115"/>
  <c r="DB44" i="115" s="1"/>
  <c r="CC45" i="115"/>
  <c r="CB46" i="115"/>
  <c r="CJ46" i="115"/>
  <c r="CI47" i="115"/>
  <c r="DK47" i="115" s="1"/>
  <c r="CH48" i="115"/>
  <c r="CG49" i="115"/>
  <c r="CF50" i="115"/>
  <c r="CE51" i="115"/>
  <c r="CD52" i="115"/>
  <c r="CC53" i="115"/>
  <c r="DA53" i="115" s="1"/>
  <c r="CB54" i="115"/>
  <c r="CJ54" i="115"/>
  <c r="CI55" i="115"/>
  <c r="CD4" i="115"/>
  <c r="CM54" i="115"/>
  <c r="CK55" i="115"/>
  <c r="DC55" i="115" s="1"/>
  <c r="CS53" i="115"/>
  <c r="DI53" i="115" s="1"/>
  <c r="CO52" i="115"/>
  <c r="DE52" i="115" s="1"/>
  <c r="CK51" i="115"/>
  <c r="CS49" i="115"/>
  <c r="DI49" i="115" s="1"/>
  <c r="CO48" i="115"/>
  <c r="CK47" i="115"/>
  <c r="DC47" i="115" s="1"/>
  <c r="CS45" i="115"/>
  <c r="DI45" i="115" s="1"/>
  <c r="CO44" i="115"/>
  <c r="CK43" i="115"/>
  <c r="CS41" i="115"/>
  <c r="DI41" i="115" s="1"/>
  <c r="CO40" i="115"/>
  <c r="DE40" i="115" s="1"/>
  <c r="CK39" i="115"/>
  <c r="CS37" i="115"/>
  <c r="DI37" i="115" s="1"/>
  <c r="CO36" i="115"/>
  <c r="CK35" i="115"/>
  <c r="CS33" i="115"/>
  <c r="DI33" i="115" s="1"/>
  <c r="CO32" i="115"/>
  <c r="DE32" i="115" s="1"/>
  <c r="CP30" i="115"/>
  <c r="CR28" i="115"/>
  <c r="CK27" i="115"/>
  <c r="CL25" i="115"/>
  <c r="CY25" i="115" s="1"/>
  <c r="CN23" i="115"/>
  <c r="DB23" i="115" s="1"/>
  <c r="CS21" i="115"/>
  <c r="CT19" i="115"/>
  <c r="DJ19" i="115" s="1"/>
  <c r="CV17" i="115"/>
  <c r="DL17" i="115" s="1"/>
  <c r="CO16" i="115"/>
  <c r="DE16" i="115" s="1"/>
  <c r="CP14" i="115"/>
  <c r="CR12" i="115"/>
  <c r="DH12" i="115" s="1"/>
  <c r="CK11" i="115"/>
  <c r="DC11" i="115" s="1"/>
  <c r="CL9" i="115"/>
  <c r="CY9" i="115" s="1"/>
  <c r="CN7" i="115"/>
  <c r="CJ53" i="115"/>
  <c r="CE50" i="115"/>
  <c r="CI46" i="115"/>
  <c r="CD43" i="115"/>
  <c r="CH39" i="115"/>
  <c r="CC36" i="115"/>
  <c r="DE36" i="115" s="1"/>
  <c r="CG32" i="115"/>
  <c r="CB29" i="115"/>
  <c r="CF25" i="115"/>
  <c r="CJ21" i="115"/>
  <c r="CE18" i="115"/>
  <c r="CI14" i="115"/>
  <c r="CD11" i="115"/>
  <c r="CH7" i="115"/>
  <c r="CS5" i="115"/>
  <c r="CK5" i="115"/>
  <c r="CT53" i="115"/>
  <c r="DJ53" i="115" s="1"/>
  <c r="CP52" i="115"/>
  <c r="DF52" i="115" s="1"/>
  <c r="CL51" i="115"/>
  <c r="CT49" i="115"/>
  <c r="DJ49" i="115" s="1"/>
  <c r="CP48" i="115"/>
  <c r="CL47" i="115"/>
  <c r="CY47" i="115" s="1"/>
  <c r="CT45" i="115"/>
  <c r="DJ45" i="115" s="1"/>
  <c r="CP44" i="115"/>
  <c r="DF44" i="115" s="1"/>
  <c r="CL43" i="115"/>
  <c r="CY43" i="115" s="1"/>
  <c r="CT41" i="115"/>
  <c r="CP40" i="115"/>
  <c r="CL39" i="115"/>
  <c r="CT37" i="115"/>
  <c r="CP36" i="115"/>
  <c r="DF36" i="115" s="1"/>
  <c r="CL35" i="115"/>
  <c r="DD35" i="115" s="1"/>
  <c r="CT33" i="115"/>
  <c r="CP32" i="115"/>
  <c r="DF32" i="115" s="1"/>
  <c r="CR30" i="115"/>
  <c r="CK29" i="115"/>
  <c r="CL27" i="115"/>
  <c r="CN25" i="115"/>
  <c r="DB25" i="115" s="1"/>
  <c r="CS23" i="115"/>
  <c r="CT21" i="115"/>
  <c r="CV19" i="115"/>
  <c r="CO18" i="115"/>
  <c r="DE18" i="115" s="1"/>
  <c r="CP16" i="115"/>
  <c r="DF16" i="115" s="1"/>
  <c r="CR14" i="115"/>
  <c r="DH14" i="115" s="1"/>
  <c r="CK13" i="115"/>
  <c r="CL11" i="115"/>
  <c r="DD11" i="115" s="1"/>
  <c r="CN9" i="115"/>
  <c r="DB9" i="115" s="1"/>
  <c r="CS7" i="115"/>
  <c r="CL5" i="115"/>
  <c r="CL54" i="115"/>
  <c r="CD54" i="115"/>
  <c r="CH50" i="115"/>
  <c r="CC47" i="115"/>
  <c r="DE47" i="115" s="1"/>
  <c r="CG43" i="115"/>
  <c r="CB40" i="115"/>
  <c r="CF36" i="115"/>
  <c r="CJ32" i="115"/>
  <c r="CE29" i="115"/>
  <c r="CI25" i="115"/>
  <c r="CD22" i="115"/>
  <c r="CH18" i="115"/>
  <c r="CC15" i="115"/>
  <c r="CG11" i="115"/>
  <c r="CB8" i="115"/>
  <c r="CO55" i="115"/>
  <c r="DE55" i="115" s="1"/>
  <c r="CQ54" i="115"/>
  <c r="DG54" i="115" s="1"/>
  <c r="CT5" i="115"/>
  <c r="CP5" i="115"/>
  <c r="CO5" i="115"/>
  <c r="CU55" i="115"/>
  <c r="CM55" i="115"/>
  <c r="DA55" i="115" s="1"/>
  <c r="CO54" i="115"/>
  <c r="AR5" i="115"/>
  <c r="CE5" i="115" s="1"/>
  <c r="AQ5" i="115"/>
  <c r="CD5" i="115" s="1"/>
  <c r="DB5" i="115" s="1"/>
  <c r="AS5" i="115"/>
  <c r="CF5" i="115" s="1"/>
  <c r="AU5" i="115"/>
  <c r="CH5" i="115" s="1"/>
  <c r="AP5" i="115"/>
  <c r="CC5" i="115" s="1"/>
  <c r="DE5" i="115" s="1"/>
  <c r="X58" i="5"/>
  <c r="V58" i="5"/>
  <c r="AA2" i="19"/>
  <c r="Z2" i="19"/>
  <c r="Y2" i="19"/>
  <c r="V2" i="19"/>
  <c r="U2" i="19"/>
  <c r="R2" i="19"/>
  <c r="Q2" i="19"/>
  <c r="P2" i="19"/>
  <c r="BP18" i="35"/>
  <c r="BP20" i="35"/>
  <c r="BP22" i="35"/>
  <c r="BP24" i="35"/>
  <c r="BP26" i="35"/>
  <c r="BP28" i="35"/>
  <c r="BP30" i="35"/>
  <c r="BP32" i="35"/>
  <c r="BP36" i="35"/>
  <c r="BP38" i="35"/>
  <c r="BP40" i="35"/>
  <c r="BP42" i="35"/>
  <c r="BP44" i="35"/>
  <c r="BP48" i="35"/>
  <c r="BP52" i="35"/>
  <c r="BP54" i="35"/>
  <c r="BP56" i="35"/>
  <c r="BP58" i="35"/>
  <c r="BP60" i="35"/>
  <c r="BP62" i="35"/>
  <c r="BP64" i="35"/>
  <c r="BP66" i="35"/>
  <c r="BP70" i="35"/>
  <c r="BP72" i="35"/>
  <c r="BP74" i="35"/>
  <c r="BP16" i="35"/>
  <c r="BO18" i="35"/>
  <c r="BO20" i="35"/>
  <c r="BO22" i="35"/>
  <c r="BO24" i="35"/>
  <c r="BO26" i="35"/>
  <c r="BO28" i="35"/>
  <c r="BO30" i="35"/>
  <c r="BO32" i="35"/>
  <c r="BO36" i="35"/>
  <c r="BO38" i="35"/>
  <c r="BO40" i="35"/>
  <c r="BO42" i="35"/>
  <c r="BO44" i="35"/>
  <c r="BO48" i="35"/>
  <c r="BO52" i="35"/>
  <c r="BO54" i="35"/>
  <c r="BO56" i="35"/>
  <c r="BO58" i="35"/>
  <c r="BO60" i="35"/>
  <c r="BO62" i="35"/>
  <c r="BO64" i="35"/>
  <c r="BO66" i="35"/>
  <c r="BO70" i="35"/>
  <c r="BO72" i="35"/>
  <c r="BO16" i="35"/>
  <c r="BO74" i="35"/>
  <c r="BN18" i="35"/>
  <c r="BN20" i="35"/>
  <c r="BN22" i="35"/>
  <c r="BN24" i="35"/>
  <c r="BN26" i="35"/>
  <c r="BN28" i="35"/>
  <c r="BN30" i="35"/>
  <c r="BN32" i="35"/>
  <c r="BN36" i="35"/>
  <c r="BN38" i="35"/>
  <c r="BN40" i="35"/>
  <c r="BN42" i="35"/>
  <c r="BN44" i="35"/>
  <c r="BN48" i="35"/>
  <c r="BN52" i="35"/>
  <c r="BN54" i="35"/>
  <c r="BN56" i="35"/>
  <c r="BN58" i="35"/>
  <c r="BN60" i="35"/>
  <c r="BN62" i="35"/>
  <c r="BN64" i="35"/>
  <c r="BN66" i="35"/>
  <c r="BN70" i="35"/>
  <c r="BN72" i="35"/>
  <c r="BN74" i="35"/>
  <c r="BN16" i="35"/>
  <c r="BM18" i="35"/>
  <c r="BM20" i="35"/>
  <c r="BM22" i="35"/>
  <c r="BM24" i="35"/>
  <c r="BM26" i="35"/>
  <c r="BM28" i="35"/>
  <c r="BM30" i="35"/>
  <c r="BM32" i="35"/>
  <c r="BM36" i="35"/>
  <c r="BM38" i="35"/>
  <c r="BM40" i="35"/>
  <c r="BM42" i="35"/>
  <c r="BM44" i="35"/>
  <c r="BM48" i="35"/>
  <c r="BM52" i="35"/>
  <c r="BM54" i="35"/>
  <c r="BM56" i="35"/>
  <c r="BM58" i="35"/>
  <c r="BM60" i="35"/>
  <c r="BM62" i="35"/>
  <c r="BM64" i="35"/>
  <c r="BM66" i="35"/>
  <c r="BM70" i="35"/>
  <c r="BM72" i="35"/>
  <c r="BM16" i="35"/>
  <c r="BM74" i="35"/>
  <c r="BL18" i="35"/>
  <c r="BL20" i="35"/>
  <c r="BL22" i="35"/>
  <c r="BL24" i="35"/>
  <c r="BL26" i="35"/>
  <c r="BL28" i="35"/>
  <c r="BL30" i="35"/>
  <c r="BL32" i="35"/>
  <c r="BL36" i="35"/>
  <c r="BL38" i="35"/>
  <c r="BL40" i="35"/>
  <c r="BL42" i="35"/>
  <c r="BL44" i="35"/>
  <c r="BL48" i="35"/>
  <c r="BL52" i="35"/>
  <c r="BL54" i="35"/>
  <c r="BL56" i="35"/>
  <c r="BL58" i="35"/>
  <c r="BL60" i="35"/>
  <c r="BL62" i="35"/>
  <c r="BL64" i="35"/>
  <c r="BL66" i="35"/>
  <c r="BL70" i="35"/>
  <c r="BL72" i="35"/>
  <c r="BL74" i="35"/>
  <c r="BL16" i="35"/>
  <c r="BK74" i="35"/>
  <c r="BK20" i="35"/>
  <c r="BK22" i="35"/>
  <c r="BK24" i="35"/>
  <c r="BK26" i="35"/>
  <c r="BK28" i="35"/>
  <c r="BK30" i="35"/>
  <c r="BK32" i="35"/>
  <c r="BK36" i="35"/>
  <c r="BK38" i="35"/>
  <c r="BK40" i="35"/>
  <c r="BK42" i="35"/>
  <c r="BK44" i="35"/>
  <c r="BK48" i="35"/>
  <c r="BK52" i="35"/>
  <c r="BK54" i="35"/>
  <c r="BK56" i="35"/>
  <c r="BK58" i="35"/>
  <c r="BK60" i="35"/>
  <c r="BK62" i="35"/>
  <c r="BK64" i="35"/>
  <c r="BK66" i="35"/>
  <c r="BK70" i="35"/>
  <c r="BK72" i="35"/>
  <c r="BK18" i="35"/>
  <c r="BK16" i="35"/>
  <c r="AN50" i="35"/>
  <c r="AO22" i="35"/>
  <c r="AN268" i="35"/>
  <c r="AN256" i="35"/>
  <c r="AN254" i="35"/>
  <c r="AN252" i="35"/>
  <c r="AN250" i="35"/>
  <c r="AN248" i="35"/>
  <c r="AN246" i="35"/>
  <c r="AN244" i="35"/>
  <c r="AN242" i="35"/>
  <c r="AN240" i="35"/>
  <c r="AN238" i="35"/>
  <c r="AN236" i="35"/>
  <c r="AN234" i="35"/>
  <c r="H181" i="35"/>
  <c r="AV261" i="35" s="1"/>
  <c r="H180" i="35"/>
  <c r="H179" i="35"/>
  <c r="AV259" i="35" s="1"/>
  <c r="H178" i="35"/>
  <c r="AW258" i="35" s="1"/>
  <c r="H177" i="35"/>
  <c r="H176" i="35"/>
  <c r="AY257" i="35" s="1"/>
  <c r="H175" i="35"/>
  <c r="AW256" i="35" s="1"/>
  <c r="H174" i="35"/>
  <c r="H173" i="35"/>
  <c r="H172" i="35"/>
  <c r="H171" i="35"/>
  <c r="H170" i="35"/>
  <c r="H169" i="35"/>
  <c r="H168" i="35"/>
  <c r="H167" i="35"/>
  <c r="H166" i="35"/>
  <c r="H165" i="35"/>
  <c r="H164" i="35"/>
  <c r="H163" i="35"/>
  <c r="H162" i="35"/>
  <c r="H161" i="35"/>
  <c r="H158" i="35"/>
  <c r="H157" i="35"/>
  <c r="H156" i="35"/>
  <c r="H155" i="35"/>
  <c r="H154" i="35"/>
  <c r="H153" i="35"/>
  <c r="H152" i="35"/>
  <c r="H151" i="35"/>
  <c r="H150" i="35"/>
  <c r="H149" i="35"/>
  <c r="H148" i="35"/>
  <c r="H147" i="35"/>
  <c r="H146" i="35"/>
  <c r="H145" i="35"/>
  <c r="H144" i="35"/>
  <c r="H142" i="35"/>
  <c r="H141" i="35"/>
  <c r="H139" i="35"/>
  <c r="H138" i="35"/>
  <c r="H137" i="35"/>
  <c r="H136" i="35"/>
  <c r="H134" i="35"/>
  <c r="H133" i="35"/>
  <c r="H132" i="35"/>
  <c r="H130" i="35"/>
  <c r="H129" i="35"/>
  <c r="H128" i="35"/>
  <c r="H127" i="35"/>
  <c r="H126" i="35"/>
  <c r="H125" i="35"/>
  <c r="H122" i="35"/>
  <c r="H121" i="35"/>
  <c r="H120" i="35"/>
  <c r="H118" i="35"/>
  <c r="H117" i="35"/>
  <c r="H116" i="35"/>
  <c r="H115" i="35"/>
  <c r="H114" i="35"/>
  <c r="H110" i="35"/>
  <c r="H109" i="35"/>
  <c r="H107" i="35"/>
  <c r="H106" i="35"/>
  <c r="H105" i="35"/>
  <c r="H104" i="35"/>
  <c r="H103" i="35"/>
  <c r="H160" i="35"/>
  <c r="H143" i="35"/>
  <c r="H131" i="35"/>
  <c r="H113" i="35"/>
  <c r="H140" i="35"/>
  <c r="H123" i="35"/>
  <c r="H135" i="35"/>
  <c r="AS74" i="35"/>
  <c r="AS72" i="35"/>
  <c r="AS70" i="35"/>
  <c r="AS66" i="35"/>
  <c r="AS64" i="35"/>
  <c r="AS62" i="35"/>
  <c r="AS60" i="35"/>
  <c r="AS58" i="35"/>
  <c r="AS56" i="35"/>
  <c r="AS54" i="35"/>
  <c r="AS52" i="35"/>
  <c r="AS48" i="35"/>
  <c r="AS44" i="35"/>
  <c r="AS42" i="35"/>
  <c r="AS40" i="35"/>
  <c r="AS38" i="35"/>
  <c r="AS36" i="35"/>
  <c r="AS32" i="35"/>
  <c r="AS30" i="35"/>
  <c r="AS28" i="35"/>
  <c r="AS26" i="35"/>
  <c r="AS24" i="35"/>
  <c r="AS22" i="35"/>
  <c r="AS20" i="35"/>
  <c r="AS18" i="35"/>
  <c r="AS16" i="35"/>
  <c r="AT74" i="35"/>
  <c r="AT72" i="35"/>
  <c r="AT70" i="35"/>
  <c r="AT66" i="35"/>
  <c r="AT64" i="35"/>
  <c r="AT62" i="35"/>
  <c r="AT60" i="35"/>
  <c r="AT58" i="35"/>
  <c r="AT56" i="35"/>
  <c r="AT54" i="35"/>
  <c r="AT52" i="35"/>
  <c r="AT48" i="35"/>
  <c r="AT44" i="35"/>
  <c r="AT42" i="35"/>
  <c r="AT40" i="35"/>
  <c r="AT38" i="35"/>
  <c r="AT36" i="35"/>
  <c r="AT32" i="35"/>
  <c r="AT30" i="35"/>
  <c r="AT28" i="35"/>
  <c r="AT26" i="35"/>
  <c r="AT24" i="35"/>
  <c r="AT22" i="35"/>
  <c r="AT20" i="35"/>
  <c r="AT18" i="35"/>
  <c r="AT16" i="35"/>
  <c r="AO74" i="35"/>
  <c r="AO72" i="35"/>
  <c r="AO70" i="35"/>
  <c r="AO66" i="35"/>
  <c r="AO64" i="35"/>
  <c r="AO62" i="35"/>
  <c r="AO60" i="35"/>
  <c r="AO58" i="35"/>
  <c r="AO56" i="35"/>
  <c r="AO54" i="35"/>
  <c r="AO52" i="35"/>
  <c r="AO50" i="35"/>
  <c r="AO48" i="35"/>
  <c r="AO46" i="35"/>
  <c r="AO44" i="35"/>
  <c r="AO42" i="35"/>
  <c r="AO40" i="35"/>
  <c r="AO38" i="35"/>
  <c r="AO36" i="35"/>
  <c r="AO34" i="35"/>
  <c r="AO32" i="35"/>
  <c r="AO30" i="35"/>
  <c r="AO28" i="35"/>
  <c r="AO26" i="35"/>
  <c r="AO24" i="35"/>
  <c r="AO20" i="35"/>
  <c r="AO18" i="35"/>
  <c r="AO16" i="35"/>
  <c r="AP74" i="35"/>
  <c r="AP72" i="35"/>
  <c r="AP70" i="35"/>
  <c r="AP66" i="35"/>
  <c r="AP64" i="35"/>
  <c r="AP62" i="35"/>
  <c r="AP60" i="35"/>
  <c r="AP58" i="35"/>
  <c r="AP56" i="35"/>
  <c r="AP54" i="35"/>
  <c r="AP52" i="35"/>
  <c r="AP50" i="35"/>
  <c r="AP48" i="35"/>
  <c r="AP46" i="35"/>
  <c r="AP44" i="35"/>
  <c r="AP42" i="35"/>
  <c r="AP40" i="35"/>
  <c r="AP38" i="35"/>
  <c r="AP36" i="35"/>
  <c r="AP34" i="35"/>
  <c r="AP32" i="35"/>
  <c r="AP30" i="35"/>
  <c r="AP28" i="35"/>
  <c r="AP26" i="35"/>
  <c r="AP24" i="35"/>
  <c r="AP22" i="35"/>
  <c r="AP20" i="35"/>
  <c r="AP18" i="35"/>
  <c r="AP16" i="35"/>
  <c r="AQ74" i="35"/>
  <c r="AQ72" i="35"/>
  <c r="AQ70" i="35"/>
  <c r="AQ66" i="35"/>
  <c r="AQ64" i="35"/>
  <c r="AQ62" i="35"/>
  <c r="AQ60" i="35"/>
  <c r="AQ58" i="35"/>
  <c r="AQ56" i="35"/>
  <c r="AQ54" i="35"/>
  <c r="AQ52" i="35"/>
  <c r="AQ48" i="35"/>
  <c r="AQ44" i="35"/>
  <c r="AQ42" i="35"/>
  <c r="AQ40" i="35"/>
  <c r="AQ38" i="35"/>
  <c r="AQ36" i="35"/>
  <c r="AQ32" i="35"/>
  <c r="AQ30" i="35"/>
  <c r="AQ28" i="35"/>
  <c r="AQ26" i="35"/>
  <c r="AQ24" i="35"/>
  <c r="AQ22" i="35"/>
  <c r="AQ20" i="35"/>
  <c r="AQ18" i="35"/>
  <c r="AQ16" i="35"/>
  <c r="AR74" i="35"/>
  <c r="AR72" i="35"/>
  <c r="AR70" i="35"/>
  <c r="AR66" i="35"/>
  <c r="AR64" i="35"/>
  <c r="AR62" i="35"/>
  <c r="AR60" i="35"/>
  <c r="AR58" i="35"/>
  <c r="AR56" i="35"/>
  <c r="AR54" i="35"/>
  <c r="AR52" i="35"/>
  <c r="AR48" i="35"/>
  <c r="AR44" i="35"/>
  <c r="AR42" i="35"/>
  <c r="AR40" i="35"/>
  <c r="AR38" i="35"/>
  <c r="AR36" i="35"/>
  <c r="AR32" i="35"/>
  <c r="AR30" i="35"/>
  <c r="AR28" i="35"/>
  <c r="AR26" i="35"/>
  <c r="AR24" i="35"/>
  <c r="AR22" i="35"/>
  <c r="AR20" i="35"/>
  <c r="AR18" i="35"/>
  <c r="AR16" i="35"/>
  <c r="AU74" i="35"/>
  <c r="AU72" i="35"/>
  <c r="AU70" i="35"/>
  <c r="AU66" i="35"/>
  <c r="AU64" i="35"/>
  <c r="AU62" i="35"/>
  <c r="AU60" i="35"/>
  <c r="AU58" i="35"/>
  <c r="AU56" i="35"/>
  <c r="AU54" i="35"/>
  <c r="AU52" i="35"/>
  <c r="AU48" i="35"/>
  <c r="AU44" i="35"/>
  <c r="AU42" i="35"/>
  <c r="AU40" i="35"/>
  <c r="AU38" i="35"/>
  <c r="AU36" i="35"/>
  <c r="AU32" i="35"/>
  <c r="AU30" i="35"/>
  <c r="AU28" i="35"/>
  <c r="AU26" i="35"/>
  <c r="AU24" i="35"/>
  <c r="AU22" i="35"/>
  <c r="AU20" i="35"/>
  <c r="AU18" i="35"/>
  <c r="AU16" i="35"/>
  <c r="AV74" i="35"/>
  <c r="AV72" i="35"/>
  <c r="AV70" i="35"/>
  <c r="AV66" i="35"/>
  <c r="AV64" i="35"/>
  <c r="AV62" i="35"/>
  <c r="AV60" i="35"/>
  <c r="AV58" i="35"/>
  <c r="AV56" i="35"/>
  <c r="AV54" i="35"/>
  <c r="AV52" i="35"/>
  <c r="AV48" i="35"/>
  <c r="AV44" i="35"/>
  <c r="AV42" i="35"/>
  <c r="AV40" i="35"/>
  <c r="AV38" i="35"/>
  <c r="AV36" i="35"/>
  <c r="AV32" i="35"/>
  <c r="AV30" i="35"/>
  <c r="AV28" i="35"/>
  <c r="AV26" i="35"/>
  <c r="AV24" i="35"/>
  <c r="AV22" i="35"/>
  <c r="AV20" i="35"/>
  <c r="AV18" i="35"/>
  <c r="AV16" i="35"/>
  <c r="AW74" i="35"/>
  <c r="AW72" i="35"/>
  <c r="AW70" i="35"/>
  <c r="AW66" i="35"/>
  <c r="AW64" i="35"/>
  <c r="AW62" i="35"/>
  <c r="AW60" i="35"/>
  <c r="AW58" i="35"/>
  <c r="AW56" i="35"/>
  <c r="AW54" i="35"/>
  <c r="AW52" i="35"/>
  <c r="AW48" i="35"/>
  <c r="AW44" i="35"/>
  <c r="AW42" i="35"/>
  <c r="AW40" i="35"/>
  <c r="AW38" i="35"/>
  <c r="AW36" i="35"/>
  <c r="AW32" i="35"/>
  <c r="AW30" i="35"/>
  <c r="AW28" i="35"/>
  <c r="AW26" i="35"/>
  <c r="AW24" i="35"/>
  <c r="AW22" i="35"/>
  <c r="AW20" i="35"/>
  <c r="AW18" i="35"/>
  <c r="AW16" i="35"/>
  <c r="AX74" i="35"/>
  <c r="AX72" i="35"/>
  <c r="AX70" i="35"/>
  <c r="AX66" i="35"/>
  <c r="AX64" i="35"/>
  <c r="AX62" i="35"/>
  <c r="AX60" i="35"/>
  <c r="AX58" i="35"/>
  <c r="AX56" i="35"/>
  <c r="AX54" i="35"/>
  <c r="AX52" i="35"/>
  <c r="AX48" i="35"/>
  <c r="AX44" i="35"/>
  <c r="AX42" i="35"/>
  <c r="AX40" i="35"/>
  <c r="AX38" i="35"/>
  <c r="AX36" i="35"/>
  <c r="AX32" i="35"/>
  <c r="AX30" i="35"/>
  <c r="AX28" i="35"/>
  <c r="AX26" i="35"/>
  <c r="AX24" i="35"/>
  <c r="AX22" i="35"/>
  <c r="AX20" i="35"/>
  <c r="AX18" i="35"/>
  <c r="AX16" i="35"/>
  <c r="AY74" i="35"/>
  <c r="AY72" i="35"/>
  <c r="AY70" i="35"/>
  <c r="AY66" i="35"/>
  <c r="AY64" i="35"/>
  <c r="AY62" i="35"/>
  <c r="AY60" i="35"/>
  <c r="AY58" i="35"/>
  <c r="AY56" i="35"/>
  <c r="AY54" i="35"/>
  <c r="AY52" i="35"/>
  <c r="AY48" i="35"/>
  <c r="AY44" i="35"/>
  <c r="AY42" i="35"/>
  <c r="AY40" i="35"/>
  <c r="AY38" i="35"/>
  <c r="AY36" i="35"/>
  <c r="AY32" i="35"/>
  <c r="AY30" i="35"/>
  <c r="AY28" i="35"/>
  <c r="AY26" i="35"/>
  <c r="AY24" i="35"/>
  <c r="AY22" i="35"/>
  <c r="AY20" i="35"/>
  <c r="AY18" i="35"/>
  <c r="AY16" i="35"/>
  <c r="AZ74" i="35"/>
  <c r="AZ72" i="35"/>
  <c r="AZ70" i="35"/>
  <c r="AZ66" i="35"/>
  <c r="AZ64" i="35"/>
  <c r="AZ62" i="35"/>
  <c r="AZ60" i="35"/>
  <c r="AZ58" i="35"/>
  <c r="AZ56" i="35"/>
  <c r="AZ54" i="35"/>
  <c r="AZ52" i="35"/>
  <c r="AZ48" i="35"/>
  <c r="AZ44" i="35"/>
  <c r="AZ42" i="35"/>
  <c r="AZ40" i="35"/>
  <c r="AZ38" i="35"/>
  <c r="AZ36" i="35"/>
  <c r="AZ32" i="35"/>
  <c r="AZ30" i="35"/>
  <c r="AZ28" i="35"/>
  <c r="AZ26" i="35"/>
  <c r="AZ24" i="35"/>
  <c r="AZ22" i="35"/>
  <c r="AZ20" i="35"/>
  <c r="AZ18" i="35"/>
  <c r="AZ16" i="35"/>
  <c r="BA74" i="35"/>
  <c r="BA72" i="35"/>
  <c r="BA70" i="35"/>
  <c r="BA66" i="35"/>
  <c r="BA64" i="35"/>
  <c r="BA62" i="35"/>
  <c r="BA60" i="35"/>
  <c r="BA58" i="35"/>
  <c r="BA56" i="35"/>
  <c r="BA54" i="35"/>
  <c r="BA52" i="35"/>
  <c r="BA48" i="35"/>
  <c r="BA44" i="35"/>
  <c r="BA42" i="35"/>
  <c r="BA40" i="35"/>
  <c r="BA38" i="35"/>
  <c r="BA36" i="35"/>
  <c r="BA32" i="35"/>
  <c r="BA30" i="35"/>
  <c r="BA28" i="35"/>
  <c r="BA26" i="35"/>
  <c r="BA24" i="35"/>
  <c r="BA22" i="35"/>
  <c r="BA20" i="35"/>
  <c r="BA18" i="35"/>
  <c r="BA16" i="35"/>
  <c r="BB74" i="35"/>
  <c r="BB72" i="35"/>
  <c r="BB70" i="35"/>
  <c r="BB66" i="35"/>
  <c r="BB64" i="35"/>
  <c r="BB62" i="35"/>
  <c r="BB60" i="35"/>
  <c r="BB58" i="35"/>
  <c r="BB56" i="35"/>
  <c r="BB54" i="35"/>
  <c r="BB52" i="35"/>
  <c r="BB48" i="35"/>
  <c r="BB44" i="35"/>
  <c r="BB42" i="35"/>
  <c r="BB40" i="35"/>
  <c r="BB38" i="35"/>
  <c r="BB36" i="35"/>
  <c r="BB32" i="35"/>
  <c r="BB30" i="35"/>
  <c r="BB28" i="35"/>
  <c r="BB26" i="35"/>
  <c r="BB24" i="35"/>
  <c r="BB22" i="35"/>
  <c r="BB20" i="35"/>
  <c r="BB18" i="35"/>
  <c r="BB16" i="35"/>
  <c r="BC74" i="35"/>
  <c r="BC72" i="35"/>
  <c r="BC70" i="35"/>
  <c r="BC66" i="35"/>
  <c r="BC64" i="35"/>
  <c r="BC62" i="35"/>
  <c r="BC60" i="35"/>
  <c r="BC58" i="35"/>
  <c r="BC56" i="35"/>
  <c r="BC54" i="35"/>
  <c r="BC52" i="35"/>
  <c r="BC48" i="35"/>
  <c r="BC44" i="35"/>
  <c r="BC42" i="35"/>
  <c r="BC40" i="35"/>
  <c r="BC38" i="35"/>
  <c r="BC36" i="35"/>
  <c r="BC32" i="35"/>
  <c r="BC30" i="35"/>
  <c r="BC28" i="35"/>
  <c r="BC26" i="35"/>
  <c r="BC24" i="35"/>
  <c r="BC22" i="35"/>
  <c r="BC20" i="35"/>
  <c r="BC18" i="35"/>
  <c r="BC16" i="35"/>
  <c r="BD74" i="35"/>
  <c r="BD72" i="35"/>
  <c r="BD70" i="35"/>
  <c r="BD66" i="35"/>
  <c r="BD64" i="35"/>
  <c r="BD62" i="35"/>
  <c r="BD60" i="35"/>
  <c r="BD58" i="35"/>
  <c r="BD56" i="35"/>
  <c r="BD54" i="35"/>
  <c r="BD52" i="35"/>
  <c r="BD48" i="35"/>
  <c r="BD44" i="35"/>
  <c r="BD42" i="35"/>
  <c r="BD40" i="35"/>
  <c r="BD38" i="35"/>
  <c r="BD36" i="35"/>
  <c r="BD32" i="35"/>
  <c r="BD30" i="35"/>
  <c r="BD28" i="35"/>
  <c r="BD26" i="35"/>
  <c r="BD24" i="35"/>
  <c r="BD22" i="35"/>
  <c r="BD20" i="35"/>
  <c r="BD18" i="35"/>
  <c r="BD16" i="35"/>
  <c r="BE74" i="35"/>
  <c r="BE72" i="35"/>
  <c r="BE70" i="35"/>
  <c r="BE66" i="35"/>
  <c r="BE64" i="35"/>
  <c r="BE62" i="35"/>
  <c r="BE60" i="35"/>
  <c r="BE58" i="35"/>
  <c r="BE56" i="35"/>
  <c r="BE54" i="35"/>
  <c r="BE52" i="35"/>
  <c r="BE48" i="35"/>
  <c r="BE44" i="35"/>
  <c r="BE42" i="35"/>
  <c r="BE40" i="35"/>
  <c r="BE38" i="35"/>
  <c r="BE36" i="35"/>
  <c r="BE32" i="35"/>
  <c r="BE30" i="35"/>
  <c r="BE28" i="35"/>
  <c r="BE26" i="35"/>
  <c r="BE24" i="35"/>
  <c r="BE22" i="35"/>
  <c r="BE20" i="35"/>
  <c r="BE18" i="35"/>
  <c r="BE16" i="35"/>
  <c r="BF74" i="35"/>
  <c r="BF72" i="35"/>
  <c r="BF70" i="35"/>
  <c r="BF66" i="35"/>
  <c r="BF64" i="35"/>
  <c r="BF62" i="35"/>
  <c r="BF60" i="35"/>
  <c r="BF58" i="35"/>
  <c r="BF56" i="35"/>
  <c r="BF54" i="35"/>
  <c r="BF52" i="35"/>
  <c r="BF48" i="35"/>
  <c r="BF44" i="35"/>
  <c r="BF42" i="35"/>
  <c r="BF40" i="35"/>
  <c r="BF38" i="35"/>
  <c r="BF36" i="35"/>
  <c r="BF32" i="35"/>
  <c r="BF30" i="35"/>
  <c r="BF28" i="35"/>
  <c r="BF26" i="35"/>
  <c r="BF24" i="35"/>
  <c r="BF22" i="35"/>
  <c r="BF20" i="35"/>
  <c r="BF18" i="35"/>
  <c r="BF16" i="35"/>
  <c r="BG74" i="35"/>
  <c r="BG72" i="35"/>
  <c r="BG70" i="35"/>
  <c r="BG66" i="35"/>
  <c r="BG64" i="35"/>
  <c r="BG62" i="35"/>
  <c r="BG60" i="35"/>
  <c r="BG58" i="35"/>
  <c r="BG56" i="35"/>
  <c r="BG54" i="35"/>
  <c r="BG52" i="35"/>
  <c r="BG48" i="35"/>
  <c r="BG44" i="35"/>
  <c r="BG42" i="35"/>
  <c r="BG40" i="35"/>
  <c r="BG38" i="35"/>
  <c r="BG36" i="35"/>
  <c r="BG32" i="35"/>
  <c r="BG30" i="35"/>
  <c r="BG28" i="35"/>
  <c r="BG26" i="35"/>
  <c r="BG24" i="35"/>
  <c r="BG22" i="35"/>
  <c r="BG20" i="35"/>
  <c r="BG18" i="35"/>
  <c r="BG16" i="35"/>
  <c r="BH74" i="35"/>
  <c r="BH72" i="35"/>
  <c r="BH70" i="35"/>
  <c r="BH66" i="35"/>
  <c r="BH64" i="35"/>
  <c r="BH62" i="35"/>
  <c r="BH60" i="35"/>
  <c r="BH58" i="35"/>
  <c r="BH56" i="35"/>
  <c r="BH54" i="35"/>
  <c r="BH52" i="35"/>
  <c r="BH48" i="35"/>
  <c r="BH44" i="35"/>
  <c r="BH42" i="35"/>
  <c r="BH40" i="35"/>
  <c r="BH38" i="35"/>
  <c r="BH36" i="35"/>
  <c r="BH32" i="35"/>
  <c r="BH30" i="35"/>
  <c r="BH28" i="35"/>
  <c r="BH26" i="35"/>
  <c r="BH24" i="35"/>
  <c r="BH22" i="35"/>
  <c r="BH20" i="35"/>
  <c r="BH18" i="35"/>
  <c r="BH16" i="35"/>
  <c r="BI74" i="35"/>
  <c r="BI72" i="35"/>
  <c r="BI70" i="35"/>
  <c r="BI66" i="35"/>
  <c r="BI64" i="35"/>
  <c r="BI62" i="35"/>
  <c r="BI60" i="35"/>
  <c r="BI58" i="35"/>
  <c r="BI56" i="35"/>
  <c r="BI54" i="35"/>
  <c r="BI52" i="35"/>
  <c r="BI48" i="35"/>
  <c r="BI44" i="35"/>
  <c r="BI42" i="35"/>
  <c r="BI40" i="35"/>
  <c r="BI38" i="35"/>
  <c r="BI36" i="35"/>
  <c r="BI32" i="35"/>
  <c r="BI30" i="35"/>
  <c r="BI28" i="35"/>
  <c r="BI26" i="35"/>
  <c r="BI24" i="35"/>
  <c r="BI22" i="35"/>
  <c r="BI20" i="35"/>
  <c r="BI18" i="35"/>
  <c r="BI16" i="35"/>
  <c r="BJ74" i="35"/>
  <c r="BJ72" i="35"/>
  <c r="BJ70" i="35"/>
  <c r="BJ66" i="35"/>
  <c r="BJ64" i="35"/>
  <c r="BJ62" i="35"/>
  <c r="BJ60" i="35"/>
  <c r="BJ58" i="35"/>
  <c r="BJ56" i="35"/>
  <c r="BJ54" i="35"/>
  <c r="BJ52" i="35"/>
  <c r="BJ48" i="35"/>
  <c r="BJ44" i="35"/>
  <c r="BJ42" i="35"/>
  <c r="BJ40" i="35"/>
  <c r="BJ38" i="35"/>
  <c r="BJ36" i="35"/>
  <c r="BJ32" i="35"/>
  <c r="BJ30" i="35"/>
  <c r="BJ28" i="35"/>
  <c r="BJ26" i="35"/>
  <c r="BJ24" i="35"/>
  <c r="BJ22" i="35"/>
  <c r="BJ20" i="35"/>
  <c r="BJ18" i="35"/>
  <c r="BJ16" i="35"/>
  <c r="AM74" i="35"/>
  <c r="AM72" i="35"/>
  <c r="AM70" i="35"/>
  <c r="AM66" i="35"/>
  <c r="AM64" i="35"/>
  <c r="AM62" i="35"/>
  <c r="AM60" i="35"/>
  <c r="AM58" i="35"/>
  <c r="AM56" i="35"/>
  <c r="AM54" i="35"/>
  <c r="AM52" i="35"/>
  <c r="AM50" i="35"/>
  <c r="AM48" i="35"/>
  <c r="AM46" i="35"/>
  <c r="AM44" i="35"/>
  <c r="AM42" i="35"/>
  <c r="AM40" i="35"/>
  <c r="AM38" i="35"/>
  <c r="AM36" i="35"/>
  <c r="AM34" i="35"/>
  <c r="AM32" i="35"/>
  <c r="AM30" i="35"/>
  <c r="AM28" i="35"/>
  <c r="AM26" i="35"/>
  <c r="AM24" i="35"/>
  <c r="AM22" i="35"/>
  <c r="AM20" i="35"/>
  <c r="AM16" i="35"/>
  <c r="AM18" i="35"/>
  <c r="AN34" i="35"/>
  <c r="AN272" i="35"/>
  <c r="AN270" i="35"/>
  <c r="AN266" i="35"/>
  <c r="AN264" i="35"/>
  <c r="AN262" i="35"/>
  <c r="AN260" i="35"/>
  <c r="AN258" i="35"/>
  <c r="AN74" i="35"/>
  <c r="AN72" i="35"/>
  <c r="AN70" i="35"/>
  <c r="AN66" i="35"/>
  <c r="AN64" i="35"/>
  <c r="AN62" i="35"/>
  <c r="AN60" i="35"/>
  <c r="AN58" i="35"/>
  <c r="AN56" i="35"/>
  <c r="AN54" i="35"/>
  <c r="AN52" i="35"/>
  <c r="AN48" i="35"/>
  <c r="AN46" i="35"/>
  <c r="AN44" i="35"/>
  <c r="AN42" i="35"/>
  <c r="AN40" i="35"/>
  <c r="AN38" i="35"/>
  <c r="AN36" i="35"/>
  <c r="AN32" i="35"/>
  <c r="AN30" i="35"/>
  <c r="AN28" i="35"/>
  <c r="AN26" i="35"/>
  <c r="AN24" i="35"/>
  <c r="AN22" i="35"/>
  <c r="AN20" i="35"/>
  <c r="AN18" i="35"/>
  <c r="AN16" i="35"/>
  <c r="AE74" i="4"/>
  <c r="BI74" i="4" s="1"/>
  <c r="AE72" i="4"/>
  <c r="BI72" i="4" s="1"/>
  <c r="AE68" i="4"/>
  <c r="BI68" i="4" s="1"/>
  <c r="AE66" i="4"/>
  <c r="BI66" i="4" s="1"/>
  <c r="AE62" i="4"/>
  <c r="BI62" i="4" s="1"/>
  <c r="AE60" i="4"/>
  <c r="BI60" i="4" s="1"/>
  <c r="AE56" i="4"/>
  <c r="BI56" i="4" s="1"/>
  <c r="AE54" i="4"/>
  <c r="BI54" i="4" s="1"/>
  <c r="AE50" i="4"/>
  <c r="BI50" i="4" s="1"/>
  <c r="AE48" i="4"/>
  <c r="BI48" i="4" s="1"/>
  <c r="AE44" i="4"/>
  <c r="BI44" i="4" s="1"/>
  <c r="AE42" i="4"/>
  <c r="BI42" i="4" s="1"/>
  <c r="AE38" i="4"/>
  <c r="BI38" i="4" s="1"/>
  <c r="AE36" i="4"/>
  <c r="BI36" i="4" s="1"/>
  <c r="AE32" i="4"/>
  <c r="BI32" i="4" s="1"/>
  <c r="AE30" i="4"/>
  <c r="BI30" i="4" s="1"/>
  <c r="AE26" i="4"/>
  <c r="BI26" i="4" s="1"/>
  <c r="AE24" i="4"/>
  <c r="BI24" i="4" s="1"/>
  <c r="BG76" i="4"/>
  <c r="BE76" i="4"/>
  <c r="BC76" i="4"/>
  <c r="BA76" i="4"/>
  <c r="AY76" i="4"/>
  <c r="AW76" i="4"/>
  <c r="AU76" i="4"/>
  <c r="AS76" i="4"/>
  <c r="AQ76" i="4"/>
  <c r="AO76" i="4"/>
  <c r="AM76" i="4"/>
  <c r="AK76" i="4"/>
  <c r="E6" i="115"/>
  <c r="E7" i="115"/>
  <c r="E8" i="115"/>
  <c r="E9" i="115"/>
  <c r="E10" i="115"/>
  <c r="E11" i="115"/>
  <c r="E12" i="115"/>
  <c r="E13" i="115"/>
  <c r="E14" i="115"/>
  <c r="E15" i="115"/>
  <c r="E16" i="115"/>
  <c r="E17" i="115"/>
  <c r="E18" i="115"/>
  <c r="E19" i="115"/>
  <c r="E20" i="115"/>
  <c r="E21" i="115"/>
  <c r="E22" i="115"/>
  <c r="E23" i="115"/>
  <c r="E24" i="115"/>
  <c r="E25" i="115"/>
  <c r="E26" i="115"/>
  <c r="E27" i="115"/>
  <c r="E28" i="115"/>
  <c r="E29" i="115"/>
  <c r="E30" i="115"/>
  <c r="E31" i="115"/>
  <c r="E32" i="115"/>
  <c r="E33" i="115"/>
  <c r="E34" i="115"/>
  <c r="E35" i="115"/>
  <c r="E36" i="115"/>
  <c r="E37" i="115"/>
  <c r="E38" i="115"/>
  <c r="E39" i="115"/>
  <c r="E40" i="115"/>
  <c r="E41" i="115"/>
  <c r="E42" i="115"/>
  <c r="E43" i="115"/>
  <c r="E44" i="115"/>
  <c r="E45" i="115"/>
  <c r="E46" i="115"/>
  <c r="E47" i="115"/>
  <c r="E48" i="115"/>
  <c r="E49" i="115"/>
  <c r="E50" i="115"/>
  <c r="E51" i="115"/>
  <c r="E52" i="115"/>
  <c r="E53" i="115"/>
  <c r="E54" i="115"/>
  <c r="E55" i="115"/>
  <c r="E5" i="115"/>
  <c r="F64" i="5"/>
  <c r="F62" i="5"/>
  <c r="F60" i="5"/>
  <c r="F58" i="5"/>
  <c r="F56" i="5"/>
  <c r="F54" i="5"/>
  <c r="F52" i="5"/>
  <c r="F50" i="5"/>
  <c r="F48" i="5"/>
  <c r="F46" i="5"/>
  <c r="F44" i="5"/>
  <c r="F42" i="5"/>
  <c r="F40" i="5"/>
  <c r="F38" i="5"/>
  <c r="F36" i="5"/>
  <c r="D64" i="5"/>
  <c r="D62" i="5"/>
  <c r="D60" i="5"/>
  <c r="D58" i="5"/>
  <c r="D56" i="5"/>
  <c r="D54" i="5"/>
  <c r="D52" i="5"/>
  <c r="D50" i="5"/>
  <c r="D48" i="5"/>
  <c r="D46" i="5"/>
  <c r="D44" i="5"/>
  <c r="D42" i="5"/>
  <c r="D36" i="5"/>
  <c r="D38" i="5"/>
  <c r="D40" i="5"/>
  <c r="V44" i="5"/>
  <c r="X60" i="5"/>
  <c r="V60" i="5"/>
  <c r="Z62" i="5"/>
  <c r="X62" i="5"/>
  <c r="V62" i="5"/>
  <c r="T58" i="5"/>
  <c r="H14" i="5" s="1"/>
  <c r="AY263" i="35"/>
  <c r="AW263" i="35"/>
  <c r="AV263" i="35"/>
  <c r="Q263" i="35"/>
  <c r="O263" i="35"/>
  <c r="M263" i="35"/>
  <c r="AY262" i="35"/>
  <c r="AW262" i="35"/>
  <c r="AV262" i="35"/>
  <c r="Q262" i="35"/>
  <c r="O262" i="35"/>
  <c r="M262" i="35"/>
  <c r="Q261" i="35"/>
  <c r="O261" i="35"/>
  <c r="M261" i="35"/>
  <c r="Q260" i="35"/>
  <c r="O260" i="35"/>
  <c r="M260" i="35"/>
  <c r="Q259" i="35"/>
  <c r="O259" i="35"/>
  <c r="M259" i="35"/>
  <c r="Q258" i="35"/>
  <c r="O258" i="35"/>
  <c r="M258" i="35"/>
  <c r="Q257" i="35"/>
  <c r="O257" i="35"/>
  <c r="M257" i="35"/>
  <c r="Q256" i="35"/>
  <c r="O256" i="35"/>
  <c r="M256" i="35"/>
  <c r="Q255" i="35"/>
  <c r="O255" i="35"/>
  <c r="M255" i="35"/>
  <c r="AY254" i="35"/>
  <c r="AW254" i="35"/>
  <c r="AV254" i="35"/>
  <c r="Q254" i="35"/>
  <c r="O254" i="35"/>
  <c r="M254" i="35"/>
  <c r="H94" i="114"/>
  <c r="I94" i="114"/>
  <c r="J94" i="114"/>
  <c r="L94" i="114"/>
  <c r="H89" i="114"/>
  <c r="I89" i="114"/>
  <c r="J89" i="114"/>
  <c r="L89" i="114"/>
  <c r="H87" i="114"/>
  <c r="I87" i="114"/>
  <c r="J87" i="114"/>
  <c r="L87" i="114"/>
  <c r="H73" i="114"/>
  <c r="I73" i="114"/>
  <c r="J73" i="114"/>
  <c r="L73" i="114"/>
  <c r="H48" i="114"/>
  <c r="I48" i="114"/>
  <c r="J48" i="114"/>
  <c r="L48" i="114"/>
  <c r="H47" i="114"/>
  <c r="I47" i="114"/>
  <c r="J47" i="114"/>
  <c r="L47" i="114"/>
  <c r="H40" i="114"/>
  <c r="I40" i="114"/>
  <c r="J40" i="114"/>
  <c r="L40" i="114"/>
  <c r="H34" i="114"/>
  <c r="I34" i="114"/>
  <c r="J34" i="114"/>
  <c r="L34" i="114"/>
  <c r="H25" i="114"/>
  <c r="I25" i="114"/>
  <c r="J25" i="114"/>
  <c r="L25" i="114"/>
  <c r="H24" i="114"/>
  <c r="I24" i="114"/>
  <c r="J24" i="114"/>
  <c r="L24" i="114"/>
  <c r="H23" i="114"/>
  <c r="I23" i="114"/>
  <c r="J23" i="114"/>
  <c r="L23" i="114"/>
  <c r="H15" i="114"/>
  <c r="I15" i="114"/>
  <c r="J15" i="114"/>
  <c r="L15" i="114"/>
  <c r="H13" i="114"/>
  <c r="I13" i="114"/>
  <c r="J13" i="114"/>
  <c r="L13" i="114"/>
  <c r="H11" i="114"/>
  <c r="I11" i="114"/>
  <c r="J11" i="114"/>
  <c r="L11" i="114"/>
  <c r="H7" i="114"/>
  <c r="I7" i="114"/>
  <c r="J7" i="114"/>
  <c r="L7" i="114"/>
  <c r="H3" i="114"/>
  <c r="I3" i="114"/>
  <c r="J3" i="114"/>
  <c r="L3" i="114"/>
  <c r="DK28" i="115" l="1"/>
  <c r="DL27" i="115"/>
  <c r="CY35" i="115"/>
  <c r="DG50" i="115"/>
  <c r="DK39" i="115"/>
  <c r="DK4" i="115"/>
  <c r="DF29" i="115"/>
  <c r="DJ26" i="115"/>
  <c r="CZ24" i="115"/>
  <c r="DE7" i="115"/>
  <c r="DK30" i="115"/>
  <c r="DH29" i="115"/>
  <c r="DD37" i="115"/>
  <c r="DA4" i="115"/>
  <c r="DF51" i="115"/>
  <c r="DF31" i="115"/>
  <c r="CY10" i="115"/>
  <c r="DA46" i="115"/>
  <c r="DG35" i="115"/>
  <c r="DD36" i="115"/>
  <c r="DB50" i="115"/>
  <c r="DH39" i="115"/>
  <c r="DL28" i="115"/>
  <c r="DI46" i="115"/>
  <c r="CZ4" i="115"/>
  <c r="DL29" i="115"/>
  <c r="DL53" i="115"/>
  <c r="DC25" i="115"/>
  <c r="DI29" i="115"/>
  <c r="DH44" i="115"/>
  <c r="DI40" i="115"/>
  <c r="DI52" i="115"/>
  <c r="DI31" i="115"/>
  <c r="DH34" i="115"/>
  <c r="DG18" i="115"/>
  <c r="DL20" i="115"/>
  <c r="CY23" i="115"/>
  <c r="DC8" i="115"/>
  <c r="DG24" i="115"/>
  <c r="DG20" i="115"/>
  <c r="DE14" i="115"/>
  <c r="DI7" i="115"/>
  <c r="DK15" i="115"/>
  <c r="CY8" i="115"/>
  <c r="DK14" i="115"/>
  <c r="DA12" i="115"/>
  <c r="DB24" i="115"/>
  <c r="DH8" i="115"/>
  <c r="DB13" i="115"/>
  <c r="DC12" i="115"/>
  <c r="L46" i="5" s="1"/>
  <c r="DJ14" i="115"/>
  <c r="DA16" i="115"/>
  <c r="DC23" i="115"/>
  <c r="DL13" i="115"/>
  <c r="DI23" i="115"/>
  <c r="DE13" i="115"/>
  <c r="DA23" i="115"/>
  <c r="DA15" i="115"/>
  <c r="DK9" i="115"/>
  <c r="DI20" i="115"/>
  <c r="DJ20" i="115"/>
  <c r="L60" i="5" s="1"/>
  <c r="DF15" i="115"/>
  <c r="DG14" i="115"/>
  <c r="DC7" i="115"/>
  <c r="DE21" i="115"/>
  <c r="DK24" i="115"/>
  <c r="DA14" i="115"/>
  <c r="DK8" i="115"/>
  <c r="DC24" i="115"/>
  <c r="DC16" i="115"/>
  <c r="DB18" i="115"/>
  <c r="DL12" i="115"/>
  <c r="DH7" i="115"/>
  <c r="DB11" i="115"/>
  <c r="DH20" i="115"/>
  <c r="DI15" i="115"/>
  <c r="DF10" i="115"/>
  <c r="DF24" i="115"/>
  <c r="DE24" i="115"/>
  <c r="DJ9" i="115"/>
  <c r="DI13" i="115"/>
  <c r="DL9" i="115"/>
  <c r="DB17" i="115"/>
  <c r="DG16" i="115"/>
  <c r="DJ16" i="115"/>
  <c r="DA10" i="115"/>
  <c r="DG7" i="115"/>
  <c r="DC20" i="115"/>
  <c r="DC15" i="115"/>
  <c r="DB19" i="115"/>
  <c r="CY21" i="115"/>
  <c r="AM92" i="35"/>
  <c r="AP92" i="35"/>
  <c r="AN92" i="35"/>
  <c r="AO92" i="35"/>
  <c r="DJ12" i="115"/>
  <c r="DG11" i="115"/>
  <c r="DC45" i="115"/>
  <c r="DC33" i="115"/>
  <c r="DD53" i="115"/>
  <c r="DG46" i="115"/>
  <c r="DA25" i="115"/>
  <c r="DG55" i="115"/>
  <c r="DJ50" i="115"/>
  <c r="DF45" i="115"/>
  <c r="CY40" i="115"/>
  <c r="DF33" i="115"/>
  <c r="CY12" i="115"/>
  <c r="DA48" i="115"/>
  <c r="DG37" i="115"/>
  <c r="DG21" i="115"/>
  <c r="DI55" i="115"/>
  <c r="DC22" i="115"/>
  <c r="DB12" i="115"/>
  <c r="DI48" i="115"/>
  <c r="DJ35" i="115"/>
  <c r="CZ13" i="115"/>
  <c r="DE46" i="115"/>
  <c r="DB29" i="115"/>
  <c r="DD29" i="115"/>
  <c r="CZ29" i="115"/>
  <c r="CY29" i="115"/>
  <c r="DD33" i="115"/>
  <c r="CZ33" i="115"/>
  <c r="DD19" i="115"/>
  <c r="DJ23" i="115"/>
  <c r="DK25" i="115"/>
  <c r="DB54" i="115"/>
  <c r="CY34" i="115"/>
  <c r="CZ34" i="115"/>
  <c r="CY18" i="115"/>
  <c r="CZ18" i="115"/>
  <c r="DG43" i="115"/>
  <c r="DK32" i="115"/>
  <c r="DA22" i="115"/>
  <c r="DC53" i="115"/>
  <c r="DE51" i="115"/>
  <c r="DE12" i="115"/>
  <c r="DE22" i="115"/>
  <c r="CY53" i="115"/>
  <c r="CZ17" i="115"/>
  <c r="AV260" i="35"/>
  <c r="AY260" i="35"/>
  <c r="DK55" i="115"/>
  <c r="DF48" i="115"/>
  <c r="DC39" i="115"/>
  <c r="DE48" i="115"/>
  <c r="DF53" i="115"/>
  <c r="DA49" i="115"/>
  <c r="DE19" i="115"/>
  <c r="L50" i="5" s="1"/>
  <c r="DK50" i="115"/>
  <c r="DG29" i="115"/>
  <c r="DG13" i="115"/>
  <c r="DA8" i="115"/>
  <c r="L42" i="5" s="1"/>
  <c r="DL11" i="115"/>
  <c r="DC30" i="115"/>
  <c r="DB52" i="115"/>
  <c r="DB20" i="115"/>
  <c r="DH9" i="115"/>
  <c r="DC54" i="115"/>
  <c r="DJ25" i="115"/>
  <c r="DI27" i="115"/>
  <c r="DB53" i="115"/>
  <c r="DL43" i="115"/>
  <c r="DH16" i="115"/>
  <c r="CZ40" i="115"/>
  <c r="DB51" i="115"/>
  <c r="AW257" i="35"/>
  <c r="CY30" i="115"/>
  <c r="DF19" i="115"/>
  <c r="DL24" i="115"/>
  <c r="DB41" i="115"/>
  <c r="DL21" i="115"/>
  <c r="DE45" i="115"/>
  <c r="DD13" i="115"/>
  <c r="DC13" i="115"/>
  <c r="DD27" i="115"/>
  <c r="DH28" i="115"/>
  <c r="DC51" i="115"/>
  <c r="CY54" i="115"/>
  <c r="DK53" i="115"/>
  <c r="DA43" i="115"/>
  <c r="DG32" i="115"/>
  <c r="DK21" i="115"/>
  <c r="DA11" i="115"/>
  <c r="DE38" i="115"/>
  <c r="DK16" i="115"/>
  <c r="DI9" i="115"/>
  <c r="DD42" i="115"/>
  <c r="CY14" i="115"/>
  <c r="DJ8" i="115"/>
  <c r="DE17" i="115"/>
  <c r="DC28" i="115"/>
  <c r="DL40" i="115"/>
  <c r="DB14" i="115"/>
  <c r="DD32" i="115"/>
  <c r="DC9" i="115"/>
  <c r="DE43" i="115"/>
  <c r="DH46" i="115"/>
  <c r="DI25" i="115"/>
  <c r="DJ29" i="115"/>
  <c r="DH24" i="115"/>
  <c r="L56" i="5" s="1"/>
  <c r="DC41" i="115"/>
  <c r="DJ43" i="115"/>
  <c r="DD21" i="115"/>
  <c r="CZ27" i="115"/>
  <c r="DC29" i="115"/>
  <c r="DF40" i="115"/>
  <c r="DD51" i="115"/>
  <c r="DF30" i="115"/>
  <c r="DH17" i="115"/>
  <c r="DA37" i="115"/>
  <c r="DK31" i="115"/>
  <c r="DA21" i="115"/>
  <c r="DI22" i="115"/>
  <c r="DJ34" i="115"/>
  <c r="CY24" i="115"/>
  <c r="DF13" i="115"/>
  <c r="DD8" i="115"/>
  <c r="DI14" i="115"/>
  <c r="DK22" i="115"/>
  <c r="DI8" i="115"/>
  <c r="DL50" i="115"/>
  <c r="DH45" i="115"/>
  <c r="DB40" i="115"/>
  <c r="DL34" i="115"/>
  <c r="DL18" i="115"/>
  <c r="DH13" i="115"/>
  <c r="DB8" i="115"/>
  <c r="DF41" i="115"/>
  <c r="DG9" i="115"/>
  <c r="DL37" i="115"/>
  <c r="DE30" i="115"/>
  <c r="DD45" i="115"/>
  <c r="DJ27" i="115"/>
  <c r="DB43" i="115"/>
  <c r="DE23" i="115"/>
  <c r="DE8" i="115"/>
  <c r="DH42" i="115"/>
  <c r="DA28" i="115"/>
  <c r="DC50" i="115"/>
  <c r="DE49" i="115"/>
  <c r="DJ47" i="115"/>
  <c r="DF26" i="115"/>
  <c r="DE28" i="115"/>
  <c r="DB21" i="115"/>
  <c r="DE42" i="115"/>
  <c r="CY49" i="115"/>
  <c r="DJ11" i="115"/>
  <c r="DJ51" i="115"/>
  <c r="DD24" i="115"/>
  <c r="CZ5" i="115"/>
  <c r="DL19" i="115"/>
  <c r="DJ33" i="115"/>
  <c r="DA54" i="115"/>
  <c r="DA51" i="115"/>
  <c r="DG40" i="115"/>
  <c r="DK29" i="115"/>
  <c r="DG8" i="115"/>
  <c r="DA6" i="115"/>
  <c r="DI16" i="115"/>
  <c r="CY50" i="115"/>
  <c r="DJ44" i="115"/>
  <c r="DJ32" i="115"/>
  <c r="DF27" i="115"/>
  <c r="CY22" i="115"/>
  <c r="DF11" i="115"/>
  <c r="DI44" i="115"/>
  <c r="DE25" i="115"/>
  <c r="DE9" i="115"/>
  <c r="DG47" i="115"/>
  <c r="DK36" i="115"/>
  <c r="DK20" i="115"/>
  <c r="DG15" i="115"/>
  <c r="DD43" i="115"/>
  <c r="DI21" i="115"/>
  <c r="DE4" i="115"/>
  <c r="DL48" i="115"/>
  <c r="DH43" i="115"/>
  <c r="DL32" i="115"/>
  <c r="DL16" i="115"/>
  <c r="DH11" i="115"/>
  <c r="DL52" i="115"/>
  <c r="DC17" i="115"/>
  <c r="DB10" i="115"/>
  <c r="DJ17" i="115"/>
  <c r="DE20" i="115"/>
  <c r="DH48" i="115"/>
  <c r="DH18" i="115"/>
  <c r="DC36" i="115"/>
  <c r="DF50" i="115"/>
  <c r="DA31" i="115"/>
  <c r="DJ15" i="115"/>
  <c r="DF20" i="115"/>
  <c r="DE37" i="115"/>
  <c r="DB15" i="115"/>
  <c r="DL33" i="115"/>
  <c r="DE33" i="115"/>
  <c r="DI43" i="115"/>
  <c r="DE53" i="115"/>
  <c r="DF38" i="115"/>
  <c r="DI36" i="115"/>
  <c r="DL25" i="115"/>
  <c r="DG33" i="115"/>
  <c r="DB45" i="115"/>
  <c r="DC31" i="115"/>
  <c r="CZ32" i="115"/>
  <c r="DE54" i="115"/>
  <c r="DJ21" i="115"/>
  <c r="DB4" i="115"/>
  <c r="DH49" i="115"/>
  <c r="DA45" i="115"/>
  <c r="DA29" i="115"/>
  <c r="DK23" i="115"/>
  <c r="DA13" i="115"/>
  <c r="DK7" i="115"/>
  <c r="DE15" i="115"/>
  <c r="DD44" i="115"/>
  <c r="DK46" i="115"/>
  <c r="DA36" i="115"/>
  <c r="DG25" i="115"/>
  <c r="DH53" i="115"/>
  <c r="DB48" i="115"/>
  <c r="DL42" i="115"/>
  <c r="DH37" i="115"/>
  <c r="DB32" i="115"/>
  <c r="DL26" i="115"/>
  <c r="DH21" i="115"/>
  <c r="DB16" i="115"/>
  <c r="DL10" i="115"/>
  <c r="DJ55" i="115"/>
  <c r="CY52" i="115"/>
  <c r="DJ37" i="115"/>
  <c r="DI30" i="115"/>
  <c r="DF21" i="115"/>
  <c r="DK49" i="115"/>
  <c r="DL45" i="115"/>
  <c r="DC21" i="115"/>
  <c r="DC38" i="115"/>
  <c r="DC52" i="115"/>
  <c r="DF18" i="115"/>
  <c r="DL35" i="115"/>
  <c r="DL51" i="115"/>
  <c r="DH51" i="115"/>
  <c r="DH22" i="115"/>
  <c r="DE39" i="115"/>
  <c r="DE44" i="115"/>
  <c r="DI17" i="115"/>
  <c r="DI35" i="115"/>
  <c r="DL49" i="115"/>
  <c r="DB55" i="115"/>
  <c r="DJ41" i="115"/>
  <c r="DC37" i="115"/>
  <c r="DF28" i="115"/>
  <c r="DH50" i="115"/>
  <c r="DI47" i="115"/>
  <c r="DH19" i="115"/>
  <c r="DF42" i="115"/>
  <c r="DB49" i="115"/>
  <c r="DB31" i="115"/>
  <c r="DC49" i="115"/>
  <c r="DB35" i="115"/>
  <c r="AV258" i="35"/>
  <c r="AY258" i="35"/>
  <c r="H10" i="5"/>
  <c r="DI6" i="115"/>
  <c r="L58" i="5" s="1"/>
  <c r="DC6" i="115"/>
  <c r="DH5" i="115"/>
  <c r="DJ5" i="115"/>
  <c r="DK6" i="115"/>
  <c r="DE6" i="115"/>
  <c r="DG6" i="115"/>
  <c r="DB6" i="115"/>
  <c r="DJ6" i="115"/>
  <c r="DI5" i="115"/>
  <c r="DC5" i="115"/>
  <c r="DG5" i="115"/>
  <c r="DL5" i="115"/>
  <c r="DK5" i="115"/>
  <c r="DF5" i="115"/>
  <c r="DA5" i="115"/>
  <c r="DD5" i="115"/>
  <c r="CY4" i="115"/>
  <c r="DD4" i="115"/>
  <c r="DF4" i="115"/>
  <c r="DD39" i="115"/>
  <c r="CZ39" i="115"/>
  <c r="CZ38" i="115"/>
  <c r="DD38" i="115"/>
  <c r="DK34" i="115"/>
  <c r="CZ51" i="115"/>
  <c r="DD48" i="115"/>
  <c r="CY51" i="115"/>
  <c r="DF14" i="115"/>
  <c r="DK27" i="115"/>
  <c r="DJ54" i="115"/>
  <c r="DG19" i="115"/>
  <c r="DC18" i="115"/>
  <c r="DB38" i="115"/>
  <c r="DB22" i="115"/>
  <c r="DE34" i="115"/>
  <c r="DE50" i="115"/>
  <c r="DL47" i="115"/>
  <c r="DH54" i="115"/>
  <c r="DD52" i="115"/>
  <c r="CZ36" i="115"/>
  <c r="CZ43" i="115"/>
  <c r="DD50" i="115"/>
  <c r="CY45" i="115"/>
  <c r="CZ53" i="115"/>
  <c r="DD9" i="115"/>
  <c r="CY27" i="115"/>
  <c r="DC27" i="115"/>
  <c r="DH55" i="115"/>
  <c r="DL38" i="115"/>
  <c r="DL22" i="115"/>
  <c r="DL6" i="115"/>
  <c r="DL15" i="115"/>
  <c r="DJ31" i="115"/>
  <c r="DH38" i="115"/>
  <c r="DC42" i="115"/>
  <c r="CY33" i="115"/>
  <c r="DC19" i="115"/>
  <c r="CY17" i="115"/>
  <c r="CZ28" i="115"/>
  <c r="CY39" i="115"/>
  <c r="CY28" i="115"/>
  <c r="CZ8" i="115"/>
  <c r="CZ35" i="115"/>
  <c r="CZ26" i="115"/>
  <c r="CY37" i="115"/>
  <c r="CZ45" i="115"/>
  <c r="CY11" i="115"/>
  <c r="CZ6" i="115"/>
  <c r="DD6" i="115"/>
  <c r="DD46" i="115"/>
  <c r="CZ46" i="115"/>
  <c r="DD15" i="115"/>
  <c r="CZ15" i="115"/>
  <c r="DA26" i="115"/>
  <c r="DA44" i="115"/>
  <c r="CZ37" i="115"/>
  <c r="DI18" i="115"/>
  <c r="DJ22" i="115"/>
  <c r="DL31" i="115"/>
  <c r="CZ12" i="115"/>
  <c r="DB7" i="115"/>
  <c r="L44" i="5" s="1"/>
  <c r="DC35" i="115"/>
  <c r="DK51" i="115"/>
  <c r="DK35" i="115"/>
  <c r="DF23" i="115"/>
  <c r="DF7" i="115"/>
  <c r="DG27" i="115"/>
  <c r="DB46" i="115"/>
  <c r="DB30" i="115"/>
  <c r="DF6" i="115"/>
  <c r="DB47" i="115"/>
  <c r="DL23" i="115"/>
  <c r="DD20" i="115"/>
  <c r="CY15" i="115"/>
  <c r="DD25" i="115"/>
  <c r="CZ9" i="115"/>
  <c r="CZ11" i="115"/>
  <c r="CY20" i="115"/>
  <c r="DD18" i="115"/>
  <c r="CY13" i="115"/>
  <c r="CZ21" i="115"/>
  <c r="CY36" i="115"/>
  <c r="CZ16" i="115"/>
  <c r="DD22" i="115"/>
  <c r="CZ22" i="115"/>
  <c r="DD7" i="115"/>
  <c r="CZ7" i="115"/>
  <c r="DD54" i="115"/>
  <c r="CZ54" i="115"/>
  <c r="DG34" i="115"/>
  <c r="CY48" i="115"/>
  <c r="DK26" i="115"/>
  <c r="DD49" i="115"/>
  <c r="DD26" i="115"/>
  <c r="CZ10" i="115"/>
  <c r="DJ46" i="115"/>
  <c r="DI10" i="115"/>
  <c r="DL46" i="115"/>
  <c r="DL30" i="115"/>
  <c r="DL14" i="115"/>
  <c r="L64" i="5" s="1"/>
  <c r="DH6" i="115"/>
  <c r="DI42" i="115"/>
  <c r="DF54" i="115"/>
  <c r="DF22" i="115"/>
  <c r="DB39" i="115"/>
  <c r="DE10" i="115"/>
  <c r="DL7" i="115"/>
  <c r="DI50" i="115"/>
  <c r="DL39" i="115"/>
  <c r="DD12" i="115"/>
  <c r="CY7" i="115"/>
  <c r="DD16" i="115"/>
  <c r="CY19" i="115"/>
  <c r="CZ49" i="115"/>
  <c r="DD10" i="115"/>
  <c r="CY5" i="115"/>
  <c r="L36" i="5" s="1"/>
  <c r="DD40" i="115"/>
  <c r="DD47" i="115"/>
  <c r="CZ47" i="115"/>
  <c r="CZ31" i="115"/>
  <c r="DD31" i="115"/>
  <c r="CZ55" i="115"/>
  <c r="DD55" i="115"/>
  <c r="CZ30" i="115"/>
  <c r="DD30" i="115"/>
  <c r="DD14" i="115"/>
  <c r="CZ14" i="115"/>
  <c r="CZ23" i="115"/>
  <c r="DD23" i="115"/>
  <c r="DH23" i="115"/>
  <c r="DE26" i="115"/>
  <c r="DJ28" i="115"/>
  <c r="DA19" i="115"/>
  <c r="DI11" i="115"/>
  <c r="DI19" i="115"/>
  <c r="DH30" i="115"/>
  <c r="DC43" i="115"/>
  <c r="DG42" i="115"/>
  <c r="DG26" i="115"/>
  <c r="DG10" i="115"/>
  <c r="DC10" i="115"/>
  <c r="DF47" i="115"/>
  <c r="CY42" i="115"/>
  <c r="DF39" i="115"/>
  <c r="DA50" i="115"/>
  <c r="DA34" i="115"/>
  <c r="DH47" i="115"/>
  <c r="DH31" i="115"/>
  <c r="DL54" i="115"/>
  <c r="DJ39" i="115"/>
  <c r="CY41" i="115"/>
  <c r="DI51" i="115"/>
  <c r="DL55" i="115"/>
  <c r="DI34" i="115"/>
  <c r="DJ7" i="115"/>
  <c r="DF46" i="115"/>
  <c r="CY6" i="115"/>
  <c r="DD41" i="115"/>
  <c r="CZ25" i="115"/>
  <c r="CZ50" i="115"/>
  <c r="CZ41" i="115"/>
  <c r="AY261" i="35"/>
  <c r="AW261" i="35"/>
  <c r="AW260" i="35"/>
  <c r="AY259" i="35"/>
  <c r="AW259" i="35"/>
  <c r="AV257" i="35"/>
  <c r="AY256" i="35"/>
  <c r="AV256" i="35"/>
  <c r="BI76" i="4"/>
  <c r="D4" i="4" s="1"/>
  <c r="L2" i="114"/>
  <c r="L4" i="114"/>
  <c r="L6" i="114"/>
  <c r="L8" i="114"/>
  <c r="L9" i="114"/>
  <c r="L10" i="114"/>
  <c r="L12" i="114"/>
  <c r="L14" i="114"/>
  <c r="L16" i="114"/>
  <c r="L17" i="114"/>
  <c r="L18" i="114"/>
  <c r="L19" i="114"/>
  <c r="L20" i="114"/>
  <c r="L21" i="114"/>
  <c r="L22" i="114"/>
  <c r="L26" i="114"/>
  <c r="L28" i="114"/>
  <c r="L29" i="114"/>
  <c r="L30" i="114"/>
  <c r="L32" i="114"/>
  <c r="L33" i="114"/>
  <c r="L35" i="114"/>
  <c r="L36" i="114"/>
  <c r="L37" i="114"/>
  <c r="L38" i="114"/>
  <c r="L41" i="114"/>
  <c r="L42" i="114"/>
  <c r="L43" i="114"/>
  <c r="L44" i="114"/>
  <c r="L45" i="114"/>
  <c r="L46" i="114"/>
  <c r="L49" i="114"/>
  <c r="L50" i="114"/>
  <c r="L51" i="114"/>
  <c r="L53" i="114"/>
  <c r="L54" i="114"/>
  <c r="L55" i="114"/>
  <c r="L56" i="114"/>
  <c r="L57" i="114"/>
  <c r="L58" i="114"/>
  <c r="L59" i="114"/>
  <c r="L60" i="114"/>
  <c r="L61" i="114"/>
  <c r="L62" i="114"/>
  <c r="L63" i="114"/>
  <c r="L64" i="114"/>
  <c r="L65" i="114"/>
  <c r="L66" i="114"/>
  <c r="L67" i="114"/>
  <c r="L68" i="114"/>
  <c r="L69" i="114"/>
  <c r="L71" i="114"/>
  <c r="L74" i="114"/>
  <c r="L75" i="114"/>
  <c r="L76" i="114"/>
  <c r="L77" i="114"/>
  <c r="L78" i="114"/>
  <c r="L79" i="114"/>
  <c r="L80" i="114"/>
  <c r="L81" i="114"/>
  <c r="L82" i="114"/>
  <c r="L83" i="114"/>
  <c r="L84" i="114"/>
  <c r="L85" i="114"/>
  <c r="L86" i="114"/>
  <c r="L88" i="114"/>
  <c r="L90" i="114"/>
  <c r="L91" i="114"/>
  <c r="L92" i="114"/>
  <c r="L93" i="114"/>
  <c r="J2" i="114"/>
  <c r="J4" i="114"/>
  <c r="J6" i="114"/>
  <c r="J8" i="114"/>
  <c r="J9" i="114"/>
  <c r="J10" i="114"/>
  <c r="J12" i="114"/>
  <c r="J14" i="114"/>
  <c r="J16" i="114"/>
  <c r="J17" i="114"/>
  <c r="J18" i="114"/>
  <c r="J19" i="114"/>
  <c r="J20" i="114"/>
  <c r="J21" i="114"/>
  <c r="J22" i="114"/>
  <c r="J26" i="114"/>
  <c r="J28" i="114"/>
  <c r="J29" i="114"/>
  <c r="J30" i="114"/>
  <c r="J32" i="114"/>
  <c r="J33" i="114"/>
  <c r="J35" i="114"/>
  <c r="J36" i="114"/>
  <c r="J37" i="114"/>
  <c r="J38" i="114"/>
  <c r="J41" i="114"/>
  <c r="J42" i="114"/>
  <c r="J43" i="114"/>
  <c r="J44" i="114"/>
  <c r="J45" i="114"/>
  <c r="J46" i="114"/>
  <c r="J49" i="114"/>
  <c r="J50" i="114"/>
  <c r="J51" i="114"/>
  <c r="J53" i="114"/>
  <c r="J54" i="114"/>
  <c r="J55" i="114"/>
  <c r="J56" i="114"/>
  <c r="J57" i="114"/>
  <c r="J58" i="114"/>
  <c r="J59" i="114"/>
  <c r="J60" i="114"/>
  <c r="J61" i="114"/>
  <c r="J62" i="114"/>
  <c r="J63" i="114"/>
  <c r="J64" i="114"/>
  <c r="J65" i="114"/>
  <c r="J66" i="114"/>
  <c r="J67" i="114"/>
  <c r="J68" i="114"/>
  <c r="J69" i="114"/>
  <c r="J71" i="114"/>
  <c r="J74" i="114"/>
  <c r="J75" i="114"/>
  <c r="J76" i="114"/>
  <c r="J77" i="114"/>
  <c r="J78" i="114"/>
  <c r="J79" i="114"/>
  <c r="J80" i="114"/>
  <c r="J81" i="114"/>
  <c r="J82" i="114"/>
  <c r="J83" i="114"/>
  <c r="J84" i="114"/>
  <c r="J85" i="114"/>
  <c r="J86" i="114"/>
  <c r="J88" i="114"/>
  <c r="J90" i="114"/>
  <c r="J91" i="114"/>
  <c r="J92" i="114"/>
  <c r="J93" i="114"/>
  <c r="I2" i="114"/>
  <c r="I4" i="114"/>
  <c r="I6" i="114"/>
  <c r="I8" i="114"/>
  <c r="I9" i="114"/>
  <c r="I10" i="114"/>
  <c r="I12" i="114"/>
  <c r="I14" i="114"/>
  <c r="I16" i="114"/>
  <c r="I17" i="114"/>
  <c r="I18" i="114"/>
  <c r="I19" i="114"/>
  <c r="I20" i="114"/>
  <c r="I21" i="114"/>
  <c r="I22" i="114"/>
  <c r="I26" i="114"/>
  <c r="I28" i="114"/>
  <c r="I29" i="114"/>
  <c r="I30" i="114"/>
  <c r="I32" i="114"/>
  <c r="I33" i="114"/>
  <c r="I35" i="114"/>
  <c r="I36" i="114"/>
  <c r="I37" i="114"/>
  <c r="I38" i="114"/>
  <c r="I41" i="114"/>
  <c r="I42" i="114"/>
  <c r="I43" i="114"/>
  <c r="I44" i="114"/>
  <c r="I45" i="114"/>
  <c r="I46" i="114"/>
  <c r="I49" i="114"/>
  <c r="I50" i="114"/>
  <c r="I51" i="114"/>
  <c r="I53" i="114"/>
  <c r="I54" i="114"/>
  <c r="I55" i="114"/>
  <c r="I56" i="114"/>
  <c r="I57" i="114"/>
  <c r="I58" i="114"/>
  <c r="I59" i="114"/>
  <c r="I60" i="114"/>
  <c r="I61" i="114"/>
  <c r="I62" i="114"/>
  <c r="I63" i="114"/>
  <c r="I64" i="114"/>
  <c r="I65" i="114"/>
  <c r="I66" i="114"/>
  <c r="I67" i="114"/>
  <c r="I68" i="114"/>
  <c r="I69" i="114"/>
  <c r="I71" i="114"/>
  <c r="I74" i="114"/>
  <c r="I75" i="114"/>
  <c r="I76" i="114"/>
  <c r="I77" i="114"/>
  <c r="I78" i="114"/>
  <c r="I79" i="114"/>
  <c r="I80" i="114"/>
  <c r="I81" i="114"/>
  <c r="I82" i="114"/>
  <c r="I83" i="114"/>
  <c r="I84" i="114"/>
  <c r="I85" i="114"/>
  <c r="I86" i="114"/>
  <c r="I88" i="114"/>
  <c r="I90" i="114"/>
  <c r="I91" i="114"/>
  <c r="I92" i="114"/>
  <c r="I93" i="114"/>
  <c r="H2" i="114"/>
  <c r="H4" i="114"/>
  <c r="H6" i="114"/>
  <c r="H8" i="114"/>
  <c r="H9" i="114"/>
  <c r="H10" i="114"/>
  <c r="H12" i="114"/>
  <c r="H14" i="114"/>
  <c r="H16" i="114"/>
  <c r="H17" i="114"/>
  <c r="H18" i="114"/>
  <c r="H19" i="114"/>
  <c r="H20" i="114"/>
  <c r="H21" i="114"/>
  <c r="H22" i="114"/>
  <c r="H26" i="114"/>
  <c r="H28" i="114"/>
  <c r="H29" i="114"/>
  <c r="H30" i="114"/>
  <c r="H32" i="114"/>
  <c r="H33" i="114"/>
  <c r="H35" i="114"/>
  <c r="H36" i="114"/>
  <c r="H37" i="114"/>
  <c r="H38" i="114"/>
  <c r="H41" i="114"/>
  <c r="H42" i="114"/>
  <c r="H43" i="114"/>
  <c r="H44" i="114"/>
  <c r="H45" i="114"/>
  <c r="H46" i="114"/>
  <c r="H49" i="114"/>
  <c r="H50" i="114"/>
  <c r="H51" i="114"/>
  <c r="H53" i="114"/>
  <c r="H54" i="114"/>
  <c r="H55" i="114"/>
  <c r="H56" i="114"/>
  <c r="H57" i="114"/>
  <c r="H58" i="114"/>
  <c r="H59" i="114"/>
  <c r="H60" i="114"/>
  <c r="H61" i="114"/>
  <c r="H62" i="114"/>
  <c r="H63" i="114"/>
  <c r="H64" i="114"/>
  <c r="H65" i="114"/>
  <c r="H66" i="114"/>
  <c r="H67" i="114"/>
  <c r="H68" i="114"/>
  <c r="H69" i="114"/>
  <c r="H71" i="114"/>
  <c r="H74" i="114"/>
  <c r="H75" i="114"/>
  <c r="H76" i="114"/>
  <c r="H77" i="114"/>
  <c r="H78" i="114"/>
  <c r="H79" i="114"/>
  <c r="H80" i="114"/>
  <c r="H81" i="114"/>
  <c r="H82" i="114"/>
  <c r="H83" i="114"/>
  <c r="H84" i="114"/>
  <c r="H85" i="114"/>
  <c r="H86" i="114"/>
  <c r="H88" i="114"/>
  <c r="H90" i="114"/>
  <c r="H91" i="114"/>
  <c r="H92" i="114"/>
  <c r="H93" i="114"/>
  <c r="L10" i="5" l="1"/>
  <c r="L12" i="5"/>
  <c r="H124" i="35" l="1"/>
  <c r="H112" i="35"/>
  <c r="H111" i="35"/>
  <c r="B275" i="35"/>
  <c r="F6" i="5"/>
  <c r="D277" i="35"/>
  <c r="D276" i="35"/>
  <c r="D275" i="35"/>
  <c r="Q273" i="35"/>
  <c r="O273" i="35"/>
  <c r="M273" i="35"/>
  <c r="AZ272" i="35"/>
  <c r="AY272" i="35"/>
  <c r="AW272" i="35"/>
  <c r="AV272" i="35"/>
  <c r="Q272" i="35"/>
  <c r="O272" i="35"/>
  <c r="M272" i="35"/>
  <c r="AZ271" i="35"/>
  <c r="AY271" i="35"/>
  <c r="AW271" i="35"/>
  <c r="AV271" i="35"/>
  <c r="Q271" i="35"/>
  <c r="O271" i="35"/>
  <c r="M271" i="35"/>
  <c r="AZ270" i="35"/>
  <c r="AY270" i="35"/>
  <c r="AW270" i="35"/>
  <c r="AV270" i="35"/>
  <c r="Q270" i="35"/>
  <c r="O270" i="35"/>
  <c r="M270" i="35"/>
  <c r="AZ269" i="35"/>
  <c r="AY269" i="35"/>
  <c r="AW269" i="35"/>
  <c r="AV269" i="35"/>
  <c r="Q269" i="35"/>
  <c r="O269" i="35"/>
  <c r="M269" i="35"/>
  <c r="AZ268" i="35"/>
  <c r="AY268" i="35"/>
  <c r="AW268" i="35"/>
  <c r="AV268" i="35"/>
  <c r="Q268" i="35"/>
  <c r="O268" i="35"/>
  <c r="M268" i="35"/>
  <c r="AZ267" i="35"/>
  <c r="AY267" i="35"/>
  <c r="AW267" i="35"/>
  <c r="AV267" i="35"/>
  <c r="Q267" i="35"/>
  <c r="O267" i="35"/>
  <c r="M267" i="35"/>
  <c r="AZ266" i="35"/>
  <c r="AY266" i="35"/>
  <c r="AW266" i="35"/>
  <c r="AV266" i="35"/>
  <c r="Q266" i="35"/>
  <c r="O266" i="35"/>
  <c r="M266" i="35"/>
  <c r="AZ265" i="35"/>
  <c r="AY265" i="35"/>
  <c r="AW265" i="35"/>
  <c r="AV265" i="35"/>
  <c r="Q265" i="35"/>
  <c r="O265" i="35"/>
  <c r="M265" i="35"/>
  <c r="AZ264" i="35"/>
  <c r="AY264" i="35"/>
  <c r="AW264" i="35"/>
  <c r="AV264" i="35"/>
  <c r="Q264" i="35"/>
  <c r="O264" i="35"/>
  <c r="M264" i="35"/>
  <c r="AZ263" i="35"/>
  <c r="AZ262" i="35"/>
  <c r="AZ261" i="35"/>
  <c r="AZ260" i="35"/>
  <c r="AZ259" i="35"/>
  <c r="AZ258" i="35"/>
  <c r="AZ257" i="35"/>
  <c r="AZ256" i="35"/>
  <c r="AZ255" i="35"/>
  <c r="AZ254" i="35"/>
  <c r="AZ253" i="35"/>
  <c r="AY253" i="35"/>
  <c r="AW253" i="35"/>
  <c r="AV253" i="35"/>
  <c r="Q253" i="35"/>
  <c r="O253" i="35"/>
  <c r="M253" i="35"/>
  <c r="AZ252" i="35"/>
  <c r="AY252" i="35"/>
  <c r="AW252" i="35"/>
  <c r="AV252" i="35"/>
  <c r="Q252" i="35"/>
  <c r="O252" i="35"/>
  <c r="M252" i="35"/>
  <c r="AZ251" i="35"/>
  <c r="AY251" i="35"/>
  <c r="AW251" i="35"/>
  <c r="AV251" i="35"/>
  <c r="Q251" i="35"/>
  <c r="O251" i="35"/>
  <c r="M251" i="35"/>
  <c r="AZ250" i="35"/>
  <c r="AY250" i="35"/>
  <c r="AW250" i="35"/>
  <c r="AV250" i="35"/>
  <c r="Q250" i="35"/>
  <c r="O250" i="35"/>
  <c r="M250" i="35"/>
  <c r="AZ249" i="35"/>
  <c r="AY249" i="35"/>
  <c r="AW249" i="35"/>
  <c r="AV249" i="35"/>
  <c r="Q249" i="35"/>
  <c r="O249" i="35"/>
  <c r="M249" i="35"/>
  <c r="AZ248" i="35"/>
  <c r="AY248" i="35"/>
  <c r="AW248" i="35"/>
  <c r="AV248" i="35"/>
  <c r="Q248" i="35"/>
  <c r="O248" i="35"/>
  <c r="M248" i="35"/>
  <c r="AZ247" i="35"/>
  <c r="AY247" i="35"/>
  <c r="AW247" i="35"/>
  <c r="AV247" i="35"/>
  <c r="Q247" i="35"/>
  <c r="O247" i="35"/>
  <c r="M247" i="35"/>
  <c r="AZ246" i="35"/>
  <c r="AY246" i="35"/>
  <c r="AW246" i="35"/>
  <c r="AV246" i="35"/>
  <c r="Q246" i="35"/>
  <c r="O246" i="35"/>
  <c r="M246" i="35"/>
  <c r="AZ245" i="35"/>
  <c r="AY245" i="35"/>
  <c r="AW245" i="35"/>
  <c r="AV245" i="35"/>
  <c r="Q245" i="35"/>
  <c r="O245" i="35"/>
  <c r="M245" i="35"/>
  <c r="AZ244" i="35"/>
  <c r="AY244" i="35"/>
  <c r="AW244" i="35"/>
  <c r="AV244" i="35"/>
  <c r="Q244" i="35"/>
  <c r="O244" i="35"/>
  <c r="M244" i="35"/>
  <c r="AZ243" i="35"/>
  <c r="AY243" i="35"/>
  <c r="AW243" i="35"/>
  <c r="AV243" i="35"/>
  <c r="Q243" i="35"/>
  <c r="O243" i="35"/>
  <c r="M243" i="35"/>
  <c r="AZ242" i="35"/>
  <c r="AY242" i="35"/>
  <c r="AW242" i="35"/>
  <c r="AV242" i="35"/>
  <c r="Q242" i="35"/>
  <c r="O242" i="35"/>
  <c r="M242" i="35"/>
  <c r="AZ241" i="35"/>
  <c r="AY241" i="35"/>
  <c r="AW241" i="35"/>
  <c r="AV241" i="35"/>
  <c r="Q241" i="35"/>
  <c r="O241" i="35"/>
  <c r="M241" i="35"/>
  <c r="AZ240" i="35"/>
  <c r="AY240" i="35"/>
  <c r="AW240" i="35"/>
  <c r="AV240" i="35"/>
  <c r="Q240" i="35"/>
  <c r="O240" i="35"/>
  <c r="M240" i="35"/>
  <c r="AZ239" i="35"/>
  <c r="AY239" i="35"/>
  <c r="AW239" i="35"/>
  <c r="AV239" i="35"/>
  <c r="Q239" i="35"/>
  <c r="O239" i="35"/>
  <c r="M239" i="35"/>
  <c r="AZ238" i="35"/>
  <c r="AY238" i="35"/>
  <c r="Q238" i="35" s="1"/>
  <c r="AW238" i="35"/>
  <c r="AV238" i="35"/>
  <c r="AZ237" i="35"/>
  <c r="AY237" i="35"/>
  <c r="AW237" i="35"/>
  <c r="AV237" i="35"/>
  <c r="Q237" i="35"/>
  <c r="O237" i="35"/>
  <c r="M237" i="35"/>
  <c r="AZ236" i="35"/>
  <c r="AY236" i="35"/>
  <c r="AW236" i="35"/>
  <c r="AV236" i="35"/>
  <c r="M236" i="35" s="1"/>
  <c r="AZ235" i="35"/>
  <c r="AY235" i="35"/>
  <c r="AW235" i="35"/>
  <c r="AV235" i="35"/>
  <c r="Q235" i="35"/>
  <c r="O235" i="35"/>
  <c r="M235" i="35"/>
  <c r="AZ234" i="35"/>
  <c r="AY234" i="35"/>
  <c r="Q234" i="35" s="1"/>
  <c r="AW234" i="35"/>
  <c r="AV234" i="35"/>
  <c r="AS2" i="19" l="1"/>
  <c r="U2" i="121" s="1"/>
  <c r="BO34" i="35"/>
  <c r="BF34" i="35"/>
  <c r="AX34" i="35"/>
  <c r="BN34" i="35"/>
  <c r="BE34" i="35"/>
  <c r="AW34" i="35"/>
  <c r="BK34" i="35"/>
  <c r="BJ34" i="35"/>
  <c r="BB34" i="35"/>
  <c r="AR34" i="35"/>
  <c r="BI34" i="35"/>
  <c r="BA34" i="35"/>
  <c r="BM34" i="35"/>
  <c r="BD34" i="35"/>
  <c r="AY34" i="35"/>
  <c r="BL34" i="35"/>
  <c r="BC34" i="35"/>
  <c r="AV34" i="35"/>
  <c r="AU34" i="35"/>
  <c r="BG34" i="35"/>
  <c r="AQ34" i="35"/>
  <c r="BH34" i="35"/>
  <c r="BP34" i="35"/>
  <c r="AZ34" i="35"/>
  <c r="AQ2" i="19"/>
  <c r="S2" i="121" s="1"/>
  <c r="BM50" i="35"/>
  <c r="BJ50" i="35"/>
  <c r="BB50" i="35"/>
  <c r="AQ50" i="35"/>
  <c r="BL50" i="35"/>
  <c r="BI50" i="35"/>
  <c r="BA50" i="35"/>
  <c r="BF50" i="35"/>
  <c r="AX50" i="35"/>
  <c r="BP50" i="35"/>
  <c r="BE50" i="35"/>
  <c r="AW50" i="35"/>
  <c r="BH50" i="35"/>
  <c r="BG50" i="35"/>
  <c r="AU50" i="35"/>
  <c r="BK50" i="35"/>
  <c r="AZ50" i="35"/>
  <c r="AY50" i="35"/>
  <c r="AV50" i="35"/>
  <c r="BO50" i="35"/>
  <c r="BN50" i="35"/>
  <c r="BC50" i="35"/>
  <c r="AR50" i="35"/>
  <c r="BD50" i="35"/>
  <c r="AT2" i="19"/>
  <c r="V2" i="121" s="1"/>
  <c r="BH46" i="35"/>
  <c r="AZ46" i="35"/>
  <c r="BP46" i="35"/>
  <c r="BG46" i="35"/>
  <c r="AY46" i="35"/>
  <c r="BM46" i="35"/>
  <c r="BD46" i="35"/>
  <c r="AV46" i="35"/>
  <c r="BL46" i="35"/>
  <c r="AU46" i="35"/>
  <c r="BC46" i="35"/>
  <c r="AR46" i="35"/>
  <c r="BF46" i="35"/>
  <c r="BE46" i="35"/>
  <c r="BO46" i="35"/>
  <c r="AX46" i="35"/>
  <c r="AW46" i="35"/>
  <c r="BJ46" i="35"/>
  <c r="BB46" i="35"/>
  <c r="BN46" i="35"/>
  <c r="BK46" i="35"/>
  <c r="AQ46" i="35"/>
  <c r="BI46" i="35"/>
  <c r="BA46" i="35"/>
  <c r="AS50" i="35"/>
  <c r="AT50" i="35"/>
  <c r="H108" i="35"/>
  <c r="AS46" i="35"/>
  <c r="AT46" i="35"/>
  <c r="H119" i="35"/>
  <c r="H159" i="35"/>
  <c r="AS34" i="35"/>
  <c r="AT34" i="35"/>
  <c r="AW255" i="35"/>
  <c r="AY255" i="35"/>
  <c r="AV255" i="35"/>
  <c r="O234" i="35"/>
  <c r="O236" i="35"/>
  <c r="Q236" i="35"/>
  <c r="Q275" i="35" s="1"/>
  <c r="O238" i="35"/>
  <c r="M238" i="35"/>
  <c r="M234" i="35"/>
  <c r="AT234" i="35" s="1"/>
  <c r="C2" i="19"/>
  <c r="J4" i="5"/>
  <c r="J10" i="5"/>
  <c r="P10" i="5"/>
  <c r="R10" i="5"/>
  <c r="T10" i="5"/>
  <c r="J12" i="5"/>
  <c r="P12" i="5"/>
  <c r="R12" i="5"/>
  <c r="T12" i="5"/>
  <c r="J14" i="5"/>
  <c r="P14" i="5"/>
  <c r="R14" i="5"/>
  <c r="T14" i="5"/>
  <c r="P20" i="5"/>
  <c r="X20" i="5"/>
  <c r="P22" i="5"/>
  <c r="X22" i="5"/>
  <c r="P24" i="5"/>
  <c r="X24" i="5"/>
  <c r="P26" i="5"/>
  <c r="X26" i="5"/>
  <c r="X28" i="5"/>
  <c r="P30" i="5"/>
  <c r="X30" i="5"/>
  <c r="P42" i="5"/>
  <c r="R50" i="5"/>
  <c r="BD92" i="35" l="1"/>
  <c r="F203" i="35" s="1"/>
  <c r="BP92" i="35"/>
  <c r="BA92" i="35"/>
  <c r="F194" i="35" s="1"/>
  <c r="AW92" i="35"/>
  <c r="F199" i="35" s="1"/>
  <c r="BM92" i="35"/>
  <c r="BE92" i="35"/>
  <c r="F196" i="35" s="1"/>
  <c r="AT92" i="35"/>
  <c r="AU92" i="35"/>
  <c r="BI92" i="35"/>
  <c r="F201" i="35" s="1"/>
  <c r="AX92" i="35"/>
  <c r="F204" i="35" s="1"/>
  <c r="BK92" i="35"/>
  <c r="AS92" i="35"/>
  <c r="AV92" i="35"/>
  <c r="F206" i="35" s="1"/>
  <c r="AR92" i="35"/>
  <c r="AA4" i="35" s="1"/>
  <c r="BF92" i="35"/>
  <c r="F193" i="35" s="1"/>
  <c r="AY92" i="35"/>
  <c r="F198" i="35" s="1"/>
  <c r="BH92" i="35"/>
  <c r="F197" i="35" s="1"/>
  <c r="BG92" i="35"/>
  <c r="F205" i="35" s="1"/>
  <c r="BC92" i="35"/>
  <c r="F202" i="35" s="1"/>
  <c r="BB92" i="35"/>
  <c r="F192" i="35" s="1"/>
  <c r="BO92" i="35"/>
  <c r="AQ92" i="35"/>
  <c r="BN92" i="35"/>
  <c r="AZ92" i="35"/>
  <c r="F200" i="35" s="1"/>
  <c r="BL92" i="35"/>
  <c r="BJ92" i="35"/>
  <c r="F195" i="35" s="1"/>
  <c r="D10" i="35"/>
  <c r="B188" i="35" a="1"/>
  <c r="B188" i="35" s="1"/>
  <c r="B186" i="35" a="1"/>
  <c r="B186" i="35" s="1"/>
  <c r="B187" i="35" a="1"/>
  <c r="B187" i="35" s="1"/>
  <c r="B184" i="35" a="1"/>
  <c r="B184" i="35" s="1"/>
  <c r="B185" i="35" a="1"/>
  <c r="B185" i="35" s="1"/>
  <c r="O275" i="35"/>
  <c r="M275" i="35"/>
  <c r="U6" i="35"/>
  <c r="L14" i="5"/>
  <c r="AD297" i="104"/>
  <c r="AC295" i="104"/>
  <c r="AE299" i="104" s="1"/>
  <c r="AD282" i="104"/>
  <c r="AC280" i="104"/>
  <c r="AD267" i="104"/>
  <c r="AC265" i="104"/>
  <c r="AE269" i="104" s="1"/>
  <c r="AD252" i="104"/>
  <c r="AC250" i="104"/>
  <c r="AE254" i="104" s="1"/>
  <c r="AD237" i="104"/>
  <c r="AC235" i="104"/>
  <c r="AE239" i="104" s="1"/>
  <c r="AD222" i="104"/>
  <c r="AC220" i="104"/>
  <c r="AD207" i="104"/>
  <c r="AC205" i="104"/>
  <c r="AE209" i="104" s="1"/>
  <c r="AD192" i="104"/>
  <c r="AC190" i="104"/>
  <c r="AE194" i="104" s="1"/>
  <c r="AD177" i="104"/>
  <c r="AC175" i="104"/>
  <c r="AE179" i="104" s="1"/>
  <c r="AD162" i="104"/>
  <c r="AC160" i="104"/>
  <c r="AD147" i="104"/>
  <c r="AC145" i="104"/>
  <c r="AE149" i="104" s="1"/>
  <c r="AD132" i="104"/>
  <c r="AC130" i="104"/>
  <c r="AE134" i="104" s="1"/>
  <c r="AD117" i="104"/>
  <c r="AC115" i="104"/>
  <c r="AE119" i="104" s="1"/>
  <c r="AD102" i="104"/>
  <c r="AC100" i="104"/>
  <c r="AD87" i="104"/>
  <c r="AC85" i="104"/>
  <c r="AE89" i="104" s="1"/>
  <c r="AD72" i="104"/>
  <c r="AC70" i="104"/>
  <c r="AE74" i="104" s="1"/>
  <c r="AD57" i="104"/>
  <c r="AF59" i="104" s="1"/>
  <c r="AC55" i="104"/>
  <c r="AD42" i="104"/>
  <c r="AC40" i="104"/>
  <c r="AA297" i="104"/>
  <c r="AA295" i="104"/>
  <c r="Y295" i="104"/>
  <c r="Y293" i="104"/>
  <c r="Q292" i="104"/>
  <c r="P292" i="104"/>
  <c r="O292" i="104"/>
  <c r="N292" i="104"/>
  <c r="Q291" i="104"/>
  <c r="P291" i="104"/>
  <c r="O291" i="104"/>
  <c r="N291" i="104"/>
  <c r="Y289" i="104"/>
  <c r="AF284" i="104"/>
  <c r="AA282" i="104"/>
  <c r="AE284" i="104"/>
  <c r="AA280" i="104"/>
  <c r="Y280" i="104"/>
  <c r="Y278" i="104"/>
  <c r="Q277" i="104"/>
  <c r="P277" i="104"/>
  <c r="O277" i="104"/>
  <c r="N277" i="104"/>
  <c r="Q276" i="104"/>
  <c r="P276" i="104"/>
  <c r="O276" i="104"/>
  <c r="N276" i="104"/>
  <c r="Y274" i="104"/>
  <c r="AA267" i="104"/>
  <c r="AA265" i="104"/>
  <c r="Y265" i="104"/>
  <c r="Y263" i="104"/>
  <c r="Q262" i="104"/>
  <c r="P262" i="104"/>
  <c r="O262" i="104"/>
  <c r="N262" i="104"/>
  <c r="Q261" i="104"/>
  <c r="P261" i="104"/>
  <c r="O261" i="104"/>
  <c r="N261" i="104"/>
  <c r="Y259" i="104"/>
  <c r="AA252" i="104"/>
  <c r="AA250" i="104"/>
  <c r="Y250" i="104"/>
  <c r="Y248" i="104"/>
  <c r="Q247" i="104"/>
  <c r="P247" i="104"/>
  <c r="O247" i="104"/>
  <c r="N247" i="104"/>
  <c r="Q246" i="104"/>
  <c r="P246" i="104"/>
  <c r="O246" i="104"/>
  <c r="N246" i="104"/>
  <c r="Y244" i="104"/>
  <c r="AA237" i="104"/>
  <c r="AA235" i="104"/>
  <c r="Y235" i="104"/>
  <c r="Y233" i="104"/>
  <c r="Q232" i="104"/>
  <c r="P232" i="104"/>
  <c r="O232" i="104"/>
  <c r="N232" i="104"/>
  <c r="Q231" i="104"/>
  <c r="P231" i="104"/>
  <c r="O231" i="104"/>
  <c r="N231" i="104"/>
  <c r="Y229" i="104"/>
  <c r="AF224" i="104"/>
  <c r="AA222" i="104"/>
  <c r="AE224" i="104"/>
  <c r="AA220" i="104"/>
  <c r="Y220" i="104"/>
  <c r="Y218" i="104"/>
  <c r="Q217" i="104"/>
  <c r="P217" i="104"/>
  <c r="O217" i="104"/>
  <c r="N217" i="104"/>
  <c r="Q216" i="104"/>
  <c r="P216" i="104"/>
  <c r="O216" i="104"/>
  <c r="N216" i="104"/>
  <c r="Y214" i="104"/>
  <c r="AA207" i="104"/>
  <c r="AA205" i="104"/>
  <c r="Y205" i="104"/>
  <c r="Y203" i="104"/>
  <c r="Q202" i="104"/>
  <c r="P202" i="104"/>
  <c r="O202" i="104"/>
  <c r="N202" i="104"/>
  <c r="Q201" i="104"/>
  <c r="P201" i="104"/>
  <c r="O201" i="104"/>
  <c r="N201" i="104"/>
  <c r="Y199" i="104"/>
  <c r="AA192" i="104"/>
  <c r="AA190" i="104"/>
  <c r="Y190" i="104"/>
  <c r="Y188" i="104"/>
  <c r="Q187" i="104"/>
  <c r="P187" i="104"/>
  <c r="O187" i="104"/>
  <c r="N187" i="104"/>
  <c r="Q186" i="104"/>
  <c r="P186" i="104"/>
  <c r="O186" i="104"/>
  <c r="N186" i="104"/>
  <c r="Y184" i="104"/>
  <c r="AA177" i="104"/>
  <c r="AA175" i="104"/>
  <c r="Y175" i="104"/>
  <c r="Y173" i="104"/>
  <c r="Q172" i="104"/>
  <c r="P172" i="104"/>
  <c r="O172" i="104"/>
  <c r="N172" i="104"/>
  <c r="Q171" i="104"/>
  <c r="P171" i="104"/>
  <c r="O171" i="104"/>
  <c r="N171" i="104"/>
  <c r="Y169" i="104"/>
  <c r="AA162" i="104"/>
  <c r="AE164" i="104"/>
  <c r="AA160" i="104"/>
  <c r="Y160" i="104"/>
  <c r="Y158" i="104"/>
  <c r="Q157" i="104"/>
  <c r="P157" i="104"/>
  <c r="O157" i="104"/>
  <c r="N157" i="104"/>
  <c r="Q156" i="104"/>
  <c r="P156" i="104"/>
  <c r="O156" i="104"/>
  <c r="N156" i="104"/>
  <c r="Y154" i="104"/>
  <c r="AA147" i="104"/>
  <c r="AA145" i="104"/>
  <c r="Y145" i="104"/>
  <c r="Y143" i="104"/>
  <c r="Q142" i="104"/>
  <c r="P142" i="104"/>
  <c r="O142" i="104"/>
  <c r="N142" i="104"/>
  <c r="Q141" i="104"/>
  <c r="P141" i="104"/>
  <c r="O141" i="104"/>
  <c r="N141" i="104"/>
  <c r="Y139" i="104"/>
  <c r="AA132" i="104"/>
  <c r="AA130" i="104"/>
  <c r="Y130" i="104"/>
  <c r="Y128" i="104"/>
  <c r="Q127" i="104"/>
  <c r="P127" i="104"/>
  <c r="O127" i="104"/>
  <c r="N127" i="104"/>
  <c r="Q126" i="104"/>
  <c r="P126" i="104"/>
  <c r="O126" i="104"/>
  <c r="N126" i="104"/>
  <c r="Y124" i="104"/>
  <c r="AA117" i="104"/>
  <c r="AA115" i="104"/>
  <c r="Y115" i="104"/>
  <c r="Y113" i="104"/>
  <c r="Q112" i="104"/>
  <c r="P112" i="104"/>
  <c r="O112" i="104"/>
  <c r="N112" i="104"/>
  <c r="Q111" i="104"/>
  <c r="P111" i="104"/>
  <c r="O111" i="104"/>
  <c r="N111" i="104"/>
  <c r="Y109" i="104"/>
  <c r="AA102" i="104"/>
  <c r="AE104" i="104"/>
  <c r="AA100" i="104"/>
  <c r="Y100" i="104"/>
  <c r="Y98" i="104"/>
  <c r="Q97" i="104"/>
  <c r="P97" i="104"/>
  <c r="O97" i="104"/>
  <c r="N97" i="104"/>
  <c r="Q96" i="104"/>
  <c r="P96" i="104"/>
  <c r="O96" i="104"/>
  <c r="N96" i="104"/>
  <c r="Y94" i="104"/>
  <c r="AA87" i="104"/>
  <c r="AA85" i="104"/>
  <c r="Y85" i="104"/>
  <c r="Y83" i="104"/>
  <c r="Q82" i="104"/>
  <c r="P82" i="104"/>
  <c r="O82" i="104"/>
  <c r="N82" i="104"/>
  <c r="Q81" i="104"/>
  <c r="P81" i="104"/>
  <c r="O81" i="104"/>
  <c r="N81" i="104"/>
  <c r="Y79" i="104"/>
  <c r="AF74" i="104"/>
  <c r="AA72" i="104"/>
  <c r="AA70" i="104"/>
  <c r="Y70" i="104"/>
  <c r="Y68" i="104"/>
  <c r="Q67" i="104"/>
  <c r="P67" i="104"/>
  <c r="O67" i="104"/>
  <c r="N67" i="104"/>
  <c r="Q66" i="104"/>
  <c r="P66" i="104"/>
  <c r="O66" i="104"/>
  <c r="N66" i="104"/>
  <c r="Y64" i="104"/>
  <c r="AA57" i="104"/>
  <c r="AE59" i="104"/>
  <c r="AA55" i="104"/>
  <c r="Y55" i="104"/>
  <c r="Y53" i="104"/>
  <c r="Q52" i="104"/>
  <c r="P52" i="104"/>
  <c r="O52" i="104"/>
  <c r="N52" i="104"/>
  <c r="Q51" i="104"/>
  <c r="P51" i="104"/>
  <c r="O51" i="104"/>
  <c r="N51" i="104"/>
  <c r="Y49" i="104"/>
  <c r="AA42" i="104"/>
  <c r="AE44" i="104"/>
  <c r="AA40" i="104"/>
  <c r="Y40" i="104"/>
  <c r="Y38" i="104"/>
  <c r="Q37" i="104"/>
  <c r="P37" i="104"/>
  <c r="O37" i="104"/>
  <c r="N37" i="104"/>
  <c r="Q36" i="104"/>
  <c r="P36" i="104"/>
  <c r="O36" i="104"/>
  <c r="N36" i="104"/>
  <c r="Y34" i="104"/>
  <c r="AA27" i="104"/>
  <c r="AA12" i="104"/>
  <c r="AD27" i="104"/>
  <c r="AC25" i="104"/>
  <c r="AE29" i="104" s="1"/>
  <c r="AA25" i="104"/>
  <c r="Y25" i="104"/>
  <c r="Y23" i="104"/>
  <c r="Q22" i="104"/>
  <c r="P22" i="104"/>
  <c r="O22" i="104"/>
  <c r="N22" i="104"/>
  <c r="Q21" i="104"/>
  <c r="P21" i="104"/>
  <c r="O21" i="104"/>
  <c r="N21" i="104"/>
  <c r="Y19" i="104"/>
  <c r="AD12" i="104"/>
  <c r="AC10" i="104"/>
  <c r="AA10" i="104"/>
  <c r="AA14" i="104" s="1"/>
  <c r="Q7" i="104"/>
  <c r="Q30" i="104"/>
  <c r="Q31" i="104"/>
  <c r="Q45" i="104"/>
  <c r="Q46" i="104"/>
  <c r="Q60" i="104"/>
  <c r="Q61" i="104"/>
  <c r="Q75" i="104"/>
  <c r="Q76" i="104"/>
  <c r="Q90" i="104"/>
  <c r="Q91" i="104"/>
  <c r="Q105" i="104"/>
  <c r="Q106" i="104"/>
  <c r="Q120" i="104"/>
  <c r="Q121" i="104"/>
  <c r="Q135" i="104"/>
  <c r="Q136" i="104"/>
  <c r="Q150" i="104"/>
  <c r="Q151" i="104"/>
  <c r="Q165" i="104"/>
  <c r="Q166" i="104"/>
  <c r="Q180" i="104"/>
  <c r="Q181" i="104"/>
  <c r="Q195" i="104"/>
  <c r="Q196" i="104"/>
  <c r="Q210" i="104"/>
  <c r="Q211" i="104"/>
  <c r="Q225" i="104"/>
  <c r="Q226" i="104"/>
  <c r="Q240" i="104"/>
  <c r="Q241" i="104"/>
  <c r="Q255" i="104"/>
  <c r="Q256" i="104"/>
  <c r="Q270" i="104"/>
  <c r="Q271" i="104"/>
  <c r="Q285" i="104"/>
  <c r="Q286" i="104"/>
  <c r="Q6" i="104"/>
  <c r="O7" i="104"/>
  <c r="O30" i="104"/>
  <c r="O31" i="104"/>
  <c r="O45" i="104"/>
  <c r="O46" i="104"/>
  <c r="O60" i="104"/>
  <c r="O61" i="104"/>
  <c r="O75" i="104"/>
  <c r="O76" i="104"/>
  <c r="O90" i="104"/>
  <c r="O91" i="104"/>
  <c r="O105" i="104"/>
  <c r="O106" i="104"/>
  <c r="O120" i="104"/>
  <c r="O121" i="104"/>
  <c r="O135" i="104"/>
  <c r="O136" i="104"/>
  <c r="O150" i="104"/>
  <c r="O151" i="104"/>
  <c r="O165" i="104"/>
  <c r="O166" i="104"/>
  <c r="O180" i="104"/>
  <c r="O181" i="104"/>
  <c r="O195" i="104"/>
  <c r="O196" i="104"/>
  <c r="O210" i="104"/>
  <c r="O211" i="104"/>
  <c r="O225" i="104"/>
  <c r="O226" i="104"/>
  <c r="O240" i="104"/>
  <c r="O241" i="104"/>
  <c r="O255" i="104"/>
  <c r="O256" i="104"/>
  <c r="O270" i="104"/>
  <c r="O271" i="104"/>
  <c r="O285" i="104"/>
  <c r="O286" i="104"/>
  <c r="O6" i="104"/>
  <c r="AF14" i="104" l="1"/>
  <c r="AA2" i="35"/>
  <c r="F2" i="19" s="1"/>
  <c r="F27" i="19" s="1"/>
  <c r="D6" i="35"/>
  <c r="D8" i="35"/>
  <c r="U8" i="35"/>
  <c r="AP8" i="35" s="1"/>
  <c r="D227" i="35"/>
  <c r="D228" i="35"/>
  <c r="D229" i="35"/>
  <c r="B223" i="35" a="1"/>
  <c r="B223" i="35" s="1"/>
  <c r="D223" i="35" s="1"/>
  <c r="B215" i="35" a="1"/>
  <c r="B215" i="35" s="1"/>
  <c r="D215" i="35" s="1"/>
  <c r="B218" i="35" a="1"/>
  <c r="B218" i="35" s="1"/>
  <c r="D218" i="35" s="1"/>
  <c r="B224" i="35" a="1"/>
  <c r="B224" i="35" s="1"/>
  <c r="D224" i="35" s="1"/>
  <c r="B216" i="35" a="1"/>
  <c r="B216" i="35" s="1"/>
  <c r="D216" i="35" s="1"/>
  <c r="B210" i="35" a="1"/>
  <c r="B210" i="35" s="1"/>
  <c r="D210" i="35" s="1"/>
  <c r="B211" i="35" a="1"/>
  <c r="B211" i="35" s="1"/>
  <c r="D211" i="35" s="1"/>
  <c r="B217" i="35" a="1"/>
  <c r="B217" i="35" s="1"/>
  <c r="D217" i="35" s="1"/>
  <c r="B219" i="35" a="1"/>
  <c r="B219" i="35" s="1"/>
  <c r="D219" i="35" s="1"/>
  <c r="B220" i="35" a="1"/>
  <c r="B220" i="35" s="1"/>
  <c r="D220" i="35" s="1"/>
  <c r="B212" i="35" a="1"/>
  <c r="B212" i="35" s="1"/>
  <c r="D212" i="35" s="1"/>
  <c r="B221" i="35" a="1"/>
  <c r="B221" i="35" s="1"/>
  <c r="D221" i="35" s="1"/>
  <c r="B213" i="35" a="1"/>
  <c r="B213" i="35" s="1"/>
  <c r="D213" i="35" s="1"/>
  <c r="B222" i="35" a="1"/>
  <c r="B222" i="35" s="1"/>
  <c r="D222" i="35" s="1"/>
  <c r="B214" i="35" a="1"/>
  <c r="B214" i="35" s="1"/>
  <c r="D214" i="35" s="1"/>
  <c r="S262" i="104"/>
  <c r="V262" i="104" s="1"/>
  <c r="T246" i="104"/>
  <c r="W246" i="104" s="1"/>
  <c r="S231" i="104"/>
  <c r="V231" i="104" s="1"/>
  <c r="T232" i="104"/>
  <c r="W232" i="104" s="1"/>
  <c r="S246" i="104"/>
  <c r="V246" i="104" s="1"/>
  <c r="T261" i="104"/>
  <c r="W261" i="104" s="1"/>
  <c r="T247" i="104"/>
  <c r="W247" i="104" s="1"/>
  <c r="T21" i="104"/>
  <c r="W21" i="104" s="1"/>
  <c r="S276" i="104"/>
  <c r="V276" i="104" s="1"/>
  <c r="S232" i="104"/>
  <c r="V232" i="104" s="1"/>
  <c r="S261" i="104"/>
  <c r="V261" i="104" s="1"/>
  <c r="T276" i="104"/>
  <c r="W276" i="104" s="1"/>
  <c r="T231" i="104"/>
  <c r="W231" i="104" s="1"/>
  <c r="S247" i="104"/>
  <c r="V247" i="104" s="1"/>
  <c r="T262" i="104"/>
  <c r="W262" i="104" s="1"/>
  <c r="S21" i="104"/>
  <c r="V21" i="104" s="1"/>
  <c r="S22" i="104"/>
  <c r="V22" i="104" s="1"/>
  <c r="T22" i="104"/>
  <c r="W22" i="104" s="1"/>
  <c r="S36" i="104"/>
  <c r="V36" i="104" s="1"/>
  <c r="T36" i="104"/>
  <c r="W36" i="104" s="1"/>
  <c r="S37" i="104"/>
  <c r="V37" i="104" s="1"/>
  <c r="T37" i="104"/>
  <c r="W37" i="104" s="1"/>
  <c r="S51" i="104"/>
  <c r="V51" i="104" s="1"/>
  <c r="T51" i="104"/>
  <c r="W51" i="104" s="1"/>
  <c r="S52" i="104"/>
  <c r="V52" i="104" s="1"/>
  <c r="T52" i="104"/>
  <c r="W52" i="104" s="1"/>
  <c r="AE14" i="104"/>
  <c r="AE302" i="104" s="1"/>
  <c r="V10" i="5" s="1"/>
  <c r="S277" i="104"/>
  <c r="V277" i="104" s="1"/>
  <c r="S81" i="104"/>
  <c r="V81" i="104" s="1"/>
  <c r="T81" i="104"/>
  <c r="W81" i="104" s="1"/>
  <c r="S82" i="104"/>
  <c r="V82" i="104" s="1"/>
  <c r="T82" i="104"/>
  <c r="W82" i="104" s="1"/>
  <c r="S96" i="104"/>
  <c r="V96" i="104" s="1"/>
  <c r="T96" i="104"/>
  <c r="W96" i="104" s="1"/>
  <c r="S97" i="104"/>
  <c r="V97" i="104" s="1"/>
  <c r="T97" i="104"/>
  <c r="W97" i="104" s="1"/>
  <c r="S111" i="104"/>
  <c r="V111" i="104" s="1"/>
  <c r="T111" i="104"/>
  <c r="W111" i="104" s="1"/>
  <c r="S112" i="104"/>
  <c r="V112" i="104" s="1"/>
  <c r="T112" i="104"/>
  <c r="W112" i="104" s="1"/>
  <c r="S141" i="104"/>
  <c r="V141" i="104" s="1"/>
  <c r="T141" i="104"/>
  <c r="W141" i="104" s="1"/>
  <c r="S66" i="104"/>
  <c r="V66" i="104" s="1"/>
  <c r="T66" i="104"/>
  <c r="W66" i="104" s="1"/>
  <c r="S67" i="104"/>
  <c r="V67" i="104" s="1"/>
  <c r="T67" i="104"/>
  <c r="W67" i="104" s="1"/>
  <c r="S126" i="104"/>
  <c r="V126" i="104" s="1"/>
  <c r="T126" i="104"/>
  <c r="W126" i="104" s="1"/>
  <c r="S127" i="104"/>
  <c r="V127" i="104" s="1"/>
  <c r="T127" i="104"/>
  <c r="W127" i="104" s="1"/>
  <c r="T277" i="104"/>
  <c r="W277" i="104" s="1"/>
  <c r="S142" i="104"/>
  <c r="V142" i="104" s="1"/>
  <c r="T142" i="104"/>
  <c r="W142" i="104" s="1"/>
  <c r="S156" i="104"/>
  <c r="V156" i="104" s="1"/>
  <c r="T156" i="104"/>
  <c r="W156" i="104" s="1"/>
  <c r="S157" i="104"/>
  <c r="V157" i="104" s="1"/>
  <c r="T157" i="104"/>
  <c r="W157" i="104" s="1"/>
  <c r="S171" i="104"/>
  <c r="V171" i="104" s="1"/>
  <c r="T171" i="104"/>
  <c r="W171" i="104" s="1"/>
  <c r="S172" i="104"/>
  <c r="V172" i="104" s="1"/>
  <c r="T172" i="104"/>
  <c r="W172" i="104" s="1"/>
  <c r="S186" i="104"/>
  <c r="V186" i="104" s="1"/>
  <c r="T186" i="104"/>
  <c r="W186" i="104" s="1"/>
  <c r="S187" i="104"/>
  <c r="V187" i="104" s="1"/>
  <c r="T187" i="104"/>
  <c r="W187" i="104" s="1"/>
  <c r="S201" i="104"/>
  <c r="V201" i="104" s="1"/>
  <c r="T201" i="104"/>
  <c r="W201" i="104" s="1"/>
  <c r="S202" i="104"/>
  <c r="V202" i="104" s="1"/>
  <c r="T202" i="104"/>
  <c r="W202" i="104" s="1"/>
  <c r="S216" i="104"/>
  <c r="V216" i="104" s="1"/>
  <c r="T216" i="104"/>
  <c r="W216" i="104" s="1"/>
  <c r="S217" i="104"/>
  <c r="V217" i="104" s="1"/>
  <c r="T217" i="104"/>
  <c r="W217" i="104" s="1"/>
  <c r="S291" i="104"/>
  <c r="V291" i="104" s="1"/>
  <c r="T291" i="104"/>
  <c r="W291" i="104" s="1"/>
  <c r="S292" i="104"/>
  <c r="V292" i="104" s="1"/>
  <c r="T292" i="104"/>
  <c r="W292" i="104" s="1"/>
  <c r="AA299" i="104"/>
  <c r="AA284" i="104"/>
  <c r="AA269" i="104"/>
  <c r="AA254" i="104"/>
  <c r="AA239" i="104"/>
  <c r="AA224" i="104"/>
  <c r="AA209" i="104"/>
  <c r="AA194" i="104"/>
  <c r="AA179" i="104"/>
  <c r="AA164" i="104"/>
  <c r="AA149" i="104"/>
  <c r="AA134" i="104"/>
  <c r="AA119" i="104"/>
  <c r="AA104" i="104"/>
  <c r="AA89" i="104"/>
  <c r="AA74" i="104"/>
  <c r="AA59" i="104"/>
  <c r="AA44" i="104"/>
  <c r="AF299" i="104"/>
  <c r="AF269" i="104"/>
  <c r="AF254" i="104"/>
  <c r="AF239" i="104"/>
  <c r="AF209" i="104"/>
  <c r="AF194" i="104"/>
  <c r="AF179" i="104"/>
  <c r="AF164" i="104"/>
  <c r="AF149" i="104"/>
  <c r="AF134" i="104"/>
  <c r="AF119" i="104"/>
  <c r="AF104" i="104"/>
  <c r="AF89" i="104"/>
  <c r="AF44" i="104"/>
  <c r="AA29" i="104"/>
  <c r="AF29" i="104" s="1"/>
  <c r="AA6" i="35" l="1"/>
  <c r="D12" i="35" s="1"/>
  <c r="G2" i="19"/>
  <c r="AP6" i="35"/>
  <c r="AQ6" i="35" s="1"/>
  <c r="K2" i="19" s="1"/>
  <c r="AG18" i="35"/>
  <c r="AF8" i="35"/>
  <c r="AI4" i="35"/>
  <c r="AF20" i="35"/>
  <c r="AF14" i="35"/>
  <c r="AF10" i="35"/>
  <c r="AJ16" i="35"/>
  <c r="AF6" i="35"/>
  <c r="AJ14" i="35"/>
  <c r="AF4" i="35"/>
  <c r="AJ6" i="35"/>
  <c r="Y21" i="104"/>
  <c r="Y231" i="104"/>
  <c r="Y246" i="104"/>
  <c r="Y261" i="104"/>
  <c r="Y276" i="104"/>
  <c r="Y36" i="104"/>
  <c r="Y51" i="104"/>
  <c r="Y291" i="104"/>
  <c r="Y126" i="104"/>
  <c r="Y66" i="104"/>
  <c r="Y141" i="104"/>
  <c r="Y111" i="104"/>
  <c r="Y96" i="104"/>
  <c r="Y81" i="104"/>
  <c r="Y216" i="104"/>
  <c r="Y201" i="104"/>
  <c r="Y186" i="104"/>
  <c r="Y171" i="104"/>
  <c r="Y156" i="104"/>
  <c r="AF302" i="104"/>
  <c r="V14" i="5" s="1"/>
  <c r="AC8" i="35" l="1"/>
  <c r="AC10" i="35"/>
  <c r="U2" i="35"/>
  <c r="U4" i="35"/>
  <c r="D4" i="35"/>
  <c r="V4" i="5" s="1"/>
  <c r="P5" i="119" s="1"/>
  <c r="T5" i="119" s="1"/>
  <c r="V5" i="119" s="1"/>
  <c r="X64" i="5" s="1"/>
  <c r="H12" i="5" s="1"/>
  <c r="G27" i="19"/>
  <c r="T50" i="5" s="1"/>
  <c r="I2" i="19"/>
  <c r="M2" i="19"/>
  <c r="H2" i="19"/>
  <c r="J2" i="19"/>
  <c r="L2" i="19"/>
  <c r="AF18" i="35"/>
  <c r="AG14" i="35"/>
  <c r="AG8" i="35"/>
  <c r="AG20" i="35"/>
  <c r="AJ4" i="35"/>
  <c r="AG4" i="35"/>
  <c r="AJ10" i="35"/>
  <c r="AI10" i="35"/>
  <c r="AG6" i="35"/>
  <c r="AJ18" i="35"/>
  <c r="AI18" i="35"/>
  <c r="AJ8" i="35"/>
  <c r="AI8" i="35"/>
  <c r="AG16" i="35"/>
  <c r="AF16" i="35"/>
  <c r="AG10" i="35"/>
  <c r="AI16" i="35"/>
  <c r="AI6" i="35"/>
  <c r="AI14" i="35"/>
  <c r="T10" i="109"/>
  <c r="T8" i="109"/>
  <c r="T6" i="109"/>
  <c r="T4" i="109"/>
  <c r="W10" i="109"/>
  <c r="W8" i="109"/>
  <c r="AP10" i="109"/>
  <c r="AP8" i="109"/>
  <c r="AP6" i="109"/>
  <c r="AP4" i="109"/>
  <c r="AO10" i="109"/>
  <c r="AO8" i="109"/>
  <c r="AO6" i="109"/>
  <c r="AO4" i="109"/>
  <c r="AD5" i="115"/>
  <c r="AD6" i="115"/>
  <c r="AD7" i="115"/>
  <c r="AD8" i="115"/>
  <c r="AD9" i="115"/>
  <c r="AD10" i="115"/>
  <c r="AD11" i="115"/>
  <c r="AD12" i="115"/>
  <c r="AD13" i="115"/>
  <c r="AD14" i="115"/>
  <c r="AD15" i="115"/>
  <c r="AD16" i="115"/>
  <c r="AD17" i="115"/>
  <c r="AD18" i="115"/>
  <c r="AD19" i="115"/>
  <c r="AD20" i="115"/>
  <c r="AD21" i="115"/>
  <c r="AD22" i="115"/>
  <c r="AD23" i="115"/>
  <c r="AD24" i="115"/>
  <c r="AD25" i="115"/>
  <c r="AD26" i="115"/>
  <c r="AD27" i="115"/>
  <c r="AD28" i="115"/>
  <c r="AD29" i="115"/>
  <c r="AD30" i="115"/>
  <c r="AD31" i="115"/>
  <c r="AD32" i="115"/>
  <c r="AD33" i="115"/>
  <c r="AD34" i="115"/>
  <c r="AD35" i="115"/>
  <c r="AD36" i="115"/>
  <c r="AD37" i="115"/>
  <c r="AD38" i="115"/>
  <c r="AD39" i="115"/>
  <c r="AD40" i="115"/>
  <c r="AD41" i="115"/>
  <c r="AD42" i="115"/>
  <c r="AD43" i="115"/>
  <c r="AD44" i="115"/>
  <c r="AD45" i="115"/>
  <c r="AD46" i="115"/>
  <c r="AD47" i="115"/>
  <c r="AD48" i="115"/>
  <c r="AD49" i="115"/>
  <c r="AD50" i="115"/>
  <c r="AD51" i="115"/>
  <c r="AD52" i="115"/>
  <c r="AD53" i="115"/>
  <c r="AD54" i="115"/>
  <c r="AD55" i="115"/>
  <c r="AD4" i="115"/>
  <c r="AN6" i="35" l="1"/>
  <c r="E5" i="119"/>
  <c r="N5" i="119" s="1"/>
  <c r="G5" i="119"/>
  <c r="AN8" i="35"/>
  <c r="AC6" i="109"/>
  <c r="AC8" i="109"/>
  <c r="AC10" i="109"/>
  <c r="AC4" i="109"/>
  <c r="X2" i="19"/>
  <c r="W2" i="19"/>
  <c r="W34" i="4"/>
  <c r="W32" i="4"/>
  <c r="V34" i="4"/>
  <c r="V32" i="4"/>
  <c r="U34" i="4"/>
  <c r="U32" i="4"/>
  <c r="T34" i="4"/>
  <c r="T32" i="4"/>
  <c r="S34" i="4"/>
  <c r="S32" i="4"/>
  <c r="R34" i="4"/>
  <c r="R32" i="4"/>
  <c r="J6" i="109"/>
  <c r="J8" i="109"/>
  <c r="J10" i="109"/>
  <c r="J4" i="109"/>
  <c r="O2" i="19"/>
  <c r="N2" i="19"/>
  <c r="B8" i="19"/>
  <c r="N7" i="104"/>
  <c r="P7" i="104"/>
  <c r="N30" i="104"/>
  <c r="P30" i="104"/>
  <c r="N31" i="104"/>
  <c r="P31" i="104"/>
  <c r="N45" i="104"/>
  <c r="P45" i="104"/>
  <c r="N46" i="104"/>
  <c r="S46" i="104" s="1"/>
  <c r="V46" i="104" s="1"/>
  <c r="P46" i="104"/>
  <c r="N60" i="104"/>
  <c r="P60" i="104"/>
  <c r="N61" i="104"/>
  <c r="S61" i="104"/>
  <c r="V61" i="104" s="1"/>
  <c r="P61" i="104"/>
  <c r="N75" i="104"/>
  <c r="P75" i="104"/>
  <c r="N76" i="104"/>
  <c r="P76" i="104"/>
  <c r="T76" i="104" s="1"/>
  <c r="W76" i="104" s="1"/>
  <c r="N90" i="104"/>
  <c r="P90" i="104"/>
  <c r="N91" i="104"/>
  <c r="P91" i="104"/>
  <c r="T91" i="104" s="1"/>
  <c r="W91" i="104" s="1"/>
  <c r="N105" i="104"/>
  <c r="P105" i="104"/>
  <c r="N106" i="104"/>
  <c r="P106" i="104"/>
  <c r="N120" i="104"/>
  <c r="S120" i="104"/>
  <c r="V120" i="104" s="1"/>
  <c r="P120" i="104"/>
  <c r="N121" i="104"/>
  <c r="S121" i="104" s="1"/>
  <c r="V121" i="104" s="1"/>
  <c r="P121" i="104"/>
  <c r="T121" i="104" s="1"/>
  <c r="W121" i="104" s="1"/>
  <c r="N135" i="104"/>
  <c r="P135" i="104"/>
  <c r="N136" i="104"/>
  <c r="P136" i="104"/>
  <c r="N150" i="104"/>
  <c r="P150" i="104"/>
  <c r="N151" i="104"/>
  <c r="P151" i="104"/>
  <c r="T151" i="104" s="1"/>
  <c r="W151" i="104" s="1"/>
  <c r="N165" i="104"/>
  <c r="P165" i="104"/>
  <c r="N166" i="104"/>
  <c r="P166" i="104"/>
  <c r="N180" i="104"/>
  <c r="S180" i="104" s="1"/>
  <c r="V180" i="104" s="1"/>
  <c r="P180" i="104"/>
  <c r="T180" i="104" s="1"/>
  <c r="W180" i="104" s="1"/>
  <c r="N181" i="104"/>
  <c r="P181" i="104"/>
  <c r="T181" i="104" s="1"/>
  <c r="W181" i="104" s="1"/>
  <c r="N195" i="104"/>
  <c r="P195" i="104"/>
  <c r="N196" i="104"/>
  <c r="P196" i="104"/>
  <c r="N210" i="104"/>
  <c r="S210" i="104" s="1"/>
  <c r="V210" i="104" s="1"/>
  <c r="P210" i="104"/>
  <c r="N211" i="104"/>
  <c r="S211" i="104" s="1"/>
  <c r="V211" i="104" s="1"/>
  <c r="P211" i="104"/>
  <c r="T211" i="104" s="1"/>
  <c r="W211" i="104" s="1"/>
  <c r="N225" i="104"/>
  <c r="P225" i="104"/>
  <c r="N226" i="104"/>
  <c r="P226" i="104"/>
  <c r="N240" i="104"/>
  <c r="P240" i="104"/>
  <c r="N241" i="104"/>
  <c r="S241" i="104"/>
  <c r="V241" i="104" s="1"/>
  <c r="P241" i="104"/>
  <c r="N255" i="104"/>
  <c r="P255" i="104"/>
  <c r="N256" i="104"/>
  <c r="P256" i="104"/>
  <c r="N270" i="104"/>
  <c r="P270" i="104"/>
  <c r="N271" i="104"/>
  <c r="P271" i="104"/>
  <c r="N285" i="104"/>
  <c r="P285" i="104"/>
  <c r="N286" i="104"/>
  <c r="P286" i="104"/>
  <c r="Y10" i="104"/>
  <c r="Y8" i="104"/>
  <c r="Y4" i="104"/>
  <c r="N6" i="104"/>
  <c r="P6" i="104"/>
  <c r="F63" i="61"/>
  <c r="S226" i="104" l="1"/>
  <c r="V226" i="104" s="1"/>
  <c r="S225" i="104"/>
  <c r="V225" i="104" s="1"/>
  <c r="T196" i="104"/>
  <c r="W196" i="104" s="1"/>
  <c r="S196" i="104"/>
  <c r="V196" i="104" s="1"/>
  <c r="T195" i="104"/>
  <c r="W195" i="104" s="1"/>
  <c r="S195" i="104"/>
  <c r="V195" i="104" s="1"/>
  <c r="T165" i="104"/>
  <c r="W165" i="104" s="1"/>
  <c r="S165" i="104"/>
  <c r="V165" i="104" s="1"/>
  <c r="S136" i="104"/>
  <c r="V136" i="104" s="1"/>
  <c r="T135" i="104"/>
  <c r="W135" i="104" s="1"/>
  <c r="T105" i="104"/>
  <c r="W105" i="104" s="1"/>
  <c r="S105" i="104"/>
  <c r="V105" i="104" s="1"/>
  <c r="S75" i="104"/>
  <c r="V75" i="104" s="1"/>
  <c r="S45" i="104"/>
  <c r="V45" i="104" s="1"/>
  <c r="T210" i="104"/>
  <c r="W210" i="104" s="1"/>
  <c r="T225" i="104"/>
  <c r="W225" i="104" s="1"/>
  <c r="T285" i="104"/>
  <c r="W285" i="104" s="1"/>
  <c r="Y27" i="19"/>
  <c r="T61" i="104"/>
  <c r="W61" i="104" s="1"/>
  <c r="S150" i="104"/>
  <c r="V150" i="104" s="1"/>
  <c r="T75" i="104"/>
  <c r="W75" i="104" s="1"/>
  <c r="N27" i="19"/>
  <c r="V27" i="19"/>
  <c r="U27" i="19"/>
  <c r="S271" i="104"/>
  <c r="V271" i="104" s="1"/>
  <c r="T27" i="19"/>
  <c r="R27" i="19"/>
  <c r="S27" i="19"/>
  <c r="T60" i="104"/>
  <c r="W60" i="104" s="1"/>
  <c r="Z27" i="19"/>
  <c r="Q27" i="19"/>
  <c r="X27" i="19"/>
  <c r="AA27" i="19"/>
  <c r="T286" i="104"/>
  <c r="W286" i="104" s="1"/>
  <c r="S240" i="104"/>
  <c r="V240" i="104" s="1"/>
  <c r="T46" i="104"/>
  <c r="W46" i="104" s="1"/>
  <c r="W27" i="19"/>
  <c r="P27" i="19"/>
  <c r="O27" i="19"/>
  <c r="T166" i="104"/>
  <c r="W166" i="104" s="1"/>
  <c r="T106" i="104"/>
  <c r="W106" i="104" s="1"/>
  <c r="S31" i="104"/>
  <c r="V31" i="104" s="1"/>
  <c r="T271" i="104"/>
  <c r="W271" i="104" s="1"/>
  <c r="T255" i="104"/>
  <c r="W255" i="104" s="1"/>
  <c r="T241" i="104"/>
  <c r="W241" i="104" s="1"/>
  <c r="S181" i="104"/>
  <c r="V181" i="104" s="1"/>
  <c r="T30" i="104"/>
  <c r="W30" i="104" s="1"/>
  <c r="T150" i="104"/>
  <c r="W150" i="104" s="1"/>
  <c r="T90" i="104"/>
  <c r="W90" i="104" s="1"/>
  <c r="T270" i="104"/>
  <c r="W270" i="104" s="1"/>
  <c r="T256" i="104"/>
  <c r="W256" i="104" s="1"/>
  <c r="T240" i="104"/>
  <c r="W240" i="104" s="1"/>
  <c r="S135" i="104"/>
  <c r="V135" i="104" s="1"/>
  <c r="S285" i="104"/>
  <c r="V285" i="104" s="1"/>
  <c r="S255" i="104"/>
  <c r="V255" i="104" s="1"/>
  <c r="S106" i="104"/>
  <c r="V106" i="104" s="1"/>
  <c r="S90" i="104"/>
  <c r="V90" i="104" s="1"/>
  <c r="S60" i="104"/>
  <c r="V60" i="104" s="1"/>
  <c r="S151" i="104"/>
  <c r="V151" i="104" s="1"/>
  <c r="S286" i="104"/>
  <c r="V286" i="104" s="1"/>
  <c r="S256" i="104"/>
  <c r="V256" i="104" s="1"/>
  <c r="T136" i="104"/>
  <c r="W136" i="104" s="1"/>
  <c r="T120" i="104"/>
  <c r="W120" i="104" s="1"/>
  <c r="S91" i="104"/>
  <c r="V91" i="104" s="1"/>
  <c r="S76" i="104"/>
  <c r="V76" i="104" s="1"/>
  <c r="T45" i="104"/>
  <c r="W45" i="104" s="1"/>
  <c r="S270" i="104"/>
  <c r="V270" i="104" s="1"/>
  <c r="T226" i="104"/>
  <c r="W226" i="104" s="1"/>
  <c r="S166" i="104"/>
  <c r="V166" i="104" s="1"/>
  <c r="S30" i="104"/>
  <c r="V30" i="104" s="1"/>
  <c r="S7" i="104"/>
  <c r="V7" i="104" s="1"/>
  <c r="S6" i="104"/>
  <c r="V6" i="104" s="1"/>
  <c r="T31" i="104"/>
  <c r="W31" i="104" s="1"/>
  <c r="T7" i="104"/>
  <c r="W7" i="104" s="1"/>
  <c r="T6" i="104"/>
  <c r="W6" i="104" s="1"/>
  <c r="Y6" i="104" l="1"/>
  <c r="W52" i="4" l="1"/>
  <c r="V52" i="4"/>
  <c r="U52" i="4"/>
  <c r="T52" i="4"/>
  <c r="S52" i="4"/>
  <c r="R52" i="4"/>
  <c r="U51" i="4"/>
  <c r="W50" i="4"/>
  <c r="V50" i="4"/>
  <c r="U50" i="4"/>
  <c r="T50" i="4"/>
  <c r="S50" i="4"/>
  <c r="R50" i="4"/>
  <c r="U49" i="4"/>
  <c r="T86" i="4"/>
  <c r="R86" i="4"/>
  <c r="T44" i="4"/>
  <c r="R44" i="4"/>
  <c r="M69" i="62"/>
  <c r="B73" i="62"/>
  <c r="X43" i="62"/>
  <c r="M37" i="62"/>
  <c r="B43" i="62"/>
  <c r="X17" i="62"/>
  <c r="X14" i="62"/>
  <c r="M17" i="62"/>
  <c r="M14" i="62"/>
  <c r="M11" i="62"/>
  <c r="U19" i="62"/>
  <c r="M21" i="62"/>
  <c r="C84" i="62"/>
  <c r="C85" i="62"/>
  <c r="C86" i="62"/>
  <c r="C87" i="62"/>
  <c r="C88" i="62"/>
  <c r="C89" i="62"/>
  <c r="X76" i="62"/>
  <c r="AF71" i="62"/>
  <c r="AA71" i="62"/>
  <c r="X55" i="62"/>
  <c r="X54" i="62"/>
  <c r="M76" i="62"/>
  <c r="U71" i="62"/>
  <c r="P71" i="62"/>
  <c r="M55" i="62"/>
  <c r="M54" i="62"/>
  <c r="B76" i="62"/>
  <c r="J71" i="62"/>
  <c r="E71" i="62"/>
  <c r="B55" i="62"/>
  <c r="B54" i="62"/>
  <c r="X50" i="62"/>
  <c r="AA45" i="62"/>
  <c r="X29" i="62"/>
  <c r="X28" i="62"/>
  <c r="M50" i="62"/>
  <c r="U45" i="62"/>
  <c r="P45" i="62"/>
  <c r="M29" i="62"/>
  <c r="M28" i="62"/>
  <c r="B50" i="62"/>
  <c r="J45" i="62"/>
  <c r="E45" i="62"/>
  <c r="B29" i="62"/>
  <c r="B28" i="62"/>
  <c r="X24" i="62"/>
  <c r="AA19" i="62"/>
  <c r="X3" i="62"/>
  <c r="X2" i="62"/>
  <c r="M24" i="62"/>
  <c r="P19" i="62"/>
  <c r="M3" i="62"/>
  <c r="M2" i="62"/>
  <c r="X69" i="62"/>
  <c r="X66" i="62"/>
  <c r="X63" i="62"/>
  <c r="X73" i="62"/>
  <c r="M66" i="62"/>
  <c r="M63" i="62"/>
  <c r="M73" i="62"/>
  <c r="B69" i="62"/>
  <c r="B66" i="62"/>
  <c r="B63" i="62"/>
  <c r="X40" i="62"/>
  <c r="X37" i="62"/>
  <c r="X47" i="62"/>
  <c r="M43" i="62"/>
  <c r="M40" i="62"/>
  <c r="M47" i="62"/>
  <c r="B40" i="62"/>
  <c r="B37" i="62"/>
  <c r="B47" i="62"/>
  <c r="X11" i="62"/>
  <c r="X21" i="62"/>
  <c r="B24" i="62"/>
  <c r="B3" i="62"/>
  <c r="V48" i="61"/>
  <c r="B17" i="62" s="1"/>
  <c r="V38" i="61"/>
  <c r="V22" i="61"/>
  <c r="V36" i="61"/>
  <c r="B11" i="62" s="1"/>
  <c r="E19" i="62"/>
  <c r="B2" i="62"/>
  <c r="G61" i="62" l="1"/>
  <c r="I54" i="62"/>
  <c r="C61" i="62"/>
  <c r="P32" i="62"/>
  <c r="T28" i="62"/>
  <c r="N35" i="62"/>
  <c r="R35" i="62"/>
  <c r="AF45" i="62"/>
  <c r="AF19" i="62"/>
  <c r="AA58" i="62"/>
  <c r="AC61" i="62"/>
  <c r="AE54" i="62"/>
  <c r="Y61" i="62"/>
  <c r="R6" i="62"/>
  <c r="N9" i="62"/>
  <c r="R9" i="62"/>
  <c r="T2" i="62"/>
  <c r="P6" i="62"/>
  <c r="N6" i="62"/>
  <c r="AC32" i="62"/>
  <c r="Y35" i="62"/>
  <c r="AC35" i="62"/>
  <c r="AE28" i="62"/>
  <c r="AF35" i="62"/>
  <c r="AA32" i="62"/>
  <c r="Y32" i="62"/>
  <c r="N61" i="62"/>
  <c r="U61" i="62"/>
  <c r="R61" i="62"/>
  <c r="T54" i="62"/>
  <c r="P58" i="62"/>
  <c r="N58" i="62"/>
  <c r="G32" i="62"/>
  <c r="C35" i="62"/>
  <c r="J35" i="62"/>
  <c r="G35" i="62"/>
  <c r="I28" i="62"/>
  <c r="C32" i="62"/>
  <c r="AA6" i="62"/>
  <c r="Y6" i="62"/>
  <c r="AC6" i="62"/>
  <c r="Y9" i="62"/>
  <c r="AF9" i="62"/>
  <c r="AC9" i="62"/>
  <c r="AE2" i="62"/>
  <c r="U35" i="62"/>
  <c r="J61" i="62"/>
  <c r="R32" i="62"/>
  <c r="AC58" i="62"/>
  <c r="N32" i="62"/>
  <c r="C58" i="62"/>
  <c r="Y58" i="62"/>
  <c r="E32" i="62"/>
  <c r="R58" i="62"/>
  <c r="G58" i="62"/>
  <c r="B14" i="62"/>
  <c r="B21" i="62"/>
  <c r="E58" i="62"/>
  <c r="F69" i="61"/>
  <c r="F81" i="61"/>
  <c r="F82" i="61"/>
  <c r="F83" i="61"/>
  <c r="F84" i="61"/>
  <c r="F85" i="61"/>
  <c r="F86" i="61"/>
  <c r="F100" i="61" s="1"/>
  <c r="F87" i="61"/>
  <c r="F88" i="61"/>
  <c r="F89" i="61"/>
  <c r="F90" i="61"/>
  <c r="F91" i="61"/>
  <c r="F64" i="61"/>
  <c r="F65" i="61"/>
  <c r="F66" i="61"/>
  <c r="F67" i="61"/>
  <c r="F68" i="61"/>
  <c r="F70" i="61"/>
  <c r="F77" i="61"/>
  <c r="F76" i="61"/>
  <c r="F73" i="61"/>
  <c r="V4" i="61"/>
  <c r="H24" i="61"/>
  <c r="V18" i="61"/>
  <c r="N63" i="61" l="1"/>
  <c r="N67" i="61"/>
  <c r="N70" i="61"/>
  <c r="N69" i="61"/>
  <c r="N64" i="61"/>
  <c r="N68" i="61"/>
  <c r="N66" i="61"/>
  <c r="N65" i="61"/>
  <c r="I2" i="62"/>
  <c r="C9" i="62"/>
  <c r="J77" i="61"/>
  <c r="J78" i="61" s="1"/>
  <c r="G9" i="62" s="1"/>
  <c r="J19" i="62"/>
  <c r="H78" i="61"/>
  <c r="J92" i="61"/>
  <c r="L92" i="61"/>
  <c r="H92" i="61"/>
  <c r="H71" i="61"/>
  <c r="J71" i="61"/>
  <c r="P71" i="61"/>
  <c r="L71" i="61"/>
  <c r="F8" i="61"/>
  <c r="N71" i="61" l="1"/>
  <c r="F98" i="61" s="1"/>
  <c r="I27" i="19"/>
  <c r="U9" i="62"/>
  <c r="C83" i="62"/>
  <c r="K27" i="19"/>
  <c r="M27" i="19"/>
  <c r="J27" i="19"/>
  <c r="L27" i="19"/>
  <c r="H27" i="19"/>
  <c r="AF61" i="62"/>
  <c r="C90" i="62"/>
  <c r="C6" i="62"/>
  <c r="F95" i="61"/>
  <c r="F99" i="61"/>
  <c r="F96" i="61"/>
  <c r="F12" i="61" s="1"/>
  <c r="F97" i="61"/>
  <c r="F16" i="5" l="1"/>
  <c r="D16" i="5" s="1"/>
  <c r="K29" i="19"/>
  <c r="F24" i="5" s="1"/>
  <c r="D24" i="5" s="1"/>
  <c r="I29" i="19"/>
  <c r="F22" i="5" s="1"/>
  <c r="D22" i="5" s="1"/>
  <c r="F18" i="5"/>
  <c r="D18" i="5" s="1"/>
  <c r="M29" i="19"/>
  <c r="F30" i="5" s="1"/>
  <c r="D30" i="5" s="1"/>
  <c r="L29" i="19"/>
  <c r="F26" i="5" s="1"/>
  <c r="D26" i="5" s="1"/>
  <c r="J29" i="19"/>
  <c r="F28" i="5" s="1"/>
  <c r="D28" i="5" s="1"/>
  <c r="H29" i="19"/>
  <c r="F20" i="5" s="1"/>
  <c r="D20" i="5" s="1"/>
  <c r="C82" i="62"/>
  <c r="N10" i="61"/>
  <c r="J9" i="62" s="1"/>
  <c r="F10" i="61"/>
  <c r="G6" i="62" s="1"/>
  <c r="E6" i="62"/>
  <c r="B2" i="19"/>
  <c r="B3" i="19"/>
  <c r="B4" i="19"/>
  <c r="B5" i="19"/>
  <c r="B6" i="19"/>
  <c r="B7" i="19"/>
  <c r="B9" i="19"/>
  <c r="B10" i="19"/>
  <c r="B11" i="19"/>
  <c r="B12" i="19"/>
  <c r="B13" i="19"/>
  <c r="B14" i="19"/>
  <c r="B15" i="19"/>
  <c r="B16" i="19"/>
  <c r="B17" i="19"/>
  <c r="B18" i="19"/>
  <c r="B19" i="19"/>
  <c r="B20" i="19"/>
  <c r="B21" i="19"/>
  <c r="B22" i="19"/>
  <c r="B23" i="19"/>
  <c r="B24" i="19"/>
  <c r="B25" i="19"/>
  <c r="B26" i="19"/>
  <c r="C27" i="19"/>
  <c r="Z58" i="5" s="1"/>
  <c r="V50" i="5" s="1"/>
  <c r="D27" i="19"/>
  <c r="W86" i="4"/>
  <c r="W84" i="4"/>
  <c r="W82" i="4"/>
  <c r="W80" i="4"/>
  <c r="W78" i="4"/>
  <c r="W72" i="4"/>
  <c r="W56" i="4"/>
  <c r="W54" i="4"/>
  <c r="W48" i="4"/>
  <c r="W46" i="4"/>
  <c r="W44" i="4"/>
  <c r="W40" i="4"/>
  <c r="W38" i="4"/>
  <c r="W36" i="4"/>
  <c r="W30" i="4"/>
  <c r="W28" i="4"/>
  <c r="W26" i="4"/>
  <c r="W24" i="4"/>
  <c r="W22" i="4"/>
  <c r="M4" i="58" l="1"/>
  <c r="M362" i="34" s="1"/>
  <c r="M4" i="59"/>
  <c r="D394" i="34" s="1"/>
  <c r="U10" i="58"/>
  <c r="M364" i="34" s="1"/>
  <c r="U10" i="59"/>
  <c r="D396" i="34" s="1"/>
  <c r="M10" i="58"/>
  <c r="M366" i="34" s="1"/>
  <c r="M10" i="59"/>
  <c r="D398" i="34" s="1"/>
  <c r="M6" i="58"/>
  <c r="Q362" i="34" s="1"/>
  <c r="M6" i="59"/>
  <c r="H394" i="34" s="1"/>
  <c r="M8" i="58"/>
  <c r="Q364" i="34" s="1"/>
  <c r="M8" i="59"/>
  <c r="H396" i="34" s="1"/>
  <c r="U12" i="58"/>
  <c r="Q366" i="34" s="1"/>
  <c r="U12" i="59"/>
  <c r="H398" i="34" s="1"/>
  <c r="M4" i="56"/>
  <c r="M330" i="34" s="1"/>
  <c r="M4" i="57"/>
  <c r="D362" i="34" s="1"/>
  <c r="U10" i="56"/>
  <c r="M332" i="34" s="1"/>
  <c r="U10" i="57"/>
  <c r="D364" i="34" s="1"/>
  <c r="M10" i="56"/>
  <c r="M334" i="34" s="1"/>
  <c r="M10" i="57"/>
  <c r="D366" i="34" s="1"/>
  <c r="U12" i="56"/>
  <c r="Q334" i="34" s="1"/>
  <c r="U12" i="57"/>
  <c r="H366" i="34" s="1"/>
  <c r="M6" i="56"/>
  <c r="Q330" i="34" s="1"/>
  <c r="M6" i="57"/>
  <c r="H362" i="34" s="1"/>
  <c r="M8" i="56"/>
  <c r="Q332" i="34" s="1"/>
  <c r="M8" i="57"/>
  <c r="H364" i="34" s="1"/>
  <c r="M4" i="54"/>
  <c r="M298" i="34" s="1"/>
  <c r="M4" i="55"/>
  <c r="D330" i="34" s="1"/>
  <c r="U12" i="54"/>
  <c r="Q302" i="34" s="1"/>
  <c r="U12" i="55"/>
  <c r="H334" i="34" s="1"/>
  <c r="M6" i="54"/>
  <c r="Q298" i="34" s="1"/>
  <c r="M6" i="55"/>
  <c r="H330" i="34" s="1"/>
  <c r="U10" i="54"/>
  <c r="M300" i="34" s="1"/>
  <c r="U10" i="55"/>
  <c r="D332" i="34" s="1"/>
  <c r="M10" i="54"/>
  <c r="M302" i="34" s="1"/>
  <c r="M10" i="55"/>
  <c r="D334" i="34" s="1"/>
  <c r="M8" i="54"/>
  <c r="Q300" i="34" s="1"/>
  <c r="M8" i="55"/>
  <c r="H332" i="34" s="1"/>
  <c r="M4" i="52"/>
  <c r="M266" i="34" s="1"/>
  <c r="M4" i="53"/>
  <c r="D298" i="34" s="1"/>
  <c r="M10" i="52"/>
  <c r="M270" i="34" s="1"/>
  <c r="M10" i="53"/>
  <c r="D302" i="34" s="1"/>
  <c r="M6" i="52"/>
  <c r="Q266" i="34" s="1"/>
  <c r="M6" i="53"/>
  <c r="H298" i="34" s="1"/>
  <c r="U10" i="52"/>
  <c r="M268" i="34" s="1"/>
  <c r="U10" i="53"/>
  <c r="D300" i="34" s="1"/>
  <c r="U12" i="52"/>
  <c r="Q270" i="34" s="1"/>
  <c r="U12" i="53"/>
  <c r="H302" i="34" s="1"/>
  <c r="M8" i="52"/>
  <c r="Q268" i="34" s="1"/>
  <c r="M8" i="53"/>
  <c r="H300" i="34" s="1"/>
  <c r="U10" i="50"/>
  <c r="M236" i="34" s="1"/>
  <c r="U10" i="51"/>
  <c r="D268" i="34" s="1"/>
  <c r="M10" i="50"/>
  <c r="M238" i="34" s="1"/>
  <c r="M10" i="51"/>
  <c r="D270" i="34" s="1"/>
  <c r="U12" i="50"/>
  <c r="Q238" i="34" s="1"/>
  <c r="U12" i="51"/>
  <c r="H270" i="34" s="1"/>
  <c r="M6" i="50"/>
  <c r="Q234" i="34" s="1"/>
  <c r="M6" i="51"/>
  <c r="H266" i="34" s="1"/>
  <c r="M8" i="50"/>
  <c r="Q236" i="34" s="1"/>
  <c r="M8" i="51"/>
  <c r="H268" i="34" s="1"/>
  <c r="M4" i="50"/>
  <c r="M234" i="34" s="1"/>
  <c r="M4" i="51"/>
  <c r="D266" i="34" s="1"/>
  <c r="M4" i="48"/>
  <c r="M202" i="34" s="1"/>
  <c r="M4" i="49"/>
  <c r="D234" i="34" s="1"/>
  <c r="U10" i="48"/>
  <c r="M204" i="34" s="1"/>
  <c r="U10" i="49"/>
  <c r="D236" i="34" s="1"/>
  <c r="M10" i="48"/>
  <c r="M206" i="34" s="1"/>
  <c r="M10" i="49"/>
  <c r="D238" i="34" s="1"/>
  <c r="U12" i="48"/>
  <c r="Q206" i="34" s="1"/>
  <c r="U12" i="49"/>
  <c r="H238" i="34" s="1"/>
  <c r="M6" i="48"/>
  <c r="Q202" i="34" s="1"/>
  <c r="M6" i="49"/>
  <c r="H234" i="34" s="1"/>
  <c r="M8" i="48"/>
  <c r="Q204" i="34" s="1"/>
  <c r="M8" i="49"/>
  <c r="H236" i="34" s="1"/>
  <c r="M4" i="46"/>
  <c r="M170" i="34" s="1"/>
  <c r="M4" i="47"/>
  <c r="D202" i="34" s="1"/>
  <c r="U10" i="46"/>
  <c r="M172" i="34" s="1"/>
  <c r="U10" i="47"/>
  <c r="D204" i="34" s="1"/>
  <c r="M10" i="46"/>
  <c r="M174" i="34" s="1"/>
  <c r="M10" i="47"/>
  <c r="D206" i="34" s="1"/>
  <c r="U12" i="46"/>
  <c r="Q174" i="34" s="1"/>
  <c r="U12" i="47"/>
  <c r="H206" i="34" s="1"/>
  <c r="M6" i="46"/>
  <c r="Q170" i="34" s="1"/>
  <c r="M6" i="47"/>
  <c r="H202" i="34" s="1"/>
  <c r="M8" i="46"/>
  <c r="Q172" i="34" s="1"/>
  <c r="M8" i="47"/>
  <c r="H204" i="34" s="1"/>
  <c r="M4" i="44"/>
  <c r="M138" i="34" s="1"/>
  <c r="M4" i="45"/>
  <c r="D170" i="34" s="1"/>
  <c r="U10" i="44"/>
  <c r="M140" i="34" s="1"/>
  <c r="U10" i="45"/>
  <c r="D172" i="34" s="1"/>
  <c r="M10" i="44"/>
  <c r="M142" i="34" s="1"/>
  <c r="M10" i="45"/>
  <c r="D174" i="34" s="1"/>
  <c r="M6" i="44"/>
  <c r="Q138" i="34" s="1"/>
  <c r="M6" i="45"/>
  <c r="H170" i="34" s="1"/>
  <c r="M8" i="44"/>
  <c r="Q140" i="34" s="1"/>
  <c r="M8" i="45"/>
  <c r="H172" i="34" s="1"/>
  <c r="U12" i="44"/>
  <c r="Q142" i="34" s="1"/>
  <c r="U12" i="45"/>
  <c r="H174" i="34" s="1"/>
  <c r="U10" i="42"/>
  <c r="M108" i="34" s="1"/>
  <c r="U10" i="43"/>
  <c r="D140" i="34" s="1"/>
  <c r="M10" i="42"/>
  <c r="M110" i="34" s="1"/>
  <c r="M10" i="43"/>
  <c r="D142" i="34" s="1"/>
  <c r="U12" i="42"/>
  <c r="Q110" i="34" s="1"/>
  <c r="U12" i="43"/>
  <c r="H142" i="34" s="1"/>
  <c r="M6" i="42"/>
  <c r="Q106" i="34" s="1"/>
  <c r="M6" i="43"/>
  <c r="H138" i="34" s="1"/>
  <c r="M4" i="42"/>
  <c r="M106" i="34" s="1"/>
  <c r="M4" i="43"/>
  <c r="D138" i="34" s="1"/>
  <c r="M8" i="42"/>
  <c r="Q108" i="34" s="1"/>
  <c r="M8" i="43"/>
  <c r="H140" i="34" s="1"/>
  <c r="M6" i="40"/>
  <c r="Q74" i="34" s="1"/>
  <c r="M6" i="108"/>
  <c r="H106" i="34" s="1"/>
  <c r="U10" i="40"/>
  <c r="M76" i="34" s="1"/>
  <c r="U10" i="108"/>
  <c r="D108" i="34" s="1"/>
  <c r="M10" i="40"/>
  <c r="M78" i="34" s="1"/>
  <c r="M10" i="108"/>
  <c r="D110" i="34" s="1"/>
  <c r="U12" i="40"/>
  <c r="Q78" i="34" s="1"/>
  <c r="U12" i="108"/>
  <c r="H110" i="34" s="1"/>
  <c r="M8" i="40"/>
  <c r="Q76" i="34" s="1"/>
  <c r="M8" i="108"/>
  <c r="H108" i="34" s="1"/>
  <c r="M4" i="40"/>
  <c r="M74" i="34" s="1"/>
  <c r="M4" i="108"/>
  <c r="D106" i="34" s="1"/>
  <c r="M4" i="38"/>
  <c r="M42" i="34" s="1"/>
  <c r="M4" i="39"/>
  <c r="D74" i="34" s="1"/>
  <c r="U10" i="38"/>
  <c r="M44" i="34" s="1"/>
  <c r="U10" i="39"/>
  <c r="D76" i="34" s="1"/>
  <c r="M10" i="38"/>
  <c r="M46" i="34" s="1"/>
  <c r="M10" i="39"/>
  <c r="D78" i="34" s="1"/>
  <c r="U12" i="38"/>
  <c r="Q46" i="34" s="1"/>
  <c r="U12" i="39"/>
  <c r="H78" i="34" s="1"/>
  <c r="M6" i="38"/>
  <c r="Q42" i="34" s="1"/>
  <c r="M6" i="39"/>
  <c r="H74" i="34" s="1"/>
  <c r="M8" i="38"/>
  <c r="Q44" i="34" s="1"/>
  <c r="M8" i="39"/>
  <c r="H76" i="34" s="1"/>
  <c r="U10" i="36"/>
  <c r="M12" i="34" s="1"/>
  <c r="U10" i="37"/>
  <c r="D44" i="34" s="1"/>
  <c r="U12" i="36"/>
  <c r="Q14" i="34" s="1"/>
  <c r="U12" i="37"/>
  <c r="H46" i="34" s="1"/>
  <c r="M6" i="36"/>
  <c r="Q10" i="34" s="1"/>
  <c r="M6" i="37"/>
  <c r="H42" i="34" s="1"/>
  <c r="M8" i="36"/>
  <c r="Q12" i="34" s="1"/>
  <c r="M8" i="37"/>
  <c r="H44" i="34" s="1"/>
  <c r="M4" i="36"/>
  <c r="M10" i="34" s="1"/>
  <c r="M4" i="37"/>
  <c r="D42" i="34" s="1"/>
  <c r="M10" i="36"/>
  <c r="M14" i="34" s="1"/>
  <c r="M10" i="37"/>
  <c r="D46" i="34" s="1"/>
  <c r="M8" i="35"/>
  <c r="M6" i="35"/>
  <c r="U12" i="35"/>
  <c r="U10" i="35"/>
  <c r="M10" i="35"/>
  <c r="M4" i="35"/>
  <c r="AG4" i="109"/>
  <c r="AA4" i="109"/>
  <c r="AK4" i="109"/>
  <c r="AI4" i="109"/>
  <c r="AJ4" i="109" s="1"/>
  <c r="AE4" i="109"/>
  <c r="AF4" i="109" s="1"/>
  <c r="AM4" i="109"/>
  <c r="AN4" i="109" s="1"/>
  <c r="AI6" i="109"/>
  <c r="AJ6" i="109" s="1"/>
  <c r="AM10" i="109"/>
  <c r="AN10" i="109" s="1"/>
  <c r="AG6" i="109"/>
  <c r="AA10" i="109"/>
  <c r="AA6" i="109"/>
  <c r="AK10" i="109"/>
  <c r="AE6" i="109"/>
  <c r="AF6" i="109" s="1"/>
  <c r="AK6" i="109"/>
  <c r="AI10" i="109"/>
  <c r="AJ10" i="109" s="1"/>
  <c r="AM6" i="109"/>
  <c r="AN6" i="109" s="1"/>
  <c r="AG10" i="109"/>
  <c r="AE10" i="109"/>
  <c r="AF10" i="109" s="1"/>
  <c r="AA8" i="109"/>
  <c r="AG8" i="109"/>
  <c r="AI8" i="109"/>
  <c r="AJ8" i="109" s="1"/>
  <c r="AK8" i="109"/>
  <c r="AE8" i="109"/>
  <c r="AF8" i="109" s="1"/>
  <c r="AM8" i="109"/>
  <c r="AN8" i="109" s="1"/>
  <c r="D18" i="34"/>
  <c r="D16" i="4"/>
  <c r="V38" i="5" s="1"/>
  <c r="F18" i="34" l="1"/>
  <c r="F20" i="34"/>
  <c r="F22" i="34"/>
  <c r="R84" i="4"/>
  <c r="S84" i="4"/>
  <c r="T84" i="4"/>
  <c r="U84" i="4"/>
  <c r="V84" i="4"/>
  <c r="U85" i="4"/>
  <c r="S86" i="4"/>
  <c r="U86" i="4"/>
  <c r="V86" i="4"/>
  <c r="R48" i="4"/>
  <c r="S48" i="4"/>
  <c r="T48" i="4"/>
  <c r="U48" i="4"/>
  <c r="V48" i="4"/>
  <c r="U53" i="4"/>
  <c r="R54" i="4"/>
  <c r="S54" i="4"/>
  <c r="T54" i="4"/>
  <c r="U54" i="4"/>
  <c r="V54" i="4"/>
  <c r="U55" i="4"/>
  <c r="R56" i="4"/>
  <c r="S56" i="4"/>
  <c r="T56" i="4"/>
  <c r="U56" i="4"/>
  <c r="V56" i="4"/>
  <c r="R38" i="4"/>
  <c r="S38" i="4"/>
  <c r="T38" i="4"/>
  <c r="U38" i="4"/>
  <c r="V38" i="4"/>
  <c r="R30" i="4"/>
  <c r="S30" i="4"/>
  <c r="T30" i="4"/>
  <c r="U30" i="4"/>
  <c r="V30" i="4"/>
  <c r="U31" i="4"/>
  <c r="R36" i="4"/>
  <c r="S36" i="4"/>
  <c r="T36" i="4"/>
  <c r="U36" i="4"/>
  <c r="V36" i="4"/>
  <c r="U37" i="4"/>
  <c r="R40" i="4"/>
  <c r="S40" i="4"/>
  <c r="T40" i="4"/>
  <c r="U40" i="4"/>
  <c r="V40" i="4"/>
  <c r="U43" i="4"/>
  <c r="S44" i="4"/>
  <c r="U44" i="4"/>
  <c r="V44" i="4"/>
  <c r="U45" i="4"/>
  <c r="R46" i="4"/>
  <c r="S46" i="4"/>
  <c r="T46" i="4"/>
  <c r="U46" i="4"/>
  <c r="V46" i="4"/>
  <c r="U47" i="4"/>
  <c r="V82" i="4" l="1"/>
  <c r="V80" i="4"/>
  <c r="V78" i="4"/>
  <c r="V72" i="4"/>
  <c r="V28" i="4"/>
  <c r="V26" i="4"/>
  <c r="V24" i="4"/>
  <c r="V22" i="4"/>
  <c r="U83" i="4"/>
  <c r="U82" i="4"/>
  <c r="T82" i="4"/>
  <c r="S82" i="4"/>
  <c r="R82" i="4"/>
  <c r="U81" i="4"/>
  <c r="U80" i="4"/>
  <c r="T80" i="4"/>
  <c r="S80" i="4"/>
  <c r="R80" i="4"/>
  <c r="U78" i="4"/>
  <c r="T78" i="4"/>
  <c r="S78" i="4"/>
  <c r="R78" i="4"/>
  <c r="D14" i="4" l="1"/>
  <c r="X50" i="5" s="1"/>
  <c r="U23" i="4" l="1"/>
  <c r="U24" i="4"/>
  <c r="U25" i="4"/>
  <c r="U26" i="4"/>
  <c r="U27" i="4"/>
  <c r="U28" i="4"/>
  <c r="U29" i="4"/>
  <c r="U72" i="4"/>
  <c r="U22" i="4"/>
  <c r="R72" i="4"/>
  <c r="S72" i="4"/>
  <c r="T72" i="4"/>
  <c r="D12" i="4" l="1"/>
  <c r="R22" i="4" l="1"/>
  <c r="S22" i="4"/>
  <c r="T22" i="4"/>
  <c r="R24" i="4"/>
  <c r="S24" i="4"/>
  <c r="T24" i="4"/>
  <c r="R26" i="4"/>
  <c r="S26" i="4"/>
  <c r="T26" i="4"/>
  <c r="R28" i="4"/>
  <c r="S28" i="4"/>
  <c r="T28" i="4"/>
  <c r="D254" i="104" l="1"/>
  <c r="D29" i="104"/>
  <c r="D119" i="104"/>
  <c r="D164" i="104"/>
  <c r="D194" i="104"/>
  <c r="D284" i="104"/>
  <c r="D269" i="104"/>
  <c r="D89" i="104"/>
  <c r="D179" i="104"/>
  <c r="D239" i="104"/>
  <c r="D44" i="104"/>
  <c r="D104" i="104"/>
  <c r="D224" i="104"/>
  <c r="D209" i="104"/>
  <c r="D134" i="104"/>
  <c r="D74" i="104"/>
  <c r="D149" i="104"/>
  <c r="D299" i="104"/>
  <c r="D59" i="104"/>
  <c r="L6" i="109"/>
  <c r="P4" i="109"/>
  <c r="P10" i="109"/>
  <c r="P8" i="109"/>
  <c r="L10" i="109"/>
  <c r="L8" i="109"/>
  <c r="P6" i="109"/>
  <c r="L4" i="109"/>
  <c r="D14" i="104"/>
  <c r="F10" i="5"/>
  <c r="F14" i="5"/>
  <c r="D10" i="4"/>
  <c r="N14" i="5" s="1"/>
  <c r="D8" i="4"/>
  <c r="N12" i="5" s="1"/>
  <c r="D6" i="4"/>
  <c r="N10" i="5" s="1"/>
  <c r="C91" i="62"/>
  <c r="I80" i="62" s="1"/>
  <c r="Z50" i="5" s="1"/>
  <c r="D10" i="5" l="1"/>
  <c r="D14" i="5"/>
  <c r="H6" i="34"/>
  <c r="V40" i="5" s="1"/>
  <c r="F12" i="5"/>
  <c r="D12" i="5" s="1"/>
  <c r="D4" i="34"/>
  <c r="D8" i="34"/>
  <c r="E2" i="19" l="1"/>
  <c r="D2" i="34"/>
  <c r="D6" i="34"/>
  <c r="D22" i="34"/>
  <c r="H4" i="34"/>
  <c r="D20" i="34"/>
  <c r="H12" i="34" l="1"/>
  <c r="D10" i="34"/>
  <c r="H10" i="34"/>
  <c r="H14" i="34"/>
  <c r="D14" i="34"/>
  <c r="D12" i="34"/>
  <c r="H8" i="34"/>
  <c r="E27" i="19"/>
  <c r="P50" i="5" l="1"/>
  <c r="R4" i="5"/>
  <c r="Z4" i="109"/>
  <c r="AB4" i="109" s="1"/>
  <c r="W4" i="109" s="1"/>
  <c r="Z8" i="109"/>
  <c r="AB8" i="109" s="1"/>
  <c r="Z10" i="109"/>
  <c r="AB10" i="109" s="1"/>
  <c r="Z6" i="109"/>
  <c r="AB6" i="109" s="1"/>
  <c r="W6" i="109" s="1"/>
  <c r="R8" i="109" l="1"/>
  <c r="N8" i="109"/>
  <c r="R6" i="109"/>
  <c r="N6" i="109"/>
  <c r="R4" i="109"/>
  <c r="N4" i="109"/>
  <c r="R10" i="109"/>
  <c r="N10" i="109"/>
  <c r="F4" i="109"/>
  <c r="F8" i="109"/>
  <c r="F10" i="109"/>
  <c r="F6" i="109"/>
</calcChain>
</file>

<file path=xl/comments1.xml><?xml version="1.0" encoding="utf-8"?>
<comments xmlns="http://schemas.openxmlformats.org/spreadsheetml/2006/main">
  <authors>
    <author>Ben</author>
    <author>Jody Cummings</author>
  </authors>
  <commentList>
    <comment ref="D2" authorId="0" shapeId="0">
      <text/>
    </comment>
    <comment ref="H36" authorId="1" shapeId="0">
      <text>
        <r>
          <rPr>
            <b/>
            <sz val="9"/>
            <color indexed="81"/>
            <rFont val="Tahoma"/>
            <family val="2"/>
          </rPr>
          <t xml:space="preserve">Benefit(s): 
</t>
        </r>
        <r>
          <rPr>
            <sz val="9"/>
            <color indexed="81"/>
            <rFont val="Tahoma"/>
            <family val="2"/>
          </rPr>
          <t xml:space="preserve">Choose one kingdom attribute (Economy, Loyalty, or Stability). Add your Charisma modifier to this attribute. 
If your kingdom's Size is 26–100, choose a second kingdom attribute and add your Charisma modifier to it as well. 
If your kingdom's Size is 101 or more, choose a third kingdom attribute and add your Charisma modifier to it too.
If you have the </t>
        </r>
        <r>
          <rPr>
            <b/>
            <sz val="9"/>
            <color indexed="81"/>
            <rFont val="Tahoma"/>
            <family val="2"/>
          </rPr>
          <t>Leadership</t>
        </r>
        <r>
          <rPr>
            <sz val="9"/>
            <color indexed="81"/>
            <rFont val="Tahoma"/>
            <family val="2"/>
          </rPr>
          <t xml:space="preserve"> feat, the bonus from the feat applies to all kingdom attributes you affect (one, two, or three attributes, depending on the kingdom's Size).
</t>
        </r>
        <r>
          <rPr>
            <b/>
            <sz val="9"/>
            <color indexed="81"/>
            <rFont val="Tahoma"/>
            <family val="2"/>
          </rPr>
          <t>Vacancy Penalty:</t>
        </r>
        <r>
          <rPr>
            <sz val="9"/>
            <color indexed="81"/>
            <rFont val="Tahoma"/>
            <family val="2"/>
          </rPr>
          <t xml:space="preserve"> 
A kingdom without a ruler cannot claim new hexes, create Farms, build Roads, or purchase settlement districts. Unrest increases by 4 during the kingdom's Upkeep Phase.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Ruler: Knowledge (nobility)
</t>
        </r>
      </text>
    </comment>
    <comment ref="H40" authorId="1" shapeId="0">
      <text>
        <r>
          <rPr>
            <b/>
            <sz val="9"/>
            <color indexed="81"/>
            <rFont val="Tahoma"/>
            <family val="2"/>
          </rPr>
          <t xml:space="preserve">Benefit(s):  </t>
        </r>
        <r>
          <rPr>
            <sz val="9"/>
            <color indexed="81"/>
            <rFont val="Tahoma"/>
            <family val="2"/>
          </rPr>
          <t xml:space="preserve">
Add half your Charisma modifier to Loyalty. 
If the ruler is unavailable during a turn, you may act as the Ruler for that turn, negating the vacancy penalty for having no Ruler, though you do not gain the Ruler benefit. 
If you act as the Ruler for the turn, you must succeed at a Loyalty check during the kingdom's Upkeep Phase or Unrest increases by 1.
</t>
        </r>
        <r>
          <rPr>
            <b/>
            <sz val="9"/>
            <color indexed="81"/>
            <rFont val="Tahoma"/>
            <family val="2"/>
          </rPr>
          <t xml:space="preserve">Vacancy Penalty: 
</t>
        </r>
        <r>
          <rPr>
            <sz val="9"/>
            <color indexed="81"/>
            <rFont val="Tahoma"/>
            <family val="2"/>
          </rPr>
          <t xml:space="preserve">None.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Consort: Knowledge (nobility)
</t>
        </r>
      </text>
    </comment>
    <comment ref="H42" authorId="1" shapeId="0">
      <text>
        <r>
          <rPr>
            <b/>
            <sz val="9"/>
            <color indexed="81"/>
            <rFont val="Tahoma"/>
            <family val="2"/>
          </rPr>
          <t xml:space="preserve">Benefit(s):  
</t>
        </r>
        <r>
          <rPr>
            <sz val="9"/>
            <color indexed="81"/>
            <rFont val="Tahoma"/>
            <family val="2"/>
          </rPr>
          <t xml:space="preserve">Add your Charisma modifier or Wisdom modifier to Loyalty.
</t>
        </r>
        <r>
          <rPr>
            <b/>
            <sz val="9"/>
            <color indexed="81"/>
            <rFont val="Tahoma"/>
            <family val="2"/>
          </rPr>
          <t xml:space="preserve">Vacancy Penalty:  
</t>
        </r>
        <r>
          <rPr>
            <sz val="9"/>
            <color indexed="81"/>
            <rFont val="Tahoma"/>
            <family val="2"/>
          </rPr>
          <t xml:space="preserve">Loyalty decreases by 2. The kingdom gains no benefits from the Holiday edict. During the Upkeep Phase, Unrest increases by 1.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Councilor: Knowledge (local)
</t>
        </r>
      </text>
    </comment>
    <comment ref="H44" authorId="1" shapeId="0">
      <text>
        <r>
          <rPr>
            <b/>
            <sz val="9"/>
            <color indexed="81"/>
            <rFont val="Tahoma"/>
            <family val="2"/>
          </rPr>
          <t>Benefit(s)</t>
        </r>
        <r>
          <rPr>
            <sz val="9"/>
            <color indexed="81"/>
            <rFont val="Tahoma"/>
            <family val="2"/>
          </rPr>
          <t xml:space="preserve">: 
Add your Charisma modifier or Strength modifier to Stability.
</t>
        </r>
        <r>
          <rPr>
            <b/>
            <sz val="9"/>
            <color indexed="81"/>
            <rFont val="Tahoma"/>
            <family val="2"/>
          </rPr>
          <t>Vacancy Penalty:</t>
        </r>
        <r>
          <rPr>
            <sz val="9"/>
            <color indexed="81"/>
            <rFont val="Tahoma"/>
            <family val="2"/>
          </rPr>
          <t xml:space="preserve"> 
Loyalty decreases by 4.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General: Profession (soldier)
</t>
        </r>
      </text>
    </comment>
    <comment ref="H46" authorId="1" shapeId="0">
      <text>
        <r>
          <rPr>
            <b/>
            <sz val="9"/>
            <color indexed="81"/>
            <rFont val="Tahoma"/>
            <family val="2"/>
          </rPr>
          <t>Benefit(s)</t>
        </r>
        <r>
          <rPr>
            <sz val="9"/>
            <color indexed="81"/>
            <rFont val="Tahoma"/>
            <family val="2"/>
          </rPr>
          <t xml:space="preserve">: 
Add your Charisma modifier or Intelligence modifier to Stability.
</t>
        </r>
        <r>
          <rPr>
            <b/>
            <sz val="9"/>
            <color indexed="81"/>
            <rFont val="Tahoma"/>
            <family val="2"/>
          </rPr>
          <t xml:space="preserve">
Vacancy Penalty</t>
        </r>
        <r>
          <rPr>
            <sz val="9"/>
            <color indexed="81"/>
            <rFont val="Tahoma"/>
            <family val="2"/>
          </rPr>
          <t xml:space="preserve">: 
Stability decreases by 2. The kingdom cannot issue Diplomatic or Exploration edicts.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Grand Diplomat: Diplomacy</t>
        </r>
      </text>
    </comment>
    <comment ref="H48" authorId="1" shapeId="0">
      <text>
        <r>
          <rPr>
            <b/>
            <sz val="9"/>
            <color indexed="81"/>
            <rFont val="Tahoma"/>
            <family val="2"/>
          </rPr>
          <t xml:space="preserve">Benefit(s): </t>
        </r>
        <r>
          <rPr>
            <sz val="9"/>
            <color indexed="81"/>
            <rFont val="Tahoma"/>
            <family val="2"/>
          </rPr>
          <t xml:space="preserve">
Add half your Charisma modifier to Loyalty. You may act as the Ruler for a turn, negating the vacancy penalty for the kingdom having no Ruler, though you do not gain the Ruler benefit.
Whenever you act as the Ruler for the turn, you must succeed at a Loyalty check during the kingdom's Upkeep Phase or Unrest increases by 1.
</t>
        </r>
        <r>
          <rPr>
            <b/>
            <sz val="9"/>
            <color indexed="81"/>
            <rFont val="Tahoma"/>
            <family val="2"/>
          </rPr>
          <t xml:space="preserve">Vacancy Penalty: </t>
        </r>
        <r>
          <rPr>
            <sz val="9"/>
            <color indexed="81"/>
            <rFont val="Tahoma"/>
            <family val="2"/>
          </rPr>
          <t xml:space="preserve">
None.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Heir: Knowledge (nobility)
</t>
        </r>
      </text>
    </comment>
    <comment ref="H50" authorId="1" shapeId="0">
      <text>
        <r>
          <rPr>
            <b/>
            <sz val="9"/>
            <color indexed="81"/>
            <rFont val="Tahoma"/>
            <family val="2"/>
          </rPr>
          <t xml:space="preserve">Benefit(s): </t>
        </r>
        <r>
          <rPr>
            <sz val="9"/>
            <color indexed="81"/>
            <rFont val="Tahoma"/>
            <family val="2"/>
          </rPr>
          <t xml:space="preserve">
Add your Charisma modifier or Wisdom modifier to Stability.
</t>
        </r>
        <r>
          <rPr>
            <b/>
            <sz val="9"/>
            <color indexed="81"/>
            <rFont val="Tahoma"/>
            <family val="2"/>
          </rPr>
          <t>Vacancy Penalty:</t>
        </r>
        <r>
          <rPr>
            <sz val="9"/>
            <color indexed="81"/>
            <rFont val="Tahoma"/>
            <family val="2"/>
          </rPr>
          <t xml:space="preserve"> 
Stability and Loyalty decrease by 2. During the Upkeep Phase, Unrest increases by 1.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High Priest: Knowledge (religion)</t>
        </r>
      </text>
    </comment>
    <comment ref="H52" authorId="1" shapeId="0">
      <text>
        <r>
          <rPr>
            <b/>
            <sz val="9"/>
            <color indexed="81"/>
            <rFont val="Tahoma"/>
            <family val="2"/>
          </rPr>
          <t>Benefit(s):</t>
        </r>
        <r>
          <rPr>
            <sz val="9"/>
            <color indexed="81"/>
            <rFont val="Tahoma"/>
            <family val="2"/>
          </rPr>
          <t xml:space="preserve"> 
Add your Charisma modifier or Intelligence modifier to Economy.
</t>
        </r>
        <r>
          <rPr>
            <b/>
            <sz val="9"/>
            <color indexed="81"/>
            <rFont val="Tahoma"/>
            <family val="2"/>
          </rPr>
          <t>Vacancy Penalty:</t>
        </r>
        <r>
          <rPr>
            <sz val="9"/>
            <color indexed="81"/>
            <rFont val="Tahoma"/>
            <family val="2"/>
          </rPr>
          <t xml:space="preserve"> 
Economy decreases by 4.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Magister: Knowledge (arcana)</t>
        </r>
      </text>
    </comment>
    <comment ref="H54" authorId="1" shapeId="0">
      <text>
        <r>
          <rPr>
            <b/>
            <sz val="9"/>
            <color indexed="81"/>
            <rFont val="Tahoma"/>
            <family val="2"/>
          </rPr>
          <t>Benefit(s):</t>
        </r>
        <r>
          <rPr>
            <sz val="9"/>
            <color indexed="81"/>
            <rFont val="Tahoma"/>
            <family val="2"/>
          </rPr>
          <t xml:space="preserve"> 
Add your Dexterity modifier or Wisdom modifier to Economy.
</t>
        </r>
        <r>
          <rPr>
            <b/>
            <sz val="9"/>
            <color indexed="81"/>
            <rFont val="Tahoma"/>
            <family val="2"/>
          </rPr>
          <t>Vacancy Penalty:</t>
        </r>
        <r>
          <rPr>
            <sz val="9"/>
            <color indexed="81"/>
            <rFont val="Tahoma"/>
            <family val="2"/>
          </rPr>
          <t xml:space="preserve"> 
Economy decreases by 4.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Marshal: Survival</t>
        </r>
      </text>
    </comment>
    <comment ref="H56" authorId="1" shapeId="0">
      <text>
        <r>
          <rPr>
            <b/>
            <sz val="9"/>
            <color indexed="81"/>
            <rFont val="Tahoma"/>
            <family val="2"/>
          </rPr>
          <t>Benefit(s):</t>
        </r>
        <r>
          <rPr>
            <sz val="9"/>
            <color indexed="81"/>
            <rFont val="Tahoma"/>
            <family val="2"/>
          </rPr>
          <t xml:space="preserve"> 
Add your Dexterity modifier or Strength modifier to Loyalty. During the Upkeep Phase, you may decrease Unrest by 1 (this is not affected by having the Leadership feat); if you do so, you must succeed at a Loyalty check or Loyalty decreases by 1.
</t>
        </r>
        <r>
          <rPr>
            <b/>
            <sz val="9"/>
            <color indexed="81"/>
            <rFont val="Tahoma"/>
            <family val="2"/>
          </rPr>
          <t>Vacancy Penalty:</t>
        </r>
        <r>
          <rPr>
            <sz val="9"/>
            <color indexed="81"/>
            <rFont val="Tahoma"/>
            <family val="2"/>
          </rPr>
          <t xml:space="preserve"> 
None.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Royal Enforcer: Intimidate</t>
        </r>
      </text>
    </comment>
    <comment ref="H58" authorId="1" shapeId="0">
      <text>
        <r>
          <rPr>
            <b/>
            <sz val="9"/>
            <color indexed="81"/>
            <rFont val="Tahoma"/>
            <family val="2"/>
          </rPr>
          <t>Benefit(s):</t>
        </r>
        <r>
          <rPr>
            <sz val="9"/>
            <color indexed="81"/>
            <rFont val="Tahoma"/>
            <family val="2"/>
          </rPr>
          <t xml:space="preserve"> 
During the Edict Phase, choose one kingdom attribute (Economy, Loyalty or Stability). 
Add your Dexterity modifier or Intelligence modifier to this attribute.
</t>
        </r>
        <r>
          <rPr>
            <b/>
            <sz val="9"/>
            <color indexed="81"/>
            <rFont val="Tahoma"/>
            <family val="2"/>
          </rPr>
          <t>Vacancy Penalty:</t>
        </r>
        <r>
          <rPr>
            <sz val="9"/>
            <color indexed="81"/>
            <rFont val="Tahoma"/>
            <family val="2"/>
          </rPr>
          <t xml:space="preserve"> 
Economy decreases by 4. During the Upkeep Phase, Unrest increases by 1.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Spymaster: Sense Motive</t>
        </r>
      </text>
    </comment>
    <comment ref="H60" authorId="1" shapeId="0">
      <text>
        <r>
          <rPr>
            <b/>
            <sz val="9"/>
            <color indexed="81"/>
            <rFont val="Tahoma"/>
            <family val="2"/>
          </rPr>
          <t>Benefit(s):</t>
        </r>
        <r>
          <rPr>
            <sz val="9"/>
            <color indexed="81"/>
            <rFont val="Tahoma"/>
            <family val="2"/>
          </rPr>
          <t xml:space="preserve"> 
Add your Intelligence modifier or Wisdom modifier to Economy.
</t>
        </r>
        <r>
          <rPr>
            <b/>
            <sz val="9"/>
            <color indexed="81"/>
            <rFont val="Tahoma"/>
            <family val="2"/>
          </rPr>
          <t>Vacancy Penalty:</t>
        </r>
        <r>
          <rPr>
            <sz val="9"/>
            <color indexed="81"/>
            <rFont val="Tahoma"/>
            <family val="2"/>
          </rPr>
          <t xml:space="preserve"> 
Economy decreases by 4. The kingdom cannot collect taxes—during the Edict Phase, when you would normally collect taxes, the kingdom does not collect taxes at all and the taxation level is considered "none."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Treasurer: Profession (merchant)
</t>
        </r>
      </text>
    </comment>
    <comment ref="H62" authorId="1" shapeId="0">
      <text>
        <r>
          <rPr>
            <b/>
            <sz val="9"/>
            <color indexed="81"/>
            <rFont val="Tahoma"/>
            <family val="2"/>
          </rPr>
          <t>Benefit(s):</t>
        </r>
        <r>
          <rPr>
            <sz val="9"/>
            <color indexed="81"/>
            <rFont val="Tahoma"/>
            <family val="2"/>
          </rPr>
          <t xml:space="preserve"> 
Add half your Intelligence or Wisdom modifier to Economy. 
You may assume any leadership role (including Ruler) for your colony or vassal state, but any benefit you provide in this role is 1 less than normal; if you do so, you must spend 7 days that month performing duties appropriate to that leadership role in addition to the 7 days spent for Viceroy duties.
</t>
        </r>
        <r>
          <rPr>
            <b/>
            <sz val="9"/>
            <color indexed="81"/>
            <rFont val="Tahoma"/>
            <family val="2"/>
          </rPr>
          <t xml:space="preserve">Vacancy Penalty: </t>
        </r>
        <r>
          <rPr>
            <sz val="9"/>
            <color indexed="81"/>
            <rFont val="Tahoma"/>
            <family val="2"/>
          </rPr>
          <t xml:space="preserve">
If you have no Viceroy for your vassal state, treat it as if it had the Ruler vacancy penalty.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Viceroy: Knowledge (geography)
</t>
        </r>
      </text>
    </comment>
    <comment ref="H64" authorId="1" shapeId="0">
      <text>
        <r>
          <rPr>
            <b/>
            <sz val="9"/>
            <color indexed="81"/>
            <rFont val="Tahoma"/>
            <family val="2"/>
          </rPr>
          <t>Benefit(s):</t>
        </r>
        <r>
          <rPr>
            <sz val="9"/>
            <color indexed="81"/>
            <rFont val="Tahoma"/>
            <family val="2"/>
          </rPr>
          <t xml:space="preserve"> 
Add your Constitution modifier or Strength modifier to Loyalty.
</t>
        </r>
        <r>
          <rPr>
            <b/>
            <sz val="9"/>
            <color indexed="81"/>
            <rFont val="Tahoma"/>
            <family val="2"/>
          </rPr>
          <t>Vacancy Penalty:</t>
        </r>
        <r>
          <rPr>
            <sz val="9"/>
            <color indexed="81"/>
            <rFont val="Tahoma"/>
            <family val="2"/>
          </rPr>
          <t xml:space="preserve"> 
Loyalty and Stability decrease by 2.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Warden: Knowledge (engineering)</t>
        </r>
      </text>
    </comment>
  </commentList>
</comments>
</file>

<file path=xl/comments2.xml><?xml version="1.0" encoding="utf-8"?>
<comments xmlns="http://schemas.openxmlformats.org/spreadsheetml/2006/main">
  <authors>
    <author>Ben</author>
    <author>Jody</author>
  </authors>
  <commentList>
    <comment ref="D2" authorId="0" shapeId="0">
      <text/>
    </comment>
    <comment ref="B22" authorId="1" shapeId="0">
      <text/>
    </comment>
    <comment ref="B24" authorId="1" shapeId="0">
      <text/>
    </comment>
    <comment ref="B26" authorId="1" shapeId="0">
      <text/>
    </comment>
    <comment ref="B28" authorId="1" shapeId="0">
      <text/>
    </comment>
    <comment ref="B36" authorId="1" shapeId="0">
      <text/>
    </comment>
    <comment ref="B40" authorId="1" shapeId="0">
      <text/>
    </comment>
    <comment ref="B44" authorId="1" shapeId="0">
      <text/>
    </comment>
    <comment ref="B46" authorId="1" shapeId="0">
      <text/>
    </comment>
    <comment ref="B54" authorId="1" shapeId="0">
      <text/>
    </comment>
    <comment ref="B62" authorId="1" shapeId="0">
      <text/>
    </comment>
    <comment ref="B64" authorId="1" shapeId="0">
      <text/>
    </comment>
    <comment ref="B72" authorId="1" shapeId="0">
      <text/>
    </comment>
    <comment ref="B78" authorId="1" shapeId="0">
      <text/>
    </comment>
    <comment ref="B80" authorId="1" shapeId="0">
      <text/>
    </comment>
    <comment ref="B84" authorId="1" shapeId="0">
      <text/>
    </comment>
    <comment ref="B86" authorId="1" shapeId="0">
      <text/>
    </comment>
  </commentList>
</comments>
</file>

<file path=xl/comments3.xml><?xml version="1.0" encoding="utf-8"?>
<comments xmlns="http://schemas.openxmlformats.org/spreadsheetml/2006/main">
  <authors>
    <author>Jody Cummings</author>
  </authors>
  <commentList>
    <comment ref="E1" authorId="0" shapeId="0">
      <text>
        <r>
          <rPr>
            <b/>
            <sz val="9"/>
            <color indexed="81"/>
            <rFont val="Tahoma"/>
            <family val="2"/>
          </rPr>
          <t xml:space="preserve">Jody Cummings:
</t>
        </r>
        <r>
          <rPr>
            <sz val="9"/>
            <color indexed="81"/>
            <rFont val="Tahoma"/>
            <family val="2"/>
          </rPr>
          <t xml:space="preserve">
If a Check is made the value in this column is for succeeding at the Check.
If no Check is required, then the value in this column is something that must be done.</t>
        </r>
      </text>
    </comment>
    <comment ref="F1" authorId="0" shapeId="0">
      <text>
        <r>
          <rPr>
            <b/>
            <sz val="9"/>
            <color indexed="81"/>
            <rFont val="Tahoma"/>
            <family val="2"/>
          </rPr>
          <t xml:space="preserve">Jody Cummings:
</t>
        </r>
        <r>
          <rPr>
            <sz val="9"/>
            <color indexed="81"/>
            <rFont val="Tahoma"/>
            <family val="2"/>
          </rPr>
          <t xml:space="preserve">
If a Check is made the value in this column is for succeeding at the Check.
If no Check is required, then the value in this column is something that must be done.</t>
        </r>
      </text>
    </comment>
    <comment ref="E6" authorId="0" shapeId="0">
      <text>
        <r>
          <rPr>
            <b/>
            <sz val="9"/>
            <color indexed="81"/>
            <rFont val="Tahoma"/>
            <family val="2"/>
          </rPr>
          <t xml:space="preserve">Jody Cummings:
</t>
        </r>
        <r>
          <rPr>
            <sz val="9"/>
            <color indexed="81"/>
            <rFont val="Tahoma"/>
            <family val="2"/>
          </rPr>
          <t xml:space="preserve">
If a Check is made the value in this column is for succeeding at the Check.
If no Check is required, then the value in this column is something that must be done.</t>
        </r>
      </text>
    </comment>
    <comment ref="F6" authorId="0" shapeId="0">
      <text>
        <r>
          <rPr>
            <b/>
            <sz val="9"/>
            <color indexed="81"/>
            <rFont val="Tahoma"/>
            <family val="2"/>
          </rPr>
          <t xml:space="preserve">Jody Cummings:
</t>
        </r>
        <r>
          <rPr>
            <sz val="9"/>
            <color indexed="81"/>
            <rFont val="Tahoma"/>
            <family val="2"/>
          </rPr>
          <t xml:space="preserve">
If a Check is made the value in this column is for succeeding at the Check.
If no Check is required, then the value in this column is something that must be done.</t>
        </r>
      </text>
    </comment>
    <comment ref="E13" authorId="0" shapeId="0">
      <text>
        <r>
          <rPr>
            <b/>
            <sz val="9"/>
            <color indexed="81"/>
            <rFont val="Tahoma"/>
            <family val="2"/>
          </rPr>
          <t xml:space="preserve">Jody Cummings:
</t>
        </r>
        <r>
          <rPr>
            <sz val="9"/>
            <color indexed="81"/>
            <rFont val="Tahoma"/>
            <family val="2"/>
          </rPr>
          <t xml:space="preserve">
If a Check is made the value in this column is for succeeding at the Check.
If no Check is required, then the value in this column is something that must be done.</t>
        </r>
      </text>
    </comment>
    <comment ref="F13" authorId="0" shapeId="0">
      <text>
        <r>
          <rPr>
            <b/>
            <sz val="9"/>
            <color indexed="81"/>
            <rFont val="Tahoma"/>
            <family val="2"/>
          </rPr>
          <t xml:space="preserve">Jody Cummings:
</t>
        </r>
        <r>
          <rPr>
            <sz val="9"/>
            <color indexed="81"/>
            <rFont val="Tahoma"/>
            <family val="2"/>
          </rPr>
          <t xml:space="preserve">
If a Check is made the value in this column is for succeeding at the Check.
If no Check is required, then the value in this column is something that must be done.</t>
        </r>
      </text>
    </comment>
    <comment ref="E18" authorId="0" shapeId="0">
      <text>
        <r>
          <rPr>
            <b/>
            <sz val="9"/>
            <color indexed="81"/>
            <rFont val="Tahoma"/>
            <family val="2"/>
          </rPr>
          <t xml:space="preserve">Jody Cummings:
</t>
        </r>
        <r>
          <rPr>
            <sz val="9"/>
            <color indexed="81"/>
            <rFont val="Tahoma"/>
            <family val="2"/>
          </rPr>
          <t xml:space="preserve">
If a Check is made the value in this column is for succeeding at the Check.
If no Check is required, then the value in this column is something that must be done.</t>
        </r>
      </text>
    </comment>
    <comment ref="F18" authorId="0" shapeId="0">
      <text>
        <r>
          <rPr>
            <b/>
            <sz val="9"/>
            <color indexed="81"/>
            <rFont val="Tahoma"/>
            <family val="2"/>
          </rPr>
          <t xml:space="preserve">Jody Cummings:
</t>
        </r>
        <r>
          <rPr>
            <sz val="9"/>
            <color indexed="81"/>
            <rFont val="Tahoma"/>
            <family val="2"/>
          </rPr>
          <t xml:space="preserve">
If a Check is made the value in this column is for succeeding at the Check.
If no Check is required, then the value in this column is something that must be done.</t>
        </r>
      </text>
    </comment>
  </commentList>
</comments>
</file>

<file path=xl/comments4.xml><?xml version="1.0" encoding="utf-8"?>
<comments xmlns="http://schemas.openxmlformats.org/spreadsheetml/2006/main">
  <authors>
    <author>Jody Cummings</author>
  </authors>
  <commentList>
    <comment ref="F4" authorId="0" shapeId="0">
      <text>
        <r>
          <rPr>
            <b/>
            <sz val="9"/>
            <color indexed="81"/>
            <rFont val="Tahoma"/>
            <family val="2"/>
          </rPr>
          <t>Jody Cummings:</t>
        </r>
        <r>
          <rPr>
            <sz val="9"/>
            <color indexed="81"/>
            <rFont val="Tahoma"/>
            <family val="2"/>
          </rPr>
          <t xml:space="preserve">
Good weather raises spirits and productivity. Economy, Loyalty, and Productivity increase by 2 until the next Event Phase</t>
        </r>
      </text>
    </comment>
    <comment ref="F5" authorId="0" shapeId="0">
      <text>
        <r>
          <rPr>
            <b/>
            <sz val="9"/>
            <color indexed="81"/>
            <rFont val="Tahoma"/>
            <family val="2"/>
          </rPr>
          <t>Jody Cummings:</t>
        </r>
        <r>
          <rPr>
            <sz val="9"/>
            <color indexed="81"/>
            <rFont val="Tahoma"/>
            <family val="2"/>
          </rPr>
          <t xml:space="preserve">
Farmers produce an unexpected windfall! In the next Upkeep Phase, the kingdom's Consumption is halved (but returns to normal on the next turn)</t>
        </r>
      </text>
    </comment>
    <comment ref="I5" authorId="0" shapeId="0">
      <text>
        <r>
          <rPr>
            <b/>
            <sz val="9"/>
            <color indexed="81"/>
            <rFont val="Tahoma"/>
            <family val="2"/>
          </rPr>
          <t>Jody Cummings:</t>
        </r>
        <r>
          <rPr>
            <sz val="9"/>
            <color indexed="81"/>
            <rFont val="Tahoma"/>
            <family val="2"/>
          </rPr>
          <t xml:space="preserve">
Spoilage, treachery, or bad luck has caused a food shortage this turn. Attempt a Stability check. If you succeed, Consumption in the next Upkeep Phase increases by 50%. If you fail, Consumption in the next Upkeep Phase increases by 100%</t>
        </r>
      </text>
    </comment>
    <comment ref="F6" authorId="0" shapeId="0">
      <text>
        <r>
          <rPr>
            <b/>
            <sz val="9"/>
            <color indexed="81"/>
            <rFont val="Tahoma"/>
            <family val="2"/>
          </rPr>
          <t>Jody Cummings:</t>
        </r>
        <r>
          <rPr>
            <sz val="9"/>
            <color indexed="81"/>
            <rFont val="Tahoma"/>
            <family val="2"/>
          </rPr>
          <t xml:space="preserve">
Trade is booming in your kingdom! Your Treasury increases by 1d6 BP (each time you roll a 6, add the result to the total and roll again)</t>
        </r>
      </text>
    </comment>
    <comment ref="I6" authorId="0" shapeId="0">
      <text>
        <r>
          <rPr>
            <b/>
            <sz val="9"/>
            <color indexed="81"/>
            <rFont val="Tahoma"/>
            <family val="2"/>
          </rPr>
          <t>Jody Cummings:</t>
        </r>
        <r>
          <rPr>
            <sz val="9"/>
            <color indexed="81"/>
            <rFont val="Tahoma"/>
            <family val="2"/>
          </rPr>
          <t xml:space="preserve">
Bandits are preying upon those who travel through your kingdom. Attempt a Stability check. If you succeed, your kingdom's defenses stop the bandits before they cause any harm. If you fail, the bandits reduce your kingdom's Treasury by 1d6 BP (each time you roll a 6, add the result to the total and roll again)</t>
        </r>
      </text>
    </comment>
    <comment ref="F7" authorId="0" shapeId="0">
      <text>
        <r>
          <rPr>
            <b/>
            <sz val="9"/>
            <color indexed="81"/>
            <rFont val="Tahoma"/>
            <family val="2"/>
          </rPr>
          <t>Jody Cummings:</t>
        </r>
        <r>
          <rPr>
            <sz val="9"/>
            <color indexed="81"/>
            <rFont val="Tahoma"/>
            <family val="2"/>
          </rPr>
          <t xml:space="preserve">
Scholars unearth a bit of ancient lore or devise important new research of their own. Fame increases by 1 and Lore increases by 1d4</t>
        </r>
      </text>
    </comment>
    <comment ref="I7" authorId="0" shapeId="0">
      <text>
        <r>
          <rPr>
            <b/>
            <sz val="9"/>
            <color indexed="81"/>
            <rFont val="Tahoma"/>
            <family val="2"/>
          </rPr>
          <t>Jody Cummings:</t>
        </r>
        <r>
          <rPr>
            <sz val="9"/>
            <color indexed="81"/>
            <rFont val="Tahoma"/>
            <family val="2"/>
          </rPr>
          <t xml:space="preserve">
This event is identical to the building demand event, but the citizens want the construction or destruction of a terrain improvement in the hex</t>
        </r>
      </text>
    </comment>
    <comment ref="F8" authorId="0" shapeId="0">
      <text>
        <r>
          <rPr>
            <b/>
            <sz val="9"/>
            <color indexed="81"/>
            <rFont val="Tahoma"/>
            <family val="2"/>
          </rPr>
          <t>Jody Cummings:</t>
        </r>
        <r>
          <rPr>
            <sz val="9"/>
            <color indexed="81"/>
            <rFont val="Tahoma"/>
            <family val="2"/>
          </rPr>
          <t xml:space="preserve">
A natural event, such as a bloom of rare and beautiful wildflowers or a good omen in the stars, raises your kingdom's morale. You gain a +4 bonus on Stability checks until the next Event Phase</t>
        </r>
      </text>
    </comment>
    <comment ref="I8" authorId="0" shapeId="0">
      <text>
        <r>
          <rPr>
            <b/>
            <sz val="9"/>
            <color indexed="81"/>
            <rFont val="Tahoma"/>
            <family val="2"/>
          </rPr>
          <t>Jody Cummings:</t>
        </r>
        <r>
          <rPr>
            <sz val="9"/>
            <color indexed="81"/>
            <rFont val="Tahoma"/>
            <family val="2"/>
          </rPr>
          <t xml:space="preserve">
Zealots mobilize public opinion against a particular race, religion, kingdom, behavior, or kingdom leader. Attempt a Loyalty check. If you fail, the zealots run rampant; Infamy and Law increase by 1 and Lore, Loyalty, Productivity, and Stability decrease by 2. If you succeed, the zealots are somewhat suppressed; Lore, Loyalty, Productivity, and Stability decrease by 1. Two successful checks in a row end the event (if a check ends the event, no penalties from it occur that turn)</t>
        </r>
      </text>
    </comment>
    <comment ref="F9" authorId="0" shapeId="0">
      <text>
        <r>
          <rPr>
            <b/>
            <sz val="9"/>
            <color indexed="81"/>
            <rFont val="Tahoma"/>
            <family val="2"/>
          </rPr>
          <t>Jody Cummings:</t>
        </r>
        <r>
          <rPr>
            <sz val="9"/>
            <color indexed="81"/>
            <rFont val="Tahoma"/>
            <family val="2"/>
          </rPr>
          <t xml:space="preserve">
A sudden absence of political machinations coincides with an increase in public approval. Unrest decreases by 1d6. Until the next Event Phase, you gain a +2 bonus on checks to resolve continuous events. If your kingdom has no Unrest and no continuous events, both Loyalty and Stability increase by 1. If you are using Law settlement modifiers for the kingdom (see Expanding Settlement Modifiers), this also increases Law by 1 for the entire kingdom</t>
        </r>
      </text>
    </comment>
    <comment ref="I9" authorId="0" shapeId="0">
      <text>
        <r>
          <rPr>
            <b/>
            <sz val="9"/>
            <color indexed="81"/>
            <rFont val="Tahoma"/>
            <family val="2"/>
          </rPr>
          <t>Jody Cummings:</t>
        </r>
        <r>
          <rPr>
            <sz val="9"/>
            <color indexed="81"/>
            <rFont val="Tahoma"/>
            <family val="2"/>
          </rPr>
          <t xml:space="preserve">
One of your leaders is implicated in a crime or an embarrassing situation, such as an affair with another leader's spouse. Infamy increases by 1. Attempt a Loyalty check. If you fail, Unrest increases by 2 and you take a –4 penalty on all Loyalty checks until the next Event Phase</t>
        </r>
      </text>
    </comment>
    <comment ref="F10" authorId="0" shapeId="0">
      <text>
        <r>
          <rPr>
            <b/>
            <sz val="9"/>
            <color indexed="81"/>
            <rFont val="Tahoma"/>
            <family val="2"/>
          </rPr>
          <t>Jody Cummings:</t>
        </r>
        <r>
          <rPr>
            <sz val="9"/>
            <color indexed="81"/>
            <rFont val="Tahoma"/>
            <family val="2"/>
          </rPr>
          <t xml:space="preserve">
Your kingdom's leaders are invited to a festival in a neighboring kingdom. If you attend and bring 1d4 BP worth of gifts, for 1 year Society increases by 1, Fame increases by 1 for any check relating to that kingdom, and you gain a +2 bonus on edict checks relating to that kingdom</t>
        </r>
      </text>
    </comment>
    <comment ref="I10" authorId="0" shapeId="0">
      <text>
        <r>
          <rPr>
            <b/>
            <sz val="9"/>
            <color indexed="81"/>
            <rFont val="Tahoma"/>
            <family val="2"/>
          </rPr>
          <t>Jody Cummings:</t>
        </r>
        <r>
          <rPr>
            <sz val="9"/>
            <color indexed="81"/>
            <rFont val="Tahoma"/>
            <family val="2"/>
          </rPr>
          <t xml:space="preserve">
Unscrupulous merchants are subverting legitimate businesses. Attempt a Loyalty check and a Stability check...
</t>
        </r>
        <r>
          <rPr>
            <b/>
            <sz val="9"/>
            <color indexed="81"/>
            <rFont val="Tahoma"/>
            <family val="2"/>
          </rPr>
          <t xml:space="preserve">Penalty : </t>
        </r>
        <r>
          <rPr>
            <sz val="9"/>
            <color indexed="81"/>
            <rFont val="Tahoma"/>
            <family val="2"/>
          </rPr>
          <t xml:space="preserve">A penalty equal to the number of Piers, Waterfronts, and trade routes in the kingdom. 
</t>
        </r>
        <r>
          <rPr>
            <b/>
            <sz val="9"/>
            <color indexed="81"/>
            <rFont val="Tahoma"/>
            <family val="2"/>
          </rPr>
          <t>Success :</t>
        </r>
        <r>
          <rPr>
            <sz val="9"/>
            <color indexed="81"/>
            <rFont val="Tahoma"/>
            <family val="2"/>
          </rPr>
          <t xml:space="preserve"> If you succeed at both checks, the smugglers are stopped before your kingdom takes any penalties from the event. 
</t>
        </r>
        <r>
          <rPr>
            <b/>
            <sz val="9"/>
            <color indexed="81"/>
            <rFont val="Tahoma"/>
            <family val="2"/>
          </rPr>
          <t xml:space="preserve">Failure : </t>
        </r>
        <r>
          <rPr>
            <sz val="9"/>
            <color indexed="81"/>
            <rFont val="Tahoma"/>
            <family val="2"/>
          </rPr>
          <t xml:space="preserve">
If you fail at </t>
        </r>
        <r>
          <rPr>
            <b/>
            <sz val="9"/>
            <color indexed="81"/>
            <rFont val="Tahoma"/>
            <family val="2"/>
          </rPr>
          <t>one</t>
        </r>
        <r>
          <rPr>
            <sz val="9"/>
            <color indexed="81"/>
            <rFont val="Tahoma"/>
            <family val="2"/>
          </rPr>
          <t xml:space="preserve"> of the checks, Corruption increases by 1d2 in each settlement, Crime increases by 1 for the kingdom (Optional Kingdom Rules), Productivity for the kingdom decreases by 1d3, Treasury decreases by 1d3 BP, and the event is not continuous. 
If you fail at </t>
        </r>
        <r>
          <rPr>
            <b/>
            <sz val="9"/>
            <color indexed="81"/>
            <rFont val="Tahoma"/>
            <family val="2"/>
          </rPr>
          <t>both</t>
        </r>
        <r>
          <rPr>
            <sz val="9"/>
            <color indexed="81"/>
            <rFont val="Tahoma"/>
            <family val="2"/>
          </rPr>
          <t xml:space="preserve"> of the checks, Corruption increases by 1d4, Crime for the kingdom increases by 1, Productivity for the kingdom decreases by 1d6, Treasury decreases by 1d6 BP, and the event is continuous</t>
        </r>
      </text>
    </comment>
    <comment ref="F11" authorId="0" shapeId="0">
      <text>
        <r>
          <rPr>
            <b/>
            <sz val="9"/>
            <color indexed="81"/>
            <rFont val="Tahoma"/>
            <family val="2"/>
          </rPr>
          <t>Jody Cummings:</t>
        </r>
        <r>
          <rPr>
            <sz val="9"/>
            <color indexed="81"/>
            <rFont val="Tahoma"/>
            <family val="2"/>
          </rPr>
          <t xml:space="preserve">
A small group of indigenous intelligent creatures joins your kingdom and submits to your rule. Society and Stability increase by 1, Unrest decreases by 1, and your Treasury increases by 1d6 BP (each time you roll a 6, add the result to the total and roll again)</t>
        </r>
      </text>
    </comment>
    <comment ref="I11" authorId="0" shapeId="0">
      <text>
        <r>
          <rPr>
            <b/>
            <sz val="9"/>
            <color indexed="81"/>
            <rFont val="Tahoma"/>
            <family val="2"/>
          </rPr>
          <t>Jody Cummings:</t>
        </r>
        <r>
          <rPr>
            <sz val="9"/>
            <color indexed="81"/>
            <rFont val="Tahoma"/>
            <family val="2"/>
          </rPr>
          <t xml:space="preserve">
Nobles (or other influential rival groups) are bickering. Attempt a Loyalty check. If you succeed, you end the event but Unrest increases by 1. If you fail, Corruption increases by 1, Unrest increases by 1d6, and the event is continuous</t>
        </r>
      </text>
    </comment>
    <comment ref="F12" authorId="0" shapeId="0">
      <text>
        <r>
          <rPr>
            <b/>
            <sz val="9"/>
            <color indexed="81"/>
            <rFont val="Tahoma"/>
            <family val="2"/>
          </rPr>
          <t>Jody Cummings:</t>
        </r>
        <r>
          <rPr>
            <sz val="9"/>
            <color indexed="81"/>
            <rFont val="Tahoma"/>
            <family val="2"/>
          </rPr>
          <t xml:space="preserve">
A nearby kingdom sends an ambassador to you to negotiate an embassy (01–60), treaty (61–90), or alliance (91–100), as if using a diplomatic edict (see Special Edicts). If the GM doesn't have an appropriate kingdom in mind when this event occurs, determine the kingdom's alignment randomly; it may be hostile or friendly. The ambassador bears 1d4 BP worth of gifts for your kingdom</t>
        </r>
      </text>
    </comment>
    <comment ref="I12" authorId="0" shapeId="0">
      <text>
        <r>
          <rPr>
            <b/>
            <sz val="9"/>
            <color indexed="81"/>
            <rFont val="Tahoma"/>
            <family val="2"/>
          </rPr>
          <t>Jody Cummings:</t>
        </r>
        <r>
          <rPr>
            <sz val="9"/>
            <color indexed="81"/>
            <rFont val="Tahoma"/>
            <family val="2"/>
          </rPr>
          <t xml:space="preserve">
A serial killer, arsonist, or daring bandit plagues your kingdom. Attempt two Stability checks, adding the settlement's Law and subtracting its Crime. If you succeed at both checks, the criminal is caught before your kingdom takes any penalties from the event. If you fail at one, the criminal escapes, Unrest increases by 1, and the event is continuous. If you fail at both, the criminal makes a fool of the authorities; Law and Loyalty decrease by 1, Treasury decreases by 1d4 BP, Unrest increases by 2, and the event is continuous</t>
        </r>
      </text>
    </comment>
    <comment ref="F13" authorId="0" shapeId="0">
      <text>
        <r>
          <rPr>
            <b/>
            <sz val="9"/>
            <color indexed="81"/>
            <rFont val="Tahoma"/>
            <family val="2"/>
          </rPr>
          <t>Jody Cummings:</t>
        </r>
        <r>
          <rPr>
            <sz val="9"/>
            <color indexed="81"/>
            <rFont val="Tahoma"/>
            <family val="2"/>
          </rPr>
          <t xml:space="preserve">
A well-preserved ruin is found in your kingdom, with historical artifacts connected to the people who lived in your land long ago. Effect: Lore +1. If you have a Museum, the discoverers donate 10,000 gp worth of historical artifacts to its collection (if you have multiple Museums, choose one as the recipient)</t>
        </r>
      </text>
    </comment>
    <comment ref="I13" authorId="0" shapeId="0">
      <text>
        <r>
          <rPr>
            <b/>
            <sz val="9"/>
            <color indexed="81"/>
            <rFont val="Tahoma"/>
            <family val="2"/>
          </rPr>
          <t>Jody Cummings:</t>
        </r>
        <r>
          <rPr>
            <sz val="9"/>
            <color indexed="81"/>
            <rFont val="Tahoma"/>
            <family val="2"/>
          </rPr>
          <t xml:space="preserve">
A monster (or group of monsters) attacks the kingdom. The GM picks a claimed hex in the kingdom in which the monster is active. The CR of the monster encounter is equal to the party's APL + 1d4 – 1. You can personally deal with the monster (earning XP and treasure normally for your efforts) or succeed at a Stability check to eliminate it (which doesn't affect you or the kingdom's statistics). If the monster is not defeated this turn, Unrest increases by 4. If the kingdom's Unrest is 5 or higher, the monster's hex becomes unclaimed—this is in addition to losing control of hexes in the Upkeep Phase because of the kingdom's high Unrest score</t>
        </r>
      </text>
    </comment>
    <comment ref="F14" authorId="0" shapeId="0">
      <text>
        <r>
          <rPr>
            <b/>
            <sz val="9"/>
            <color indexed="81"/>
            <rFont val="Tahoma"/>
            <family val="2"/>
          </rPr>
          <t>Jody Cummings:</t>
        </r>
        <r>
          <rPr>
            <sz val="9"/>
            <color indexed="81"/>
            <rFont val="Tahoma"/>
            <family val="2"/>
          </rPr>
          <t xml:space="preserve">
Overeager settlers claim an unclaimed hex and construct a Farm, Mine, Quarry, or Sawmill at their own expense, but are fighting over ownership. This hex is not part of your kingdom, so you gain no benefits from it. Productivity, Society, and Stability decrease by 1. Attempt a Loyalty check. If you succeed, Unrest increases by 1. If you fail, Unrest increases by 1d4. If you construct an identical improvement in an adjacent hex during your next Edict Phase, remove this event's changes to Productivity, Society, and Stability</t>
        </r>
      </text>
    </comment>
    <comment ref="I14" authorId="0" shapeId="0">
      <text>
        <r>
          <rPr>
            <b/>
            <sz val="9"/>
            <color indexed="81"/>
            <rFont val="Tahoma"/>
            <family val="2"/>
          </rPr>
          <t>Jody Cummings:</t>
        </r>
        <r>
          <rPr>
            <sz val="9"/>
            <color indexed="81"/>
            <rFont val="Tahoma"/>
            <family val="2"/>
          </rPr>
          <t xml:space="preserve">
A religious cult of an alignment opposed to the kingdom's alignment begins kidnapping, converting, or even publicly sacrificing citizens. Attempt a Loyalty check and a Stability check. If both succeed, the cult is disbanded before your kingdom takes any penalties from the event. For each of these checks you fail, Unrest increases by 1 and Productivity, Society, and Stability decrease by 1. If both checks fail, the event continues in the next Event Phase</t>
        </r>
      </text>
    </comment>
    <comment ref="I15" authorId="0" shapeId="0">
      <text>
        <r>
          <rPr>
            <b/>
            <sz val="9"/>
            <color indexed="81"/>
            <rFont val="Tahoma"/>
            <family val="2"/>
          </rPr>
          <t>Jody Cummings:</t>
        </r>
        <r>
          <rPr>
            <sz val="9"/>
            <color indexed="81"/>
            <rFont val="Tahoma"/>
            <family val="2"/>
          </rPr>
          <t xml:space="preserve">
A deadly sickness strikes the target hex or settlement. You cannot construct terrain improvements or buildings there while plague persists.    Attempt two Stability checks...
</t>
        </r>
        <r>
          <rPr>
            <b/>
            <sz val="9"/>
            <color indexed="81"/>
            <rFont val="Tahoma"/>
            <family val="2"/>
          </rPr>
          <t>Penalty :</t>
        </r>
        <r>
          <rPr>
            <sz val="9"/>
            <color indexed="81"/>
            <rFont val="Tahoma"/>
            <family val="2"/>
          </rPr>
          <t xml:space="preserve"> A penalty equal to the number of Brothels, Foreign Quarters, Highways, Inns, Piers, Roads, Stables, Stockyards, Tenements, and Waterfronts in the hex.
</t>
        </r>
        <r>
          <rPr>
            <b/>
            <sz val="9"/>
            <color indexed="81"/>
            <rFont val="Tahoma"/>
            <family val="2"/>
          </rPr>
          <t>Bonus :</t>
        </r>
        <r>
          <rPr>
            <sz val="9"/>
            <color indexed="81"/>
            <rFont val="Tahoma"/>
            <family val="2"/>
          </rPr>
          <t xml:space="preserve"> A bonus equal to the number of Cathedrals, Herbalists, Hospitals, and Temples in the hex.
</t>
        </r>
        <r>
          <rPr>
            <b/>
            <sz val="9"/>
            <color indexed="81"/>
            <rFont val="Tahoma"/>
            <family val="2"/>
          </rPr>
          <t xml:space="preserve">Succeed : 
</t>
        </r>
        <r>
          <rPr>
            <sz val="9"/>
            <color indexed="81"/>
            <rFont val="Tahoma"/>
            <family val="2"/>
          </rPr>
          <t xml:space="preserve">If you succeed at both checks, the event ends, but Stability decreases by 2 and Treasury by 1d3 BP. 
</t>
        </r>
        <r>
          <rPr>
            <b/>
            <sz val="9"/>
            <color indexed="81"/>
            <rFont val="Tahoma"/>
            <family val="2"/>
          </rPr>
          <t xml:space="preserve">Failure : 
</t>
        </r>
        <r>
          <rPr>
            <sz val="9"/>
            <color indexed="81"/>
            <rFont val="Tahoma"/>
            <family val="2"/>
          </rPr>
          <t>If you fail at one check, Stability decreases by 4, Treasury decreases by 1d6 BP, and Unrest increases by 1d3. 
If you fail at both, Stability decreases by 4, Treasury decreases by 1d6 BP, Unrest increases by 1d6, and in the next Event Phase the plague spreads to an adjacent hex</t>
        </r>
      </text>
    </comment>
    <comment ref="I16" authorId="0" shapeId="0">
      <text>
        <r>
          <rPr>
            <b/>
            <sz val="9"/>
            <color indexed="81"/>
            <rFont val="Tahoma"/>
            <family val="2"/>
          </rPr>
          <t>Jody Cummings:</t>
        </r>
        <r>
          <rPr>
            <sz val="9"/>
            <color indexed="81"/>
            <rFont val="Tahoma"/>
            <family val="2"/>
          </rPr>
          <t xml:space="preserve">
One of your leaders (determined randomly) is the target of an assassination attempt. If the target is a PC, the GM should run the attempt as an encounter, using an assassin of a CR equal to the targeted PC's level. If the target is an NPC, you must succeed at a Stability check to prevent the assassination. If the assassination occurs, Unrest increases by 1d6 and the kingdom immediately incurs the penalties for not having a leader in that role</t>
        </r>
      </text>
    </comment>
    <comment ref="I17" authorId="0" shapeId="0">
      <text>
        <r>
          <rPr>
            <b/>
            <sz val="9"/>
            <color indexed="81"/>
            <rFont val="Tahoma"/>
            <family val="2"/>
          </rPr>
          <t>Jody Cummings:</t>
        </r>
        <r>
          <rPr>
            <sz val="9"/>
            <color indexed="81"/>
            <rFont val="Tahoma"/>
            <family val="2"/>
          </rPr>
          <t xml:space="preserve">
A fire, storm, earthquake, flood, massive sabotage, or other disaster strikes! Roll 1d6; on a result of 1–5, the disaster threatens only 1 improved hex. On a result of 6, the disaster is widespread and threatens 1d6 additional improved hexes adjacent to the target hex. Attempt a Stability check for each threatened hex; failure means the disaster destroys one terrain improvement in the hex and Unrest increases by 1. (This Stability check represents your kingdom's ability to prepare for or react to the disaster as well as the structure's ability to withstand damage.)</t>
        </r>
      </text>
    </comment>
    <comment ref="F23" authorId="0" shapeId="0">
      <text>
        <r>
          <rPr>
            <b/>
            <sz val="9"/>
            <color indexed="81"/>
            <rFont val="Tahoma"/>
            <family val="2"/>
          </rPr>
          <t>Jody Cummings:</t>
        </r>
        <r>
          <rPr>
            <sz val="9"/>
            <color indexed="81"/>
            <rFont val="Tahoma"/>
            <family val="2"/>
          </rPr>
          <t xml:space="preserve">
Randomly select one settlement. Commerce booms among that settlement. Until the next Event Phase, Economy increases by the number of buildings in the settlement that grant an Economy bonus, and Corruption increases by 1d4 in that settlement</t>
        </r>
      </text>
    </comment>
    <comment ref="F24" authorId="0" shapeId="0">
      <text>
        <r>
          <rPr>
            <b/>
            <sz val="9"/>
            <color indexed="81"/>
            <rFont val="Tahoma"/>
            <family val="2"/>
          </rPr>
          <t>Jody Cummings:</t>
        </r>
        <r>
          <rPr>
            <sz val="9"/>
            <color indexed="81"/>
            <rFont val="Tahoma"/>
            <family val="2"/>
          </rPr>
          <t xml:space="preserve">
A noble family offers to construct a Monument (01–50) or Park (51–100) in your settlement at the family's own expense. The nobles pay all costs and Consumption for this purpose</t>
        </r>
      </text>
    </comment>
    <comment ref="I24" authorId="0" shapeId="0">
      <text>
        <r>
          <rPr>
            <b/>
            <sz val="9"/>
            <color indexed="81"/>
            <rFont val="Tahoma"/>
            <family val="2"/>
          </rPr>
          <t>Jody Cummings:</t>
        </r>
        <r>
          <rPr>
            <sz val="9"/>
            <color indexed="81"/>
            <rFont val="Tahoma"/>
            <family val="2"/>
          </rPr>
          <t xml:space="preserve">
The citizens demand a particular building be built (01–75) or demolished (76–100). Select the building type randomly from those available for the settlement. If the demand is not met by the next Event Phase, Unrest increases by 1. Alternatively, you can suppress the citizens' demands and negate the event by succeeding at a Loyalty check, but this reduces Loyalty by 2 and increases Unrest by 1</t>
        </r>
      </text>
    </comment>
    <comment ref="F25" authorId="0" shapeId="0">
      <text>
        <r>
          <rPr>
            <b/>
            <sz val="9"/>
            <color indexed="81"/>
            <rFont val="Tahoma"/>
            <family val="2"/>
          </rPr>
          <t>Jody Cummings:</t>
        </r>
        <r>
          <rPr>
            <sz val="9"/>
            <color indexed="81"/>
            <rFont val="Tahoma"/>
            <family val="2"/>
          </rPr>
          <t xml:space="preserve">
One of your kingdom's citizens creates an artistic masterpiece, constructs a particularly impressive building, or otherwise brings glory to your kingdom. Fame increases by 1, your Treasury increases by 1d6 BP, and Unrest decreases by 2. You gain a +4 bonus on Economy checks until the next Event Phase</t>
        </r>
      </text>
    </comment>
    <comment ref="I25" authorId="0" shapeId="0">
      <text>
        <r>
          <rPr>
            <b/>
            <sz val="9"/>
            <color indexed="81"/>
            <rFont val="Tahoma"/>
            <family val="2"/>
          </rPr>
          <t>Jody Cummings:</t>
        </r>
        <r>
          <rPr>
            <sz val="9"/>
            <color indexed="81"/>
            <rFont val="Tahoma"/>
            <family val="2"/>
          </rPr>
          <t xml:space="preserve">
An empty settlement lot is taken over by beggars, troublemakers, and people unable to find adequate work or housing; they camp there with tents, wagons, and shanties. You cannot use the lot for anything until the squatters are dispersed. Fame and Stability decrease by 1, and Unrest increases by 2. You may try to disperse the squatters with a Stability check. Success means the squatters are dispersed and the event is not continuous, but if a House or Tenement is not built in that lot on the next turn, Infamy increases by 1 and Unrest by 2. Failing the Stability check means the event is continuous, and you may not build on that lot until the event is resolved</t>
        </r>
      </text>
    </comment>
    <comment ref="F26" authorId="0" shapeId="0">
      <text>
        <r>
          <rPr>
            <b/>
            <sz val="9"/>
            <color indexed="81"/>
            <rFont val="Tahoma"/>
            <family val="2"/>
          </rPr>
          <t>Jody Cummings:</t>
        </r>
        <r>
          <rPr>
            <sz val="9"/>
            <color indexed="81"/>
            <rFont val="Tahoma"/>
            <family val="2"/>
          </rPr>
          <t xml:space="preserve">
The settlement immediately fills one of its open magic item slots (selected randomly) with a better than normal item (medium if a minor slot, major if a medium slot). Treat the settlement's base value as 50% higher than normal for determining the item's maximum price. If the settlement doesn't have any open magic item slots, treat this event as Unexpected Find</t>
        </r>
      </text>
    </comment>
    <comment ref="I26" authorId="0" shapeId="0">
      <text>
        <r>
          <rPr>
            <b/>
            <sz val="9"/>
            <color indexed="81"/>
            <rFont val="Tahoma"/>
            <family val="2"/>
          </rPr>
          <t>Jody Cummings:</t>
        </r>
        <r>
          <rPr>
            <sz val="9"/>
            <color indexed="81"/>
            <rFont val="Tahoma"/>
            <family val="2"/>
          </rPr>
          <t xml:space="preserve">
Pests, blight, and weather ruin the harvest in the settlement's hex and all adjacent hexes. Attempt two Stability checks. If both succeed, the problem is fixed before your kingdom takes any penalties from the event. If only one succeeds, affected farms reduce Consumption by 1 (instead of the normal reduction) in the next Upkeep Phase. If neither succeeds, affected farms do not reduce Consumption at all in the next Upkeep Phase</t>
        </r>
      </text>
    </comment>
    <comment ref="F27" authorId="0" shapeId="0">
      <text>
        <r>
          <rPr>
            <b/>
            <sz val="9"/>
            <color indexed="81"/>
            <rFont val="Tahoma"/>
            <family val="2"/>
          </rPr>
          <t>Jody Cummings:</t>
        </r>
        <r>
          <rPr>
            <sz val="9"/>
            <color indexed="81"/>
            <rFont val="Tahoma"/>
            <family val="2"/>
          </rPr>
          <t xml:space="preserve">
A celebrity from another kingdom visits one of your settlements, causing a sudden influx of other visitors and spending. Fame increases by 1 and Treasury increases by 1d6 BP (each time you roll a 6, add the result to the total and roll again)</t>
        </r>
      </text>
    </comment>
    <comment ref="I27" authorId="0" shapeId="0">
      <text>
        <r>
          <rPr>
            <b/>
            <sz val="9"/>
            <color indexed="81"/>
            <rFont val="Tahoma"/>
            <family val="2"/>
          </rPr>
          <t>Jody Cummings:</t>
        </r>
        <r>
          <rPr>
            <sz val="9"/>
            <color indexed="81"/>
            <rFont val="Tahoma"/>
            <family val="2"/>
          </rPr>
          <t xml:space="preserve">
Zealots mobilize public opinion against a particular race, religion, kingdom, behavior, or kingdom leader. Attempt a Loyalty check. If you fail, the zealots run rampant; Infamy and Law increase by 1 and Lore, Loyalty, Productivity, and Stability decrease by 2. If you succeed, the zealots are somewhat suppressed; Lore, Loyalty, Productivity, and Stability decrease by 1. Two successful checks in a row end the event (if a check ends the event, no penalties from it occur that turn)</t>
        </r>
      </text>
    </comment>
    <comment ref="F28" authorId="0" shapeId="0">
      <text>
        <r>
          <rPr>
            <b/>
            <sz val="9"/>
            <color indexed="81"/>
            <rFont val="Tahoma"/>
            <family val="2"/>
          </rPr>
          <t>Jody Cummings:</t>
        </r>
        <r>
          <rPr>
            <sz val="9"/>
            <color indexed="81"/>
            <rFont val="Tahoma"/>
            <family val="2"/>
          </rPr>
          <t xml:space="preserve">
Authorities shut down a major criminal operation or thwart a plot against the settlement. Law and Loyalty increase by 1 and Crime and Unrest decreases by 1</t>
        </r>
      </text>
    </comment>
    <comment ref="I28" authorId="0" shapeId="0">
      <text>
        <r>
          <rPr>
            <b/>
            <sz val="9"/>
            <color indexed="81"/>
            <rFont val="Tahoma"/>
            <family val="2"/>
          </rPr>
          <t>Jody Cummings:</t>
        </r>
        <r>
          <rPr>
            <sz val="9"/>
            <color indexed="81"/>
            <rFont val="Tahoma"/>
            <family val="2"/>
          </rPr>
          <t xml:space="preserve">
Thugs and dissidents riot and destroy property. Attempt a Loyalty check and a Stability check. If you succeed at both, the vandals are stopped before your kingdom takes any penalties. If you fail at one check, Society decreases by 1 and one random building in the settlement is damaged. If you fail at both, one random building is destroyed (Unrest increases by 1 for each lot of the destroyed building), and 1d3 other random buildings are damaged. a damaged building provides no benefits until half its cost is spent repairing it</t>
        </r>
      </text>
    </comment>
    <comment ref="F29" authorId="0" shapeId="0">
      <text>
        <r>
          <rPr>
            <b/>
            <sz val="9"/>
            <color indexed="81"/>
            <rFont val="Tahoma"/>
            <family val="2"/>
          </rPr>
          <t>Jody Cummings:</t>
        </r>
        <r>
          <rPr>
            <sz val="9"/>
            <color indexed="81"/>
            <rFont val="Tahoma"/>
            <family val="2"/>
          </rPr>
          <t xml:space="preserve">
Scholars unearth a bit of ancient lore or devise important new research of their own. Fame increases by 1 and Lore increases by 1d4</t>
        </r>
      </text>
    </comment>
    <comment ref="I29" authorId="0" shapeId="0">
      <text>
        <r>
          <rPr>
            <b/>
            <sz val="9"/>
            <color indexed="81"/>
            <rFont val="Tahoma"/>
            <family val="2"/>
          </rPr>
          <t>Jody Cummings:</t>
        </r>
        <r>
          <rPr>
            <sz val="9"/>
            <color indexed="81"/>
            <rFont val="Tahoma"/>
            <family val="2"/>
          </rPr>
          <t xml:space="preserve">
One of your Houses or Tenements becomes a hive of illicit drug trade. Attempt a Loyalty check and a Stability check, with a penalty equal to the number of Brothels, Tenements, Waterfronts, and lots with squatters in the settlement. If you succeed at both checks, you eliminate the drug den before your kingdom takes any penalties from the event. If you fail at one check, Crime and Unrest increase by 1. If you fail at both checks, Crime and Unrest increase by 1; Economy, Loyalty, and Stability decrease by 1; and on the next Event Phase, a second drug den event occurs in the same settlement (01–50) or the nearest settlement (51–100)</t>
        </r>
      </text>
    </comment>
    <comment ref="F30" authorId="0" shapeId="0">
      <text>
        <r>
          <rPr>
            <b/>
            <sz val="9"/>
            <color indexed="81"/>
            <rFont val="Tahoma"/>
            <family val="2"/>
          </rPr>
          <t>Jody Cummings:</t>
        </r>
        <r>
          <rPr>
            <sz val="9"/>
            <color indexed="81"/>
            <rFont val="Tahoma"/>
            <family val="2"/>
          </rPr>
          <t xml:space="preserve">
Randomly select one settlement with a Cathedral, Shrine, or Temple. Pious religious folk journey to your settlement, holding a religious festival in that settlement at no BP cost to you</t>
        </r>
      </text>
    </comment>
    <comment ref="I30" authorId="0" shapeId="0">
      <text>
        <r>
          <rPr>
            <b/>
            <sz val="9"/>
            <color indexed="81"/>
            <rFont val="Tahoma"/>
            <family val="2"/>
          </rPr>
          <t>Jody Cummings:</t>
        </r>
        <r>
          <rPr>
            <sz val="9"/>
            <color indexed="81"/>
            <rFont val="Tahoma"/>
            <family val="2"/>
          </rPr>
          <t xml:space="preserve">
Criminals begin kidnapping citizens and selling them into slavery. Attempt a Loyalty check and a Stability check, each with a penalty equal to the number of Brothels, Tenements, Waterfronts, and lots with squatters in the settlement. If you succeed at both checks, the slavers are caught before your kingdom takes any penalties from the event. If you fail at one of the checks, Loyalty, Stability, and Unrest decrease by 1, but the event is not continuous. If you fail at both checks, Loyalty, Stability, and Unrest decrease by 2, and the event is continuous</t>
        </r>
      </text>
    </comment>
    <comment ref="F31" authorId="0" shapeId="0">
      <text>
        <r>
          <rPr>
            <b/>
            <sz val="9"/>
            <color indexed="81"/>
            <rFont val="Tahoma"/>
            <family val="2"/>
          </rPr>
          <t>Jody Cummings:</t>
        </r>
        <r>
          <rPr>
            <sz val="9"/>
            <color indexed="81"/>
            <rFont val="Tahoma"/>
            <family val="2"/>
          </rPr>
          <t xml:space="preserve">
 Local citizens discover a forgotten magical item. The settlement gains one temporary minor (01–70) or medium (71–100) magic item slot that is automatically filled in the next Upkeep Phase. This slot and the item go away if the item is purchased or in the next Event Phase, whichever comes first</t>
        </r>
      </text>
    </comment>
    <comment ref="I31" authorId="0" shapeId="0">
      <text>
        <r>
          <rPr>
            <b/>
            <sz val="9"/>
            <color indexed="81"/>
            <rFont val="Tahoma"/>
            <family val="2"/>
          </rPr>
          <t>Jody Cummings:</t>
        </r>
        <r>
          <rPr>
            <sz val="9"/>
            <color indexed="81"/>
            <rFont val="Tahoma"/>
            <family val="2"/>
          </rPr>
          <t xml:space="preserve">
Nobles (or other influential rival groups) are bickering. Attempt a Loyalty check. If you succeed, you end the event but Unrest increases by 1. If you fail, Corruption increases by 1, Unrest increases by 1d6, and the event is continuous</t>
        </r>
      </text>
    </comment>
    <comment ref="F32" authorId="0" shapeId="0">
      <text>
        <r>
          <rPr>
            <b/>
            <sz val="9"/>
            <color indexed="81"/>
            <rFont val="Tahoma"/>
            <family val="2"/>
          </rPr>
          <t>Jody Cummings:</t>
        </r>
        <r>
          <rPr>
            <sz val="9"/>
            <color indexed="81"/>
            <rFont val="Tahoma"/>
            <family val="2"/>
          </rPr>
          <t xml:space="preserve">
A rich merchant or a noble from another land is impressed with your kingdom and asks to construct a Mansion (01–75) or Noble Villa (76–100) in the settlement at no cost to you. If you allow it, the building provides its normal benefits to your kingdom</t>
        </r>
      </text>
    </comment>
    <comment ref="I32" authorId="0" shapeId="0">
      <text>
        <r>
          <rPr>
            <b/>
            <sz val="9"/>
            <color indexed="81"/>
            <rFont val="Tahoma"/>
            <family val="2"/>
          </rPr>
          <t>Jody Cummings:</t>
        </r>
        <r>
          <rPr>
            <sz val="9"/>
            <color indexed="81"/>
            <rFont val="Tahoma"/>
            <family val="2"/>
          </rPr>
          <t xml:space="preserve">
A religious cult of an alignment opposed to the kingdom's alignment begins kidnapping, converting, or even publicly sacrificing citizens. Attempt a Loyalty check and a Stability check. If both succeed, the cult is disbanded before your kingdom takes any penalties from the event. For each of these checks you fail, Unrest increases by 1 and Productivity, Society, and Stability decrease by 1. If both checks fail, the event continues in the next Event Phase</t>
        </r>
      </text>
    </comment>
    <comment ref="I33" authorId="0" shapeId="0">
      <text>
        <r>
          <rPr>
            <b/>
            <sz val="9"/>
            <color indexed="81"/>
            <rFont val="Tahoma"/>
            <family val="2"/>
          </rPr>
          <t>Jody Cummings:</t>
        </r>
        <r>
          <rPr>
            <sz val="9"/>
            <color indexed="81"/>
            <rFont val="Tahoma"/>
            <family val="2"/>
          </rPr>
          <t xml:space="preserve">
A serial killer, arsonist, or daring bandit plagues your kingdom. Attempt two Stability checks, adding the settlement's Law and subtracting its Crime. If you succeed at both checks, the criminal is caught before your kingdom takes any penalties from the event. If you fail at one, the criminal escapes, Unrest increases by 1, and the event is continuous. If you fail at both, the criminal makes a fool of the authorities; Law and Loyalty decrease by 1, Treasury decreases by 1d4 BP, Unrest increases by 2, and the event is continuous</t>
        </r>
      </text>
    </comment>
    <comment ref="I34" authorId="0" shapeId="0">
      <text>
        <r>
          <rPr>
            <b/>
            <sz val="9"/>
            <color indexed="81"/>
            <rFont val="Tahoma"/>
            <family val="2"/>
          </rPr>
          <t>Jody Cummings:</t>
        </r>
        <r>
          <rPr>
            <sz val="9"/>
            <color indexed="81"/>
            <rFont val="Tahoma"/>
            <family val="2"/>
          </rPr>
          <t xml:space="preserve">
A monster (or group of monsters) attacks the kingdom. The GM picks a claimed hex in the kingdom in which the monster is active. The CR of the monster encounter is equal to the party's APL + 1d4 – 1. You can personally deal with the monster (earning XP and treasure normally for your efforts) or succeed at a Stability check to eliminate it (which doesn't affect you or the kingdom's statistics). If the monster is not defeated this turn, Unrest increases by 4. If the kingdom's Unrest is 5 or higher, the monster's hex becomes unclaimed—this is in addition to losing control of hexes in the Upkeep Phase because of the kingdom's high Unrest score</t>
        </r>
      </text>
    </comment>
    <comment ref="I35" authorId="0" shapeId="0">
      <text>
        <r>
          <rPr>
            <b/>
            <sz val="9"/>
            <color indexed="81"/>
            <rFont val="Tahoma"/>
            <family val="2"/>
          </rPr>
          <t>Jody Cummings:</t>
        </r>
        <r>
          <rPr>
            <sz val="9"/>
            <color indexed="81"/>
            <rFont val="Tahoma"/>
            <family val="2"/>
          </rPr>
          <t xml:space="preserve">
A deadly sickness strikes the target hex or settlement. You cannot construct terrain improvements or buildings there while plague persists.    Attempt two Stability checks...
</t>
        </r>
        <r>
          <rPr>
            <b/>
            <sz val="9"/>
            <color indexed="81"/>
            <rFont val="Tahoma"/>
            <family val="2"/>
          </rPr>
          <t>Penalty :</t>
        </r>
        <r>
          <rPr>
            <sz val="9"/>
            <color indexed="81"/>
            <rFont val="Tahoma"/>
            <family val="2"/>
          </rPr>
          <t xml:space="preserve"> A penalty equal to the number of Brothels, Foreign Quarters, Highways, Inns, Piers, Roads, Stables, Stockyards, Tenements, and Waterfronts in the hex.
</t>
        </r>
        <r>
          <rPr>
            <b/>
            <sz val="9"/>
            <color indexed="81"/>
            <rFont val="Tahoma"/>
            <family val="2"/>
          </rPr>
          <t>Bonus :</t>
        </r>
        <r>
          <rPr>
            <sz val="9"/>
            <color indexed="81"/>
            <rFont val="Tahoma"/>
            <family val="2"/>
          </rPr>
          <t xml:space="preserve"> A bonus equal to the number of Cathedrals, Herbalists, Hospitals, and Temples in the hex.
</t>
        </r>
        <r>
          <rPr>
            <b/>
            <sz val="9"/>
            <color indexed="81"/>
            <rFont val="Tahoma"/>
            <family val="2"/>
          </rPr>
          <t xml:space="preserve">Succeed : 
</t>
        </r>
        <r>
          <rPr>
            <sz val="9"/>
            <color indexed="81"/>
            <rFont val="Tahoma"/>
            <family val="2"/>
          </rPr>
          <t xml:space="preserve">If you succeed at both checks, the event ends, but Stability decreases by 2 and Treasury by 1d3 BP. 
</t>
        </r>
        <r>
          <rPr>
            <b/>
            <sz val="9"/>
            <color indexed="81"/>
            <rFont val="Tahoma"/>
            <family val="2"/>
          </rPr>
          <t xml:space="preserve">Failure : 
</t>
        </r>
        <r>
          <rPr>
            <sz val="9"/>
            <color indexed="81"/>
            <rFont val="Tahoma"/>
            <family val="2"/>
          </rPr>
          <t>If you fail at one check, Stability decreases by 4, Treasury decreases by 1d6 BP, and Unrest increases by 1d3. 
If you fail at both, Stability decreases by 4, Treasury decreases by 1d6 BP, Unrest increases by 1d6, and in the next Event Phase the plague spreads to an adjacent hex</t>
        </r>
      </text>
    </comment>
    <comment ref="I36" authorId="0" shapeId="0">
      <text>
        <r>
          <rPr>
            <b/>
            <sz val="9"/>
            <color indexed="81"/>
            <rFont val="Tahoma"/>
            <family val="2"/>
          </rPr>
          <t>Jody Cummings:</t>
        </r>
        <r>
          <rPr>
            <sz val="9"/>
            <color indexed="81"/>
            <rFont val="Tahoma"/>
            <family val="2"/>
          </rPr>
          <t xml:space="preserve">
A fire, a flood, a storm, an earthquake, massive sabotage, or another disaster strikes the settlement! Roll 1d6 to determine how many lots are threatened by the disaster. On a result of 6, the disaster is widespread and affects 1d6 additional adjacent lots. Attempt a Stability check for each threatened lot; failure means the disaster destroys the building in that lot and Unrest increases by 1. (This Stability check represents your kingdom's ability to prepare for or react to the disaster as well as the structure's ability to withstand damage.)</t>
        </r>
      </text>
    </comment>
  </commentList>
</comments>
</file>

<file path=xl/comments5.xml><?xml version="1.0" encoding="utf-8"?>
<comments xmlns="http://schemas.openxmlformats.org/spreadsheetml/2006/main">
  <authors>
    <author>Jody Cummings</author>
  </authors>
  <commentList>
    <comment ref="A2" authorId="0" shapeId="0">
      <text>
        <r>
          <rPr>
            <b/>
            <sz val="9"/>
            <color indexed="81"/>
            <rFont val="Tahoma"/>
            <family val="2"/>
          </rPr>
          <t>Jody Cummings:</t>
        </r>
        <r>
          <rPr>
            <sz val="9"/>
            <color indexed="81"/>
            <rFont val="Tahoma"/>
            <family val="2"/>
          </rPr>
          <t xml:space="preserve">
Improvements in RED can share the same hex as other improvements.</t>
        </r>
      </text>
    </comment>
  </commentList>
</comments>
</file>

<file path=xl/comments6.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7.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8.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9.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10.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11.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12.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13.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14.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15.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16.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17.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18.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19.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20.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21.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22.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23.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24.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25.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26.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27.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28.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29.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30.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sharedStrings.xml><?xml version="1.0" encoding="utf-8"?>
<sst xmlns="http://schemas.openxmlformats.org/spreadsheetml/2006/main" count="12549" uniqueCount="1901">
  <si>
    <t>Academy</t>
  </si>
  <si>
    <t>Alchemist</t>
  </si>
  <si>
    <t>Arena</t>
  </si>
  <si>
    <t>Barracks</t>
  </si>
  <si>
    <t>Black Market</t>
  </si>
  <si>
    <t>Brewery</t>
  </si>
  <si>
    <t>Brothel</t>
  </si>
  <si>
    <t>Caster's Tower</t>
  </si>
  <si>
    <t>Castle</t>
  </si>
  <si>
    <t>Cathedral</t>
  </si>
  <si>
    <t>City Wall</t>
  </si>
  <si>
    <t>Dump</t>
  </si>
  <si>
    <t>Exotic Craftsman</t>
  </si>
  <si>
    <t>Garrisson</t>
  </si>
  <si>
    <t>Granary</t>
  </si>
  <si>
    <t>Graveyard</t>
  </si>
  <si>
    <t>Herbalist</t>
  </si>
  <si>
    <t>House</t>
  </si>
  <si>
    <t>Inn</t>
  </si>
  <si>
    <t>Jail</t>
  </si>
  <si>
    <t>Library</t>
  </si>
  <si>
    <t>Luxury Store</t>
  </si>
  <si>
    <t>Magic Shop</t>
  </si>
  <si>
    <t>Mansion</t>
  </si>
  <si>
    <t>Market</t>
  </si>
  <si>
    <t>Mill</t>
  </si>
  <si>
    <t>Monument</t>
  </si>
  <si>
    <t>Noble Villa</t>
  </si>
  <si>
    <t>Park</t>
  </si>
  <si>
    <t>Piers</t>
  </si>
  <si>
    <t>Shop</t>
  </si>
  <si>
    <t>Shrine</t>
  </si>
  <si>
    <t>Smith</t>
  </si>
  <si>
    <t>Stable</t>
  </si>
  <si>
    <t>Tannery</t>
  </si>
  <si>
    <t>Tavern</t>
  </si>
  <si>
    <t>Temple</t>
  </si>
  <si>
    <t>Tenement</t>
  </si>
  <si>
    <t>Theater</t>
  </si>
  <si>
    <t>Town Hall</t>
  </si>
  <si>
    <t>Tradesman</t>
  </si>
  <si>
    <t>Watchtower</t>
  </si>
  <si>
    <t>Waterfront</t>
  </si>
  <si>
    <t>Size</t>
  </si>
  <si>
    <t>Campaign</t>
  </si>
  <si>
    <t>Control DC</t>
  </si>
  <si>
    <t>Population</t>
  </si>
  <si>
    <t>Kingdom Name</t>
  </si>
  <si>
    <t>Alignment</t>
  </si>
  <si>
    <t>Economy</t>
  </si>
  <si>
    <t>Loyalty</t>
  </si>
  <si>
    <t>Stability</t>
  </si>
  <si>
    <t>Total</t>
  </si>
  <si>
    <t>Edicts</t>
  </si>
  <si>
    <t>Events</t>
  </si>
  <si>
    <t>Leadership</t>
  </si>
  <si>
    <t>Resources</t>
  </si>
  <si>
    <t>Unrest</t>
  </si>
  <si>
    <t>=</t>
  </si>
  <si>
    <t>+</t>
  </si>
  <si>
    <t>Cities</t>
  </si>
  <si>
    <t>Consumption</t>
  </si>
  <si>
    <t>Treasury</t>
  </si>
  <si>
    <t>Attributes</t>
  </si>
  <si>
    <t>Monster Attack</t>
  </si>
  <si>
    <t>Plague</t>
  </si>
  <si>
    <t>Sensational Crime</t>
  </si>
  <si>
    <t>Ruler</t>
  </si>
  <si>
    <t>Councilor</t>
  </si>
  <si>
    <t>General</t>
  </si>
  <si>
    <t>Grand Diplomat</t>
  </si>
  <si>
    <t>High Priest</t>
  </si>
  <si>
    <t>Magister</t>
  </si>
  <si>
    <t>Marshal</t>
  </si>
  <si>
    <t>Spymaster</t>
  </si>
  <si>
    <t>Treasurer</t>
  </si>
  <si>
    <t>Warden</t>
  </si>
  <si>
    <t>Role</t>
  </si>
  <si>
    <t>Name</t>
  </si>
  <si>
    <t>Bonus</t>
  </si>
  <si>
    <t>Attribute</t>
  </si>
  <si>
    <t>BP</t>
  </si>
  <si>
    <t>Taxation</t>
  </si>
  <si>
    <t>Level</t>
  </si>
  <si>
    <t>Type</t>
  </si>
  <si>
    <t>Defense</t>
  </si>
  <si>
    <t>Base Value</t>
  </si>
  <si>
    <t>Landmark</t>
  </si>
  <si>
    <t>Road</t>
  </si>
  <si>
    <t>Hexes</t>
  </si>
  <si>
    <t>No.</t>
  </si>
  <si>
    <t>Comments</t>
  </si>
  <si>
    <t>Neutral</t>
  </si>
  <si>
    <t>Lawful</t>
  </si>
  <si>
    <t>Evil</t>
  </si>
  <si>
    <t>Good</t>
  </si>
  <si>
    <t>Chaotic</t>
  </si>
  <si>
    <t>None</t>
  </si>
  <si>
    <t>Standard</t>
  </si>
  <si>
    <t>Light</t>
  </si>
  <si>
    <t>Normal</t>
  </si>
  <si>
    <t>Heavy</t>
  </si>
  <si>
    <t>City 1</t>
  </si>
  <si>
    <t>City 2</t>
  </si>
  <si>
    <t>City 3</t>
  </si>
  <si>
    <t>City 4</t>
  </si>
  <si>
    <t>City 5</t>
  </si>
  <si>
    <t>City 6</t>
  </si>
  <si>
    <t>City 7</t>
  </si>
  <si>
    <t>City 8</t>
  </si>
  <si>
    <t>City 9</t>
  </si>
  <si>
    <t>City 10</t>
  </si>
  <si>
    <t>City 11</t>
  </si>
  <si>
    <t>City 12</t>
  </si>
  <si>
    <t>City 13</t>
  </si>
  <si>
    <t>City 14</t>
  </si>
  <si>
    <t>City 15</t>
  </si>
  <si>
    <t>City 16</t>
  </si>
  <si>
    <t>City 17</t>
  </si>
  <si>
    <t>City 18</t>
  </si>
  <si>
    <t>City 19</t>
  </si>
  <si>
    <t>City 20</t>
  </si>
  <si>
    <t>City 21</t>
  </si>
  <si>
    <t>City 22</t>
  </si>
  <si>
    <t>City 23</t>
  </si>
  <si>
    <t>City 24</t>
  </si>
  <si>
    <t>City 25</t>
  </si>
  <si>
    <t>City No.</t>
  </si>
  <si>
    <t>Aggressive</t>
  </si>
  <si>
    <t>Farm</t>
  </si>
  <si>
    <t>Major Buildings</t>
  </si>
  <si>
    <t>Buildings</t>
  </si>
  <si>
    <t>Guild Hall</t>
  </si>
  <si>
    <t>Miscellaneous</t>
  </si>
  <si>
    <t>Vacancies</t>
  </si>
  <si>
    <t>City Districts</t>
  </si>
  <si>
    <t>Version 1.0</t>
  </si>
  <si>
    <t>Original Version</t>
  </si>
  <si>
    <t>Version 1.1</t>
  </si>
  <si>
    <t>Special Resources added to the Kingdom Sheet</t>
  </si>
  <si>
    <t>Corrected Miscellaneous minor spelling and formatting errors</t>
  </si>
  <si>
    <t>Consumption calculation for cities corrected</t>
  </si>
  <si>
    <t>Multiple District City function incorporated</t>
  </si>
  <si>
    <t>Corrections:</t>
  </si>
  <si>
    <t>Vacancy calculation updated to base vacancies on empty "Name" fields</t>
  </si>
  <si>
    <r>
      <t>"</t>
    </r>
    <r>
      <rPr>
        <sz val="11"/>
        <color theme="1"/>
        <rFont val="Calibri"/>
        <family val="2"/>
        <scheme val="minor"/>
      </rPr>
      <t>Pop-Up" Information implemented throughout the document</t>
    </r>
  </si>
  <si>
    <t>Starting City Base Value included in Base Value calculation. Max Base Value set at 16000</t>
  </si>
  <si>
    <t>Version 1.2</t>
  </si>
  <si>
    <t xml:space="preserve">Errata regarding Barracks, Exotic Craftsman, Gravyard, Watchtower implemented </t>
  </si>
  <si>
    <t>Version 1.3</t>
  </si>
  <si>
    <t xml:space="preserve">Updated calculations as not to count walls for population. </t>
  </si>
  <si>
    <t>Version 1.4</t>
  </si>
  <si>
    <t>Updated calculations to base unrest calculation on empty name fields</t>
  </si>
  <si>
    <t>Version 2.0</t>
  </si>
  <si>
    <t>Version 1.5</t>
  </si>
  <si>
    <t>Corrections to the city overview sheet</t>
  </si>
  <si>
    <t>Added sheets and rules for armies</t>
  </si>
  <si>
    <t>Speed</t>
  </si>
  <si>
    <t>Tactics</t>
  </si>
  <si>
    <t>CR</t>
  </si>
  <si>
    <t>Morale</t>
  </si>
  <si>
    <t>Special Abilities</t>
  </si>
  <si>
    <t>HD</t>
  </si>
  <si>
    <t>Alignment Short</t>
  </si>
  <si>
    <t>LG</t>
  </si>
  <si>
    <t>LN</t>
  </si>
  <si>
    <t>LE</t>
  </si>
  <si>
    <t>N</t>
  </si>
  <si>
    <t>NG</t>
  </si>
  <si>
    <t>NE</t>
  </si>
  <si>
    <t>CG</t>
  </si>
  <si>
    <t>CN</t>
  </si>
  <si>
    <t>CE</t>
  </si>
  <si>
    <t>Fine</t>
  </si>
  <si>
    <t>Small</t>
  </si>
  <si>
    <t>Medium</t>
  </si>
  <si>
    <t>Large</t>
  </si>
  <si>
    <t>Huge</t>
  </si>
  <si>
    <t>Gargantuan</t>
  </si>
  <si>
    <t>Colossal</t>
  </si>
  <si>
    <t>Tiny</t>
  </si>
  <si>
    <t>Cautious Combat</t>
  </si>
  <si>
    <t>Cavalry Experts</t>
  </si>
  <si>
    <t>Defensive Wall</t>
  </si>
  <si>
    <t>Dirty Fighters</t>
  </si>
  <si>
    <t>Expert Flankers</t>
  </si>
  <si>
    <t>False Retreat</t>
  </si>
  <si>
    <t>Hold the Line</t>
  </si>
  <si>
    <t>Relentless Brutality</t>
  </si>
  <si>
    <t>Sniper Support</t>
  </si>
  <si>
    <t>Spellbreaker</t>
  </si>
  <si>
    <t>Taunt</t>
  </si>
  <si>
    <t>Improved Weapons (Magic)</t>
  </si>
  <si>
    <t>Improved Armor (Magic)</t>
  </si>
  <si>
    <t>Healing Potions</t>
  </si>
  <si>
    <t>Ranged Weapons</t>
  </si>
  <si>
    <t>Siege Engines</t>
  </si>
  <si>
    <t>Breath Weapon</t>
  </si>
  <si>
    <t>Energy Drain</t>
  </si>
  <si>
    <t>Regeneration</t>
  </si>
  <si>
    <t>Fast Healing</t>
  </si>
  <si>
    <t>Construct</t>
  </si>
  <si>
    <t>Plant</t>
  </si>
  <si>
    <t>Undead</t>
  </si>
  <si>
    <t>Fear</t>
  </si>
  <si>
    <t>Paralysis</t>
  </si>
  <si>
    <t>Poison</t>
  </si>
  <si>
    <t>Rock Throwing</t>
  </si>
  <si>
    <t>Significant Defense</t>
  </si>
  <si>
    <t>Spell Resistance</t>
  </si>
  <si>
    <t>Spellcasting</t>
  </si>
  <si>
    <t>Correction to taxation calculation</t>
  </si>
  <si>
    <t>Yes</t>
  </si>
  <si>
    <t>No</t>
  </si>
  <si>
    <t>Active</t>
  </si>
  <si>
    <t>Siegebreaker</t>
  </si>
  <si>
    <t>CHA</t>
  </si>
  <si>
    <t>COMBAT</t>
  </si>
  <si>
    <t>DV</t>
  </si>
  <si>
    <t>OM</t>
  </si>
  <si>
    <t>LOGISTICS</t>
  </si>
  <si>
    <t>Overall Army Consumption</t>
  </si>
  <si>
    <t>Lookup</t>
  </si>
  <si>
    <t>Fort</t>
  </si>
  <si>
    <t>Mine</t>
  </si>
  <si>
    <t>Apiary</t>
  </si>
  <si>
    <t>Aviary</t>
  </si>
  <si>
    <t>Baker</t>
  </si>
  <si>
    <t>Butcher</t>
  </si>
  <si>
    <t>Carpenter</t>
  </si>
  <si>
    <t>Fletcher</t>
  </si>
  <si>
    <t>Keep</t>
  </si>
  <si>
    <t>Monastery</t>
  </si>
  <si>
    <t>Office of the Watch</t>
  </si>
  <si>
    <t>Weaver</t>
  </si>
  <si>
    <t>Witches Hut</t>
  </si>
  <si>
    <t>Unrest Increment</t>
  </si>
  <si>
    <t>Kingdom Improvements Per Month</t>
  </si>
  <si>
    <t>Kingdom Size</t>
  </si>
  <si>
    <t>New Cities</t>
  </si>
  <si>
    <t>New Buildings</t>
  </si>
  <si>
    <t>Hexes Claimed</t>
  </si>
  <si>
    <t>Roads</t>
  </si>
  <si>
    <t>Farmland</t>
  </si>
  <si>
    <t>1-10</t>
  </si>
  <si>
    <t>11-25</t>
  </si>
  <si>
    <t>26-50</t>
  </si>
  <si>
    <t>51-100</t>
  </si>
  <si>
    <t>101-200</t>
  </si>
  <si>
    <t>200+</t>
  </si>
  <si>
    <t>No Limit</t>
  </si>
  <si>
    <t>Canal</t>
  </si>
  <si>
    <t>Moat</t>
  </si>
  <si>
    <t>Bridge</t>
  </si>
  <si>
    <t>Physician</t>
  </si>
  <si>
    <t>Building Type</t>
  </si>
  <si>
    <t>City Map Template</t>
  </si>
  <si>
    <t>Use the dropdown boxes to specify building type, whether the borders are land/water or if there is a city wall or not.</t>
  </si>
  <si>
    <t>PRESS F9 TO CALCULATE/UPDATE</t>
  </si>
  <si>
    <t>Overall</t>
  </si>
  <si>
    <t>Hidden Sheets</t>
  </si>
  <si>
    <t>Abadius</t>
  </si>
  <si>
    <t>Calistril</t>
  </si>
  <si>
    <t>Pharast</t>
  </si>
  <si>
    <t>Gozran</t>
  </si>
  <si>
    <t>Desnus</t>
  </si>
  <si>
    <t>Sarenith</t>
  </si>
  <si>
    <t>Erastus</t>
  </si>
  <si>
    <t>Arodus</t>
  </si>
  <si>
    <t>Rova</t>
  </si>
  <si>
    <t>Lamashan</t>
  </si>
  <si>
    <t>Neth</t>
  </si>
  <si>
    <t>Kuthona</t>
  </si>
  <si>
    <t>Months of the Year</t>
  </si>
  <si>
    <t>Credits</t>
  </si>
  <si>
    <t>Incorporates events, modifications and suggestions by various people on the Paizo Messageboard, too numerous to list (you know who you are!).</t>
  </si>
  <si>
    <r>
      <t xml:space="preserve">Draws upon information found in the </t>
    </r>
    <r>
      <rPr>
        <b/>
        <sz val="12"/>
        <color theme="1"/>
        <rFont val="Calibri"/>
        <family val="2"/>
        <scheme val="minor"/>
      </rPr>
      <t>Book of the River Nations</t>
    </r>
    <r>
      <rPr>
        <sz val="12"/>
        <color theme="1"/>
        <rFont val="Calibri"/>
        <family val="2"/>
        <scheme val="minor"/>
      </rPr>
      <t xml:space="preserve"> from </t>
    </r>
    <r>
      <rPr>
        <b/>
        <sz val="12"/>
        <color theme="1"/>
        <rFont val="Calibri"/>
        <family val="2"/>
        <scheme val="minor"/>
      </rPr>
      <t>John Brazer Enterprises</t>
    </r>
    <r>
      <rPr>
        <sz val="12"/>
        <color theme="1"/>
        <rFont val="Calibri"/>
        <family val="2"/>
        <scheme val="minor"/>
      </rPr>
      <t>. Purchase it from RPGNow.com today!</t>
    </r>
  </si>
  <si>
    <t>Upgrades:</t>
  </si>
  <si>
    <t>Added simple City Maps for each city</t>
  </si>
  <si>
    <t>Formatting:</t>
  </si>
  <si>
    <t>Added colour!</t>
  </si>
  <si>
    <t>Conditional formatting added where appropriate</t>
  </si>
  <si>
    <t>Modifications:</t>
  </si>
  <si>
    <t>Modified the dropdowns for Alignment on Overall sheet</t>
  </si>
  <si>
    <t>Added Event Generator and Random Events to Overall page</t>
  </si>
  <si>
    <t>Added improvement calculator based on size to Overall page</t>
  </si>
  <si>
    <t>Added Year Calculator, Calendar, Days of the Week, Basic Weather Generator ro Overall page</t>
  </si>
  <si>
    <t>Added Optional Resources to Kingdom page</t>
  </si>
  <si>
    <t>Addedd Defence calculation to the Overall page</t>
  </si>
  <si>
    <t>Minor changes to calculations (formatting)</t>
  </si>
  <si>
    <t>Added Optional Buildings to city pages</t>
  </si>
  <si>
    <t>Added cells for magic items, reformatted city sheets to accommodate changes</t>
  </si>
  <si>
    <t>Instructions</t>
  </si>
  <si>
    <t>The shown District is the middle District of a 5 x 5 matrix of Districts. To expand/add further Districts, Unprotect the sheet, highlight all the cells and then Unhide. You can then re-hide those Districts you don't want.</t>
  </si>
  <si>
    <t>Each square is a drop-down, just specify the building type (you'll have to do this manually for 2 and 4-square buildings).</t>
  </si>
  <si>
    <t>Only text in white boxes can be added, deleted or changed. Anything in grey boxes is calculated. The rest is done using drop-down menus.</t>
  </si>
  <si>
    <t>Random weather is generated depending on the season selected.</t>
  </si>
  <si>
    <t>Current Year is calculated from 4708 AR plus however long the Kingdom has been going. Use YY.MM to represent the current Year/Month in the Kingdom Age box, e.g. 12.5 = 12 years and 5 months.</t>
  </si>
  <si>
    <t>New events can be added, just modify the current list or add to it and then update the formulae at the top of the sheet.</t>
  </si>
  <si>
    <t>There is a list of unused events at the bottom of the sheet.</t>
  </si>
  <si>
    <t>Version 3.0 - Zoetrope's Mods</t>
  </si>
  <si>
    <t>Event Generator (Hidden)</t>
  </si>
  <si>
    <t>Drop Downs (Hidden)</t>
  </si>
  <si>
    <t>This contains all the different lists used throughout the workbook. If you need to modify lists or add new ones, put them in here.</t>
  </si>
  <si>
    <t>Weather Generator (Hidden)</t>
  </si>
  <si>
    <t>A very basic weather generator, feel free to modify or improve upon it! May do myself one day…</t>
  </si>
  <si>
    <t>Armys (Hidden)</t>
  </si>
  <si>
    <t>All these are currently hidden until required, later on in the Kingmaker campaign. I haven't made any modifications to these from the original workbook.</t>
  </si>
  <si>
    <t>Royal Enforcer</t>
  </si>
  <si>
    <t>Consort</t>
  </si>
  <si>
    <t>Heir</t>
  </si>
  <si>
    <t>Aqueduct</t>
  </si>
  <si>
    <t>Fishery</t>
  </si>
  <si>
    <t>Highway</t>
  </si>
  <si>
    <t>Quarry</t>
  </si>
  <si>
    <t>Sawmill</t>
  </si>
  <si>
    <t>Special Terrain</t>
  </si>
  <si>
    <t>Lair</t>
  </si>
  <si>
    <t>Landmark w/ Road</t>
  </si>
  <si>
    <t>Resource</t>
  </si>
  <si>
    <t>River</t>
  </si>
  <si>
    <t>Terrain Improvements</t>
  </si>
  <si>
    <t>Farm w/ Resource</t>
  </si>
  <si>
    <t>Fishery w/ Resource</t>
  </si>
  <si>
    <t>Mine w/ Resource</t>
  </si>
  <si>
    <t>Quarry w/ Resource</t>
  </si>
  <si>
    <t>Sawmill w/ Resource</t>
  </si>
  <si>
    <t>Terrain</t>
  </si>
  <si>
    <t>Enhancements</t>
  </si>
  <si>
    <t>Bank</t>
  </si>
  <si>
    <t>Bardic College</t>
  </si>
  <si>
    <t>Bureau</t>
  </si>
  <si>
    <t>Cistern</t>
  </si>
  <si>
    <t>Dance Hall</t>
  </si>
  <si>
    <t>Exotic Artisan</t>
  </si>
  <si>
    <t>Foreign Quarter</t>
  </si>
  <si>
    <t>Foundry</t>
  </si>
  <si>
    <t>Garrison</t>
  </si>
  <si>
    <t>Guildhall</t>
  </si>
  <si>
    <t>Hospital</t>
  </si>
  <si>
    <t>Magical Academy</t>
  </si>
  <si>
    <t>Menagerie</t>
  </si>
  <si>
    <t>Military Academy</t>
  </si>
  <si>
    <t>Mint</t>
  </si>
  <si>
    <t>Museum</t>
  </si>
  <si>
    <t>Observatory</t>
  </si>
  <si>
    <t>Orphanage</t>
  </si>
  <si>
    <t>Palace</t>
  </si>
  <si>
    <t>Pier</t>
  </si>
  <si>
    <t>Smithy</t>
  </si>
  <si>
    <t>Stockyard</t>
  </si>
  <si>
    <t>Trade Shop</t>
  </si>
  <si>
    <t>University</t>
  </si>
  <si>
    <t>Waterway</t>
  </si>
  <si>
    <t>Everflowing Spring</t>
  </si>
  <si>
    <t>Magical Streetlamps</t>
  </si>
  <si>
    <t>Paved Streets</t>
  </si>
  <si>
    <t>Sewer System</t>
  </si>
  <si>
    <t>Watergate</t>
  </si>
  <si>
    <t>Eco</t>
  </si>
  <si>
    <t>Loy</t>
  </si>
  <si>
    <t>Sta</t>
  </si>
  <si>
    <t>Def</t>
  </si>
  <si>
    <t>Lot</t>
  </si>
  <si>
    <t>Biggest Buildings</t>
  </si>
  <si>
    <t>Building</t>
  </si>
  <si>
    <t>Lots</t>
  </si>
  <si>
    <t>Qty</t>
  </si>
  <si>
    <t>Top 5 Buildings</t>
  </si>
  <si>
    <t>Val</t>
  </si>
  <si>
    <t>Holidays</t>
  </si>
  <si>
    <t>Magic Items</t>
  </si>
  <si>
    <t>Continuous Events</t>
  </si>
  <si>
    <t>Building Demand</t>
  </si>
  <si>
    <t>Cult Activity</t>
  </si>
  <si>
    <t>Drug Den</t>
  </si>
  <si>
    <t>Feud</t>
  </si>
  <si>
    <t>Inquisition</t>
  </si>
  <si>
    <t>Slavers</t>
  </si>
  <si>
    <t>Smugglers</t>
  </si>
  <si>
    <t>Squatters</t>
  </si>
  <si>
    <t>Income</t>
  </si>
  <si>
    <t>Districts</t>
  </si>
  <si>
    <r>
      <t xml:space="preserve">Modifications of the original spreadsheet created by </t>
    </r>
    <r>
      <rPr>
        <b/>
        <sz val="12"/>
        <color theme="1"/>
        <rFont val="Calibri"/>
        <family val="2"/>
        <scheme val="minor"/>
      </rPr>
      <t>Berhagen.</t>
    </r>
    <r>
      <rPr>
        <sz val="12"/>
        <color theme="1"/>
        <rFont val="Calibri"/>
        <family val="2"/>
        <scheme val="minor"/>
      </rPr>
      <t xml:space="preserve"> All credit to him for the initial design work!</t>
    </r>
  </si>
  <si>
    <t>Version 4.0 - Brad Turner's Mods (Ultimate Campaign Update)</t>
  </si>
  <si>
    <t>Ultimate Campaign Changes:</t>
  </si>
  <si>
    <t>Fixed an error where the Rulers' Stability and Loyalty boxes had their colors backwards</t>
  </si>
  <si>
    <t>Renamed "Size" to "Population" on city sheets</t>
  </si>
  <si>
    <t>Changed colors slightly</t>
  </si>
  <si>
    <t>Changed the "Armies" consumption box to "Other" and made it editable</t>
  </si>
  <si>
    <t>Redid the way the "Major Buildings" list works on the City Summary worksheet</t>
  </si>
  <si>
    <t>Tweaked the kingdom alignment fields to prevent invalid combinations</t>
  </si>
  <si>
    <t>Tweaked attribute fields for Rulers and Spymasters</t>
  </si>
  <si>
    <t>Tweaked the way a few formulas work, especially in regards to vacancies and edicts</t>
  </si>
  <si>
    <t>Added the Consort Leadership Role</t>
  </si>
  <si>
    <t>Added the Heir Leadership Role</t>
  </si>
  <si>
    <t>Added and adjusted several Buildings</t>
  </si>
  <si>
    <t>Added and adjusted several Terrain Improvements</t>
  </si>
  <si>
    <t>Wardens who are Vacant now only reduce Loyalty by 2 instead of by 4</t>
  </si>
  <si>
    <t>Generals now apply their Vacancy Penalty to Loyalty instead of Stability</t>
  </si>
  <si>
    <t>A Grand Diplomat vacancy no longer prevents Promotion Edicts</t>
  </si>
  <si>
    <t>Renamed Royal Assassin to Royal Enforcer</t>
  </si>
  <si>
    <t>Renamed Festivals to Holidays</t>
  </si>
  <si>
    <t>Added Income field to the Kingdom and Overall sheets for things like extra BP from mines</t>
  </si>
  <si>
    <t>Adjusted the minimum and maximum settlement Base Values</t>
  </si>
  <si>
    <t>Arenas no longer have an effect on Consumption penalties from Holidays</t>
  </si>
  <si>
    <t>Updated list of Continuous Events (and renamed Ongoing Events to Continuous Events)</t>
  </si>
  <si>
    <t>Updated the field descriptions for all Leadership Roles</t>
  </si>
  <si>
    <t>Minor Scroll/Wondrous</t>
  </si>
  <si>
    <t>Medium Scroll/Wondrous</t>
  </si>
  <si>
    <t>Minor Potion/Wondrous</t>
  </si>
  <si>
    <t>Medium Potion/Wondrous</t>
  </si>
  <si>
    <t>Minor Item</t>
  </si>
  <si>
    <t>Medium Item</t>
  </si>
  <si>
    <t>Major Item</t>
  </si>
  <si>
    <t>Minor Ring/Wand/Wondrous</t>
  </si>
  <si>
    <t>Minor Wondrous</t>
  </si>
  <si>
    <t>Medium Wondrous</t>
  </si>
  <si>
    <t>Major Wondrous</t>
  </si>
  <si>
    <t>Minor Potion/Scroll/Wondrous</t>
  </si>
  <si>
    <t>Medium Potion/Scroll/Wondrous</t>
  </si>
  <si>
    <t>Minor Armor/Shield/Weapon</t>
  </si>
  <si>
    <t>Medium Armor/Shield/Weapon</t>
  </si>
  <si>
    <t>Best Magic Item Slots</t>
  </si>
  <si>
    <t>Slot</t>
  </si>
  <si>
    <t>Rank</t>
  </si>
  <si>
    <t>Minor Scroll or Wondrous Item</t>
  </si>
  <si>
    <t>Medium Scroll or Wondrous Item</t>
  </si>
  <si>
    <t>Minor Potion or Wondrous Item</t>
  </si>
  <si>
    <t>Medium Potion or Wondrous Item</t>
  </si>
  <si>
    <t>Minor Ring, Wand, or Wondrous Item</t>
  </si>
  <si>
    <t>Minor Wondrous Item</t>
  </si>
  <si>
    <t>Medium Wondrous Item</t>
  </si>
  <si>
    <t>Major Wondrous Item</t>
  </si>
  <si>
    <t>Minor Potion, Scroll, or Wondrous Item</t>
  </si>
  <si>
    <t>Medium Potion, Scroll, or Wondrous Item</t>
  </si>
  <si>
    <t>Minor Armor, Shield, or Weapon</t>
  </si>
  <si>
    <t>Medium Armor, Shield, or Weapon</t>
  </si>
  <si>
    <t>Magic Item Slots</t>
  </si>
  <si>
    <t>Top Magic Item Slots</t>
  </si>
  <si>
    <t>Item Slot</t>
  </si>
  <si>
    <t>General Magic Item Slot Count</t>
  </si>
  <si>
    <t>Minor</t>
  </si>
  <si>
    <t>Major</t>
  </si>
  <si>
    <t>Fixed an error where Consumption would sometimes be calculated incorrectly</t>
  </si>
  <si>
    <t>Version 4.1</t>
  </si>
  <si>
    <t>Added Magic Item slots and tracking to city sheets</t>
  </si>
  <si>
    <t>Current Events</t>
  </si>
  <si>
    <t>Renamed "Defence" to "Defense" on the Overall page… because I'm a selfish American…</t>
  </si>
  <si>
    <t>Renamed "Continuous Events" on the Overall page to "Current Events"</t>
  </si>
  <si>
    <t>Credit and thanks to Netarious on the Paizo boards for catching this!</t>
  </si>
  <si>
    <t>Version 4.1a (Bugfix)</t>
  </si>
  <si>
    <t>Fixed an pretty massive error in the math for city Consumption</t>
  </si>
  <si>
    <t>Credit and thanks to Mordam, The Northerner on the Paizo boards for catching this!</t>
  </si>
  <si>
    <t>Version 4.1b (Bugfix)</t>
  </si>
  <si>
    <t>Ultimate Campaign Change/Correction:</t>
  </si>
  <si>
    <t>Correction:</t>
  </si>
  <si>
    <t>Credit and thanks to Dead Phoenix on the Paizo boards for catching this!</t>
  </si>
  <si>
    <t>The Control DC now adds the total number of districts in all your settlements to the DC</t>
  </si>
  <si>
    <t>Active?</t>
  </si>
  <si>
    <t>ACR</t>
  </si>
  <si>
    <t>Average HP</t>
  </si>
  <si>
    <t>Hit Points</t>
  </si>
  <si>
    <t>Offense Modifier</t>
  </si>
  <si>
    <t>Defense Value</t>
  </si>
  <si>
    <t>Commander Boons</t>
  </si>
  <si>
    <t>Hit Dice</t>
  </si>
  <si>
    <t>Leadership Feat?</t>
  </si>
  <si>
    <t>COMMANDER</t>
  </si>
  <si>
    <t>ARMY ABILITIES</t>
  </si>
  <si>
    <t>INDIVIDUAL UNIT</t>
  </si>
  <si>
    <t>Hit Die Type</t>
  </si>
  <si>
    <t>d6</t>
  </si>
  <si>
    <t>d8</t>
  </si>
  <si>
    <t>d10</t>
  </si>
  <si>
    <t>d12</t>
  </si>
  <si>
    <t>Army Sizes</t>
  </si>
  <si>
    <t>Diminutive</t>
  </si>
  <si>
    <t>Size Modifier</t>
  </si>
  <si>
    <t>Charisma Modifier</t>
  </si>
  <si>
    <t>Notes</t>
  </si>
  <si>
    <t>Prof. (Soldier) Ranks</t>
  </si>
  <si>
    <t>Boons</t>
  </si>
  <si>
    <t>Level/Hit Dice</t>
  </si>
  <si>
    <t>Full Defense</t>
  </si>
  <si>
    <t>Withdraw</t>
  </si>
  <si>
    <t>Mounts</t>
  </si>
  <si>
    <t>Army Resources</t>
  </si>
  <si>
    <t>Army Special Abilities</t>
  </si>
  <si>
    <t>Ability Damage/Drain</t>
  </si>
  <si>
    <t>Amphibious</t>
  </si>
  <si>
    <t>Aquatic</t>
  </si>
  <si>
    <t>Bleed</t>
  </si>
  <si>
    <t>Blindsense</t>
  </si>
  <si>
    <t>Blindsight</t>
  </si>
  <si>
    <t>Burn</t>
  </si>
  <si>
    <t>Burrow</t>
  </si>
  <si>
    <t>Cannibalize</t>
  </si>
  <si>
    <t>Climb</t>
  </si>
  <si>
    <t>Create Sandstorm</t>
  </si>
  <si>
    <t>Create Spawn</t>
  </si>
  <si>
    <t>Damage Reduction</t>
  </si>
  <si>
    <t>Darkvision</t>
  </si>
  <si>
    <t>Disease</t>
  </si>
  <si>
    <t>Earth Glide</t>
  </si>
  <si>
    <t>Ferocity</t>
  </si>
  <si>
    <t>Flight</t>
  </si>
  <si>
    <t>Grab</t>
  </si>
  <si>
    <t>Immunity</t>
  </si>
  <si>
    <t>Incorporeal</t>
  </si>
  <si>
    <t>Invisibility</t>
  </si>
  <si>
    <t>Light Blindness</t>
  </si>
  <si>
    <t>Light Sensitivity</t>
  </si>
  <si>
    <t>Low-Light Vision</t>
  </si>
  <si>
    <t>Mindless</t>
  </si>
  <si>
    <t>Mobility</t>
  </si>
  <si>
    <t>Petrification</t>
  </si>
  <si>
    <t>Pounce</t>
  </si>
  <si>
    <t>Powerful Charge</t>
  </si>
  <si>
    <t>Rake</t>
  </si>
  <si>
    <t>Rend</t>
  </si>
  <si>
    <t>Resistance</t>
  </si>
  <si>
    <t>Rock Catching</t>
  </si>
  <si>
    <t>Scent</t>
  </si>
  <si>
    <t>Swarm</t>
  </si>
  <si>
    <t>Teleportation</t>
  </si>
  <si>
    <t>Trample</t>
  </si>
  <si>
    <t>Tremorsense</t>
  </si>
  <si>
    <t>Trip</t>
  </si>
  <si>
    <t>Unnatural Aura</t>
  </si>
  <si>
    <t>Vortex</t>
  </si>
  <si>
    <t>Whirlwind</t>
  </si>
  <si>
    <t>Bloodied but Unbroken</t>
  </si>
  <si>
    <t>Bonus Tactic</t>
  </si>
  <si>
    <t>Defensive Tactics</t>
  </si>
  <si>
    <t>Flexible Tactics</t>
  </si>
  <si>
    <t>Hit and Run</t>
  </si>
  <si>
    <t>Live off the Land</t>
  </si>
  <si>
    <t>Merciless</t>
  </si>
  <si>
    <t>Sharpshooter</t>
  </si>
  <si>
    <t>Triage</t>
  </si>
  <si>
    <t>Alchemy</t>
  </si>
  <si>
    <t>Animal Companion</t>
  </si>
  <si>
    <t>Aura of Courage</t>
  </si>
  <si>
    <t>Armor Training</t>
  </si>
  <si>
    <t>Bomb</t>
  </si>
  <si>
    <t>Bravery</t>
  </si>
  <si>
    <t>Brew Potion</t>
  </si>
  <si>
    <t>Challenge</t>
  </si>
  <si>
    <t>Channel Negative Energy</t>
  </si>
  <si>
    <t>Channel Positive Energy</t>
  </si>
  <si>
    <t>Combat Style</t>
  </si>
  <si>
    <t>Discovery</t>
  </si>
  <si>
    <t>Divine Health</t>
  </si>
  <si>
    <t>Eidolon</t>
  </si>
  <si>
    <t>Evasion</t>
  </si>
  <si>
    <t>Favored Enemy</t>
  </si>
  <si>
    <t>Favored Terrain</t>
  </si>
  <si>
    <t>Flurry of Blows</t>
  </si>
  <si>
    <t>Hex, Healing</t>
  </si>
  <si>
    <t>Hex, Cauldron</t>
  </si>
  <si>
    <t>Inspire Courage</t>
  </si>
  <si>
    <t>Judgment</t>
  </si>
  <si>
    <t>Ki Pool</t>
  </si>
  <si>
    <t>Lay on Hands</t>
  </si>
  <si>
    <t>Mercy</t>
  </si>
  <si>
    <t>Mount</t>
  </si>
  <si>
    <t>Order</t>
  </si>
  <si>
    <t>Poison Resistance</t>
  </si>
  <si>
    <t>Rage</t>
  </si>
  <si>
    <t>Rogue Talent</t>
  </si>
  <si>
    <t>Shield Ally</t>
  </si>
  <si>
    <t>Smite Evil</t>
  </si>
  <si>
    <t>Sneak Attack</t>
  </si>
  <si>
    <t>Stunning Fist</t>
  </si>
  <si>
    <t>Tactician</t>
  </si>
  <si>
    <t>Track</t>
  </si>
  <si>
    <t>Trap Sense</t>
  </si>
  <si>
    <t>Weapon Specialization</t>
  </si>
  <si>
    <t>Wild Shape</t>
  </si>
  <si>
    <t>Improved Armor (Masterwork)</t>
  </si>
  <si>
    <t>Improved Weapons (Masterwork)</t>
  </si>
  <si>
    <t>Base Cons.</t>
  </si>
  <si>
    <t>Adj. Cons.</t>
  </si>
  <si>
    <t>Size Multiplier</t>
  </si>
  <si>
    <t>Totals</t>
  </si>
  <si>
    <t>Hunter's Bond (Companions)</t>
  </si>
  <si>
    <t>Hunter's Bond (Animal)</t>
  </si>
  <si>
    <t>Ranged</t>
  </si>
  <si>
    <t>HP</t>
  </si>
  <si>
    <t>Lead.</t>
  </si>
  <si>
    <t>TACTICS</t>
  </si>
  <si>
    <t>RESOURCES</t>
  </si>
  <si>
    <t>SPECIAL ABILITIES</t>
  </si>
  <si>
    <t>BOONS</t>
  </si>
  <si>
    <t>NOTES</t>
  </si>
  <si>
    <t>Army</t>
  </si>
  <si>
    <t>Armies</t>
  </si>
  <si>
    <t>Version 4.2</t>
  </si>
  <si>
    <t>Ultimate Campaign Change:</t>
  </si>
  <si>
    <t>Added/Updated Army Tracking worksheets</t>
  </si>
  <si>
    <t>+0</t>
  </si>
  <si>
    <t>+1</t>
  </si>
  <si>
    <t>+2</t>
  </si>
  <si>
    <t>+3</t>
  </si>
  <si>
    <t>+4</t>
  </si>
  <si>
    <t>Army consumption is paid weekly which is represented here by multiplying it by 4.</t>
  </si>
  <si>
    <t>Version 4.2a (Bugfix)</t>
  </si>
  <si>
    <t>Fixed an error in the Consumption calculation of armies</t>
  </si>
  <si>
    <t>Made the Morale field of armies editable by the user for easier adjustment</t>
  </si>
  <si>
    <t>Made note of the army consumption being multiplied by 4 on the Overall sheet</t>
  </si>
  <si>
    <t>Credit and thanks to Kord Avatar on the Paizo boards for catching all of these!</t>
  </si>
  <si>
    <t>Viceroy</t>
  </si>
  <si>
    <t>Mine w/Foundry Connection</t>
  </si>
  <si>
    <t>Mine w/ Resource &amp; Foundry Connection</t>
  </si>
  <si>
    <t>Version 4.3 (Bugfix)</t>
  </si>
  <si>
    <t>Graveyard bonus now modifies Loyalty correctly</t>
  </si>
  <si>
    <t>Economy and Stability modifiers for multiple rivers and roads now counts each separately.</t>
  </si>
  <si>
    <t>Added Viceroy Kingdom role.</t>
  </si>
  <si>
    <t>Watchtower now adds +2 to Defence.</t>
  </si>
  <si>
    <t>Added "connected to foundry" modification to Mines.</t>
  </si>
  <si>
    <t>Temporary bugfix issue released by Chemlak on the Paizo boards, with thanks to Philip Knowsley, Deryen, Madbeard, Matt J Harris, hugozilla &amp; Caraldur for jointly identifying issues and prompting me to update this sheet.</t>
  </si>
  <si>
    <t>Version 4.3a (Bugfix)</t>
  </si>
  <si>
    <t>Corrected comment text for Viceroy and Heir (altered inappropriately in version 4.3)</t>
  </si>
  <si>
    <t>Removed "automatic Graveyard" from City 2</t>
  </si>
  <si>
    <t>Thanks  to hugozila for noticing this pointing it out.</t>
  </si>
  <si>
    <t>Version 4.3b (Bugfix)</t>
  </si>
  <si>
    <t>Thanks to Carl Cleroux on the Paizo forum for spotting this</t>
  </si>
  <si>
    <t>Royal Enforcer's Unrest reduction was applying permanently to the Unrest Increment. It is an option, with possible consequences. Tooltip changed to include details.</t>
  </si>
  <si>
    <t>Fame</t>
  </si>
  <si>
    <t>Infamy</t>
  </si>
  <si>
    <t>Version 4.3c</t>
  </si>
  <si>
    <t>Change:</t>
  </si>
  <si>
    <t>Replaced "Other" with "Other (Permanent)" and added "Other (Temporary)" to Kingdom statistics on the Overall sheet - these should be used to separately track permanent and temporary modifiers, respectively.</t>
  </si>
  <si>
    <t>Added Fame and Infamy trackers to Overall sheet and added Fame and Infamy information to all buildings. Starting Kingdoms should add 1 Fame or Infamy to the new (see below) "Other (Permanent)" column.</t>
  </si>
  <si>
    <t>Version 4.3d (bugfix)</t>
  </si>
  <si>
    <t>Corrected formulae to correctly calculate Stability and Population of cities.</t>
  </si>
  <si>
    <t>Thanks to Inner Heru on the Paizo forum for noticing this.</t>
  </si>
  <si>
    <t>Locked some unlocked cells on the Overall sheet.</t>
  </si>
  <si>
    <t>City Summary sheet now correctly displays Major Buildings for all City sheets.</t>
  </si>
  <si>
    <t>Corruption</t>
  </si>
  <si>
    <t>Crime</t>
  </si>
  <si>
    <t>Productivity</t>
  </si>
  <si>
    <t>Law</t>
  </si>
  <si>
    <t>Lore</t>
  </si>
  <si>
    <t>Society</t>
  </si>
  <si>
    <t>Cor</t>
  </si>
  <si>
    <t>Cri</t>
  </si>
  <si>
    <t>Prod</t>
  </si>
  <si>
    <t>Soc</t>
  </si>
  <si>
    <t>Settlement Sizes</t>
  </si>
  <si>
    <t>Thorp</t>
  </si>
  <si>
    <t>Hamlet</t>
  </si>
  <si>
    <t>Village</t>
  </si>
  <si>
    <t>Small Town</t>
  </si>
  <si>
    <t>Large Town</t>
  </si>
  <si>
    <t>Small City</t>
  </si>
  <si>
    <t>Large City</t>
  </si>
  <si>
    <t>Metropolis</t>
  </si>
  <si>
    <t>Modifier</t>
  </si>
  <si>
    <t>Danger</t>
  </si>
  <si>
    <t>Version 4.4</t>
  </si>
  <si>
    <t>Extra special thanks to Gelfar for helping me out with the hard work on this.</t>
  </si>
  <si>
    <t>SETTLEMENTS! Settlement statistics are now calculated for each settlement, settlement type is displayed in the City Summary, adjusted Fame and Infamy calculations to account for settlement stats.</t>
  </si>
  <si>
    <t>I am aware that the settlement modifier is displaying for settlements with zero population. This is to be fixed in an update at some point, but I really couldn't be bothered right now.</t>
  </si>
  <si>
    <t>Version 4.4a (bugfix)</t>
  </si>
  <si>
    <t>An error had propogated in the Fame &amp; Infamy calculations. This has been fixed.</t>
  </si>
  <si>
    <t>Thanks to Inner Heru on the Paizo forum for identifying this.</t>
  </si>
  <si>
    <t>Phases</t>
  </si>
  <si>
    <t>Upkeep Phase</t>
  </si>
  <si>
    <t>Check</t>
  </si>
  <si>
    <t>Succeed or Do Task</t>
  </si>
  <si>
    <t>Failure or Do Task</t>
  </si>
  <si>
    <t>Phase 1—Upkeep</t>
  </si>
  <si>
    <t>Step 1—Determine Kingdom Stability</t>
  </si>
  <si>
    <t>Unrest decreases by 1
if this would reduce Unrest below 0, add 1 BP to your Treasury instead.</t>
  </si>
  <si>
    <t>If you fail by 4 or less, Unrest increases by 1; 
if you fail by 5 or more, Unrest increases by 1d4</t>
  </si>
  <si>
    <t>Phase 2—Edict</t>
  </si>
  <si>
    <t>Step 2—Pay Consumption</t>
  </si>
  <si>
    <t>Subtract your kingdom’s Consumption from the kingdom’s Treasury</t>
  </si>
  <si>
    <t>If your Treasury is negative after paying Consumption, Unrest increases by 2</t>
  </si>
  <si>
    <t>Phase 3—Income</t>
  </si>
  <si>
    <t>Step 3—Fill Vacant Magic Item Slots</t>
  </si>
  <si>
    <t>If any of your settlement districts have buildings that produce magic items (such as a Caster’s Tower or Herbalist) with vacant magic item slots,  there is a chance of those slots filling with new items</t>
  </si>
  <si>
    <t>Phase 4—Event</t>
  </si>
  <si>
    <t>Step 4—Modify Unrest</t>
  </si>
  <si>
    <t>Unrest increases by 1 for each kingdom attribute (Economy, Loyalty,  or Stability) that is a negative number</t>
  </si>
  <si>
    <t>Edict Phase</t>
  </si>
  <si>
    <t>Step 1—Assign Leadership</t>
  </si>
  <si>
    <t>Assign PCs or NPCs to any vacant leadership roles or change the roles being filled by particular PCs or closely allied NPCs</t>
  </si>
  <si>
    <t>Step 2—Claim and Abandon Hexes</t>
  </si>
  <si>
    <r>
      <rPr>
        <b/>
        <sz val="11"/>
        <color theme="1"/>
        <rFont val="Calibri"/>
        <family val="2"/>
        <scheme val="minor"/>
      </rPr>
      <t>Claim Hex</t>
    </r>
    <r>
      <rPr>
        <sz val="11"/>
        <color theme="1"/>
        <rFont val="Calibri"/>
        <family val="2"/>
        <scheme val="minor"/>
      </rPr>
      <t xml:space="preserve">
1 - You can only claim a hex that is adjacent to at least 1 other hex in your kingdom
2 - Before you can claim it, the hex must first be explored, then cleared of monsters and dangerous hazards
3 - Then, to claim the hex, spend 1 BP; this establishes the hex as part of your kingdom and increases your kingdom’s Size by 1</t>
    </r>
  </si>
  <si>
    <r>
      <rPr>
        <b/>
        <sz val="11"/>
        <color theme="1"/>
        <rFont val="Calibri"/>
        <family val="2"/>
        <scheme val="minor"/>
      </rPr>
      <t>Abandon Hex</t>
    </r>
    <r>
      <rPr>
        <sz val="11"/>
        <color theme="1"/>
        <rFont val="Calibri"/>
        <family val="2"/>
        <scheme val="minor"/>
      </rPr>
      <t xml:space="preserve">
1 - You may abandon any number of hexes to reduce your kingdom’s Size
2 - Doing so increases Unrest by 1 for each hex abandoned (or by 4 if the hex contained a settlement)</t>
    </r>
  </si>
  <si>
    <t>Step 4—Build Terrain Improvements</t>
  </si>
  <si>
    <t>You may spend BP to build terrain improvements like Farms, Forts, Roads, Mines, 
and Quarries (see Terrain Improvements, starting on page 210)</t>
  </si>
  <si>
    <t>Step 5—Create and Improve Settlements</t>
  </si>
  <si>
    <t>1 - You may create a settlement in a claimed hex
2 - You may construct a building(s) in any settlement in your kingdom</t>
  </si>
  <si>
    <t>Step 6—Create Army Units</t>
  </si>
  <si>
    <t>You may create, expand, equip, or repair army units</t>
  </si>
  <si>
    <t>Step 7—Issue Edicts</t>
  </si>
  <si>
    <t>Select or adjust your edict levels (Holiday, Improvement, Promotion or Taxation Edicts)</t>
  </si>
  <si>
    <t>Income Phase</t>
  </si>
  <si>
    <t>Step 1—Make Withdrawals from the Treasury</t>
  </si>
  <si>
    <t>1 - If withdrawing for personal use, Unrest increases by the number of BP withdrawn. 
2 - Each BP you withdraw this way converts to 2,000 gp of personal funds.</t>
  </si>
  <si>
    <t>Step 2—Make Deposits to the Treasury</t>
  </si>
  <si>
    <t>1 - You can add funds to a kingdom’s Treasury by donating your personal wealth to the kingdom—coins, gems, jewelry,
weapons, armor, magic items, and other valuables found while adventuring, as long as they are individually worth 4,000 gp less 
2 - For every full 4,000 gp in value of the deposit, increase your kingdom’s BP by 1</t>
  </si>
  <si>
    <t>Step 3—Sell Expensive Items for BP</t>
  </si>
  <si>
    <t>1 - You can attempt to sell expensive personal items (that is, items worth more than 4,000 gp each) through your kingdom’s markets to add to your Treasury. You may sell one item per settlement district per turn. You must choose the settlement where you want to sell the item, and the item cannot be worth more than the base value of that settlement (see page 212).
2 - To sell an item, divide its price by half (as if selling it to an NPC for gp), divide the result by 4,000 (rounded down), and add that many BP to your Treasury.</t>
  </si>
  <si>
    <t>Step 4—Collect Taxes</t>
  </si>
  <si>
    <t>Event Phase</t>
  </si>
  <si>
    <t>Step 1—Check for Event (see Event sheet)</t>
  </si>
  <si>
    <t>DM Rolled</t>
  </si>
  <si>
    <r>
      <t xml:space="preserve">1 - There is a </t>
    </r>
    <r>
      <rPr>
        <sz val="11"/>
        <color rgb="FFFF0000"/>
        <rFont val="Calibri"/>
        <family val="2"/>
        <scheme val="minor"/>
      </rPr>
      <t>25%</t>
    </r>
    <r>
      <rPr>
        <sz val="11"/>
        <color theme="1"/>
        <rFont val="Calibri"/>
        <family val="2"/>
        <scheme val="minor"/>
      </rPr>
      <t xml:space="preserve"> chance of an event occurring (see Events, starting on page 220). 
2 - If no event occurred during the last turn, this chance increases to </t>
    </r>
    <r>
      <rPr>
        <sz val="11"/>
        <color rgb="FFFF0000"/>
        <rFont val="Calibri"/>
        <family val="2"/>
        <scheme val="minor"/>
      </rPr>
      <t>75%</t>
    </r>
    <r>
      <rPr>
        <sz val="11"/>
        <color theme="1"/>
        <rFont val="Calibri"/>
        <family val="2"/>
        <scheme val="minor"/>
      </rPr>
      <t>.</t>
    </r>
  </si>
  <si>
    <t>d%</t>
  </si>
  <si>
    <t>Event</t>
  </si>
  <si>
    <t>Table: Beneficial Kingdom Events</t>
  </si>
  <si>
    <t>Table: Dangerous Kingdom Events</t>
  </si>
  <si>
    <t>Archaeological find</t>
  </si>
  <si>
    <t xml:space="preserve">Assassination attempt </t>
  </si>
  <si>
    <t>Diplomatic overture</t>
  </si>
  <si>
    <t>Bandit activity</t>
  </si>
  <si>
    <t>Economic boom</t>
  </si>
  <si>
    <t xml:space="preserve">Food shortage </t>
  </si>
  <si>
    <t>Festive invitation</t>
  </si>
  <si>
    <t>Improvement demand</t>
  </si>
  <si>
    <t>Food surplus</t>
  </si>
  <si>
    <t>Good weather</t>
  </si>
  <si>
    <t xml:space="preserve">Large disaster </t>
  </si>
  <si>
    <t>Land rush</t>
  </si>
  <si>
    <t>Monster attack</t>
  </si>
  <si>
    <t>Natural blessing</t>
  </si>
  <si>
    <t>New subjects</t>
  </si>
  <si>
    <t>Public scandal</t>
  </si>
  <si>
    <t>Political calm</t>
  </si>
  <si>
    <t>Table: Beneficial Settlement Events</t>
  </si>
  <si>
    <t>Table: Dangerous Settlement Events</t>
  </si>
  <si>
    <t>01–14</t>
  </si>
  <si>
    <t>Boomtown</t>
  </si>
  <si>
    <t>Building demand</t>
  </si>
  <si>
    <t>15–26</t>
  </si>
  <si>
    <t>Crop failure</t>
  </si>
  <si>
    <t>27–40</t>
  </si>
  <si>
    <t>Justice prevails</t>
  </si>
  <si>
    <t>Cult activity</t>
  </si>
  <si>
    <t>41–46</t>
  </si>
  <si>
    <t>Noblesse oblige</t>
  </si>
  <si>
    <t>Drug den</t>
  </si>
  <si>
    <t>47–58</t>
  </si>
  <si>
    <t>Outstanding success</t>
  </si>
  <si>
    <t>59–66</t>
  </si>
  <si>
    <t>Pilgrimage</t>
  </si>
  <si>
    <t>67–72</t>
  </si>
  <si>
    <t>Remarkable treasure</t>
  </si>
  <si>
    <t>Localized disaster</t>
  </si>
  <si>
    <t>73–81</t>
  </si>
  <si>
    <t>Unexpected find</t>
  </si>
  <si>
    <t>82–93</t>
  </si>
  <si>
    <t>Visiting celebrity</t>
  </si>
  <si>
    <t>94–100</t>
  </si>
  <si>
    <t>Wealthy immigrant</t>
  </si>
  <si>
    <t>Sensational crime</t>
  </si>
  <si>
    <t>Vandals</t>
  </si>
  <si>
    <t>NPC</t>
  </si>
  <si>
    <t>BP Costs</t>
  </si>
  <si>
    <t>The Royal Enforcer may attempt to reduce Unrest during this step.
If the kingdom’s Unrest is 11 or higher, it loses 1 hex (leaders choose hex)</t>
  </si>
  <si>
    <t>kridak from the Paizo forums sent me (Chemlak) a sheet with some updates and it blew me away. So much so that I simply HAD to include the majority of the changes.</t>
  </si>
  <si>
    <t>To add buildings to the City Map sheets, Copy and Paste from the Buildings sheet into the appropriate City Map sheet. This is an entirely visual representation of the city and does not propogate information to the City sheet itself, which must be updated separately.</t>
  </si>
  <si>
    <t>Version 5 - Community Use Policy Required (see top of this page)</t>
  </si>
  <si>
    <t>Added building images and City Map grids.</t>
  </si>
  <si>
    <t>More detailed tooltips for leadership roles on the Overall sheet.</t>
  </si>
  <si>
    <t>Turn sequence sheet added, detailing the steps to go through for a Kingdom turn.</t>
  </si>
  <si>
    <t>Events sheet added, with tables of kingdom events and detailed tooltips for the effects of the events.</t>
  </si>
  <si>
    <t>Charts sheet added, containing various tables used in the rules.</t>
  </si>
  <si>
    <t>IMPORTANT NOTICE: Paizo Publishing, LLC Community Use Policy</t>
  </si>
  <si>
    <t>This spreadsheet uses trademarks and/or copyrights owned by Paizo Publishing, LLC, which are used under Paizo's Community Use Policy.</t>
  </si>
  <si>
    <t>We are expressly prohibited from charging you to use or access this content.</t>
  </si>
  <si>
    <t>This spreadsheet is not published, endorsed, or specifically approved by Paizo Publishing.</t>
  </si>
  <si>
    <t>For more information about Paizo's Community Use Policy, please visit paizo.com/communityuse.</t>
  </si>
  <si>
    <t>For more information about Paizo Publishing and Paizo products, please visit paizo.com.</t>
  </si>
  <si>
    <t>Under the terms of the Community Use Policy, this spreadsheet is registered by Chemlak in the Paizo Publishing, LLC Community Use Register.</t>
  </si>
  <si>
    <t>Any person who subsequently creates an updated version of this sheet for community use and/or distribution MUST register their version separately and distinctly from any version registered by Chemlak.</t>
  </si>
  <si>
    <t>Chemlak is unable to transfer this registry without the express consent of Paizo Publishing, LLC, and failure to correctly register a new version may result in permission to host this sheet being withdrawn by Paizo Publishing, LLC.</t>
  </si>
  <si>
    <t>IMPORTANT NOTICE FROM CHEMLAK: Version 5 and the Paizo Publishing, LLC Community Use Policy</t>
  </si>
  <si>
    <t>Corrected resource consumption calculation for armies.</t>
  </si>
  <si>
    <t>Attitude</t>
  </si>
  <si>
    <t>Hostile</t>
  </si>
  <si>
    <t>Unfriendly</t>
  </si>
  <si>
    <t>Indifferent</t>
  </si>
  <si>
    <t>Friendly</t>
  </si>
  <si>
    <t>Helpful</t>
  </si>
  <si>
    <t>Relationship</t>
  </si>
  <si>
    <t>Diplomatic Level</t>
  </si>
  <si>
    <t>Diplomatic Relationship Type</t>
  </si>
  <si>
    <t>Embassy</t>
  </si>
  <si>
    <t>Treaty</t>
  </si>
  <si>
    <t>Alliance</t>
  </si>
  <si>
    <t>You and the target both have alliance with a third party</t>
  </si>
  <si>
    <t>You and the target kingdom both have a treaty with a third party</t>
  </si>
  <si>
    <t>You have a treaty with the target kingdom's ally</t>
  </si>
  <si>
    <t>You have an embassy with the target kingdom's enemy</t>
  </si>
  <si>
    <t>You have a treaty with the target kingdom's enemy</t>
  </si>
  <si>
    <t>You have an alliance with the target kingdom's enemy</t>
  </si>
  <si>
    <t>Edict DC</t>
  </si>
  <si>
    <t>Subtract any BP spent on Bribes/Gifts</t>
  </si>
  <si>
    <t>Diplomatic Edicts</t>
  </si>
  <si>
    <t>Enter the name, size (in hexes), and alignment of the target kingdom. Select the Relationship which most closely matches, and select the target kingdom's attitude towards your kingdom. The Kingdom DC to increase the level of your diplomatic relationship is displayed.</t>
  </si>
  <si>
    <t>Added Diplomatic Edicts on the new Diplomacy sheet.</t>
  </si>
  <si>
    <t>Put all 25 City sheets in the new format with annotations.</t>
  </si>
  <si>
    <t>Added instructions on adding new City Maps.</t>
  </si>
  <si>
    <t>City Maps</t>
  </si>
  <si>
    <t>Version 5.0a (BugFix)</t>
  </si>
  <si>
    <t>Settlement</t>
  </si>
  <si>
    <t>Trade Route Type</t>
  </si>
  <si>
    <t>Food</t>
  </si>
  <si>
    <t>Goods</t>
  </si>
  <si>
    <t>Luxuries</t>
  </si>
  <si>
    <t>Raw Materials</t>
  </si>
  <si>
    <t>Index</t>
  </si>
  <si>
    <t>Stockyards</t>
  </si>
  <si>
    <t>Granary/Stockyard?</t>
  </si>
  <si>
    <t>Consumption &lt; 0?</t>
  </si>
  <si>
    <t>Food Valid</t>
  </si>
  <si>
    <t>Smithies</t>
  </si>
  <si>
    <t>Shops</t>
  </si>
  <si>
    <t>Trade Shops</t>
  </si>
  <si>
    <t>Tanneries</t>
  </si>
  <si>
    <t>Guildhall?</t>
  </si>
  <si>
    <t>Goods Valid</t>
  </si>
  <si>
    <t>Luxury Store?</t>
  </si>
  <si>
    <t>Luxury Valid</t>
  </si>
  <si>
    <t>Foundry?</t>
  </si>
  <si>
    <t>Raw Materials Valid?</t>
  </si>
  <si>
    <t>Route Type</t>
  </si>
  <si>
    <t>Route Allowed?</t>
  </si>
  <si>
    <t>Trade Route Length</t>
  </si>
  <si>
    <t>Route Modifier</t>
  </si>
  <si>
    <t>Length Modifier</t>
  </si>
  <si>
    <t>DC</t>
  </si>
  <si>
    <t>Economy Bonus</t>
  </si>
  <si>
    <t>Alternative LM</t>
  </si>
  <si>
    <t>Alternative DC</t>
  </si>
  <si>
    <t>Farm adjacent to Stockyard</t>
  </si>
  <si>
    <t>Farm w/ Resource adjacent to Stockyard</t>
  </si>
  <si>
    <t>Corrected Army Consumption calculations for Resources.</t>
  </si>
  <si>
    <t>Added More Farm options (for farms in hexes containing or adjacent to Stockyards)</t>
  </si>
  <si>
    <t>Alchemists</t>
  </si>
  <si>
    <t>Caster's Towers</t>
  </si>
  <si>
    <t>Herbalists</t>
  </si>
  <si>
    <t>Magic Shops</t>
  </si>
  <si>
    <t>Goods EB</t>
  </si>
  <si>
    <t>Food EB</t>
  </si>
  <si>
    <t>Luxury EB</t>
  </si>
  <si>
    <t>RM EB (M)</t>
  </si>
  <si>
    <t>RM EB (No M)</t>
  </si>
  <si>
    <t>Trade Route sheet added. See Instructions for details.</t>
  </si>
  <si>
    <t>Trade Routes</t>
  </si>
  <si>
    <r>
      <t xml:space="preserve">Select the city and trade route type from the drop-down menus. If that settlement can have that type of trade route, it will tell you. Input the length of the trade route. Two different DC's are calculated: The first is completely by the rules in Ultimate Campaign, the second represents the spreadsheet author's belief of the </t>
    </r>
    <r>
      <rPr>
        <i/>
        <sz val="11"/>
        <color theme="1"/>
        <rFont val="Calibri"/>
        <family val="2"/>
        <scheme val="minor"/>
      </rPr>
      <t>intended</t>
    </r>
    <r>
      <rPr>
        <sz val="11"/>
        <color theme="1"/>
        <rFont val="Calibri"/>
        <family val="2"/>
        <scheme val="minor"/>
      </rPr>
      <t xml:space="preserve"> rules.</t>
    </r>
  </si>
  <si>
    <t>Aqueduct*</t>
  </si>
  <si>
    <t>Bridge*</t>
  </si>
  <si>
    <t>Canal*</t>
  </si>
  <si>
    <t>Farm*</t>
  </si>
  <si>
    <t>Fishery*</t>
  </si>
  <si>
    <t>Fort*</t>
  </si>
  <si>
    <t>Highway*</t>
  </si>
  <si>
    <t>Road*</t>
  </si>
  <si>
    <t>Watchtower*</t>
  </si>
  <si>
    <t>Effect</t>
  </si>
  <si>
    <t>Cost</t>
  </si>
  <si>
    <t>Description</t>
  </si>
  <si>
    <t>One end must be hill or mountain hex; can pass through any type of hex</t>
  </si>
  <si>
    <t>Loyalty+1, Stability +1, allows settlement to build water-dependent buildings</t>
  </si>
  <si>
    <t>As a Road, except the cost is not doubled for hexes with rivers (See Table 4–6: Terrain Imp. On page 214)</t>
  </si>
  <si>
    <t>An Aqueduct brings water from alpine lakes and rivers to lowland cities where water is scarce or insufficient for the local populace. A finished series of Aqueduct hexes must connect to a hill or mountain hex (with a river or lake) on one end and a settlement on the other end; otherwise, you
do not gain its benefit.</t>
  </si>
  <si>
    <t>When you build a Road in a hex that contains a river, the doubled coast of the Road includes the cost of bridges needed to cross the river. You don’t need to build a Bridge as a separate unit; it’s listed here for reference only</t>
  </si>
  <si>
    <t>A Bridge allows your Road hexes to cross rivers</t>
  </si>
  <si>
    <t>Desert, hill, or plain</t>
  </si>
  <si>
    <t>Settlements in a hex with a Canal treat the hex as if it had a river</t>
  </si>
  <si>
    <t>(See Table 4–6: Terrain Imp. On page 214)</t>
  </si>
  <si>
    <t>A Canal is an artificial waterway that allows barge traffic to haul heavy commodities</t>
  </si>
  <si>
    <t>Desert (requires canal, coastline, or river), hill, or plain</t>
  </si>
  <si>
    <t>Consumption decreases by 2 BP</t>
  </si>
  <si>
    <t>A Farm helps feed your kingdom</t>
  </si>
  <si>
    <t>Coastline, water, river, or marsh</t>
  </si>
  <si>
    <t>Consumption decreases by 1 BP</t>
  </si>
  <si>
    <t>4 BP</t>
  </si>
  <si>
    <t>A Fishery is like a Farm, except it provides abundant fish rather than planted crops</t>
  </si>
  <si>
    <t>Any land</t>
  </si>
  <si>
    <t>Stability +2, Defense +4, increase Consumption by 1 BP; 
Unrest decreases by 1 when completed. 
If this hex becomes a settlement, this improvement counts as one Barracks and one Stables building</t>
  </si>
  <si>
    <t>24 BP</t>
  </si>
  <si>
    <t>A Fort is a walled encampment for military forces outside a settlement. You can upgrade a Watchtower to a Fort (Unrest decreases when you do so, just as if you had built the Fort from scratch)</t>
  </si>
  <si>
    <t>Any hex with a Road</t>
  </si>
  <si>
    <t>Economy +1 for every 4 hexes of Highway, Stability +1 for every 8 hexes of Highway; 
Improves overland travel speed (Pathfinder RPG Core Rulebook 172</t>
  </si>
  <si>
    <t>Twice the cost of a Road (See Table 4–6: Terrain Imp. On page 214)</t>
  </si>
  <si>
    <t>A highway is a paved and well-maintained version of a Road. You may upgrade 
a Road into a Highway. Kingdom Size must be 26 or greater to build  a  Highway</t>
  </si>
  <si>
    <t>Cavern, desert, hill, or mountain</t>
  </si>
  <si>
    <t>Economy +1, earn +1 BP per turn when collecting taxes during the Income phase</t>
  </si>
  <si>
    <t>6 BP</t>
  </si>
  <si>
    <t>A Mine extracts metal, coal, salt, or other useful materials from the earth</t>
  </si>
  <si>
    <t>Cavern, hill, or mountain</t>
  </si>
  <si>
    <t>Stability +1, earn +1 BP per turn when collecting taxes during the Income phase</t>
  </si>
  <si>
    <t xml:space="preserve">A Quarry extracts workable stone from the ground </t>
  </si>
  <si>
    <t>Economy +1 for every 4 hexes of Road, Stability +1 for every 8 hexes of Road; 
improves overland travel speed (Core Rulebook 172)</t>
  </si>
  <si>
    <t>See the Road column of  Table 4–6: Terrain Imp. On page 214</t>
  </si>
  <si>
    <t>A Road speeds travel through your kingdom and promotes trade. You can upgrade a Road to a Highway</t>
  </si>
  <si>
    <t>Forest or jungle</t>
  </si>
  <si>
    <t>3 BP</t>
  </si>
  <si>
    <t>A sawmill centralizes the activities of loggers and turns trees into lumber for use in building and crafting</t>
  </si>
  <si>
    <t>Stability +1, Defense +2; Unrest decreases by 1 when completed. 
If this hex becomes a settlement, this improvement counts as a Watchtower</t>
  </si>
  <si>
    <t>12 BP</t>
  </si>
  <si>
    <t>BP Cost</t>
  </si>
  <si>
    <t># of Lots</t>
  </si>
  <si>
    <t>infamy</t>
  </si>
  <si>
    <t>Discount</t>
  </si>
  <si>
    <t>Upgrade From</t>
  </si>
  <si>
    <t>Upgrade To</t>
  </si>
  <si>
    <t>Limit</t>
  </si>
  <si>
    <t>Special</t>
  </si>
  <si>
    <t>Caster’s Tower, Library, Magic Shop</t>
  </si>
  <si>
    <t>An institution of higher learning.</t>
  </si>
  <si>
    <t>Adjacent to 1 House</t>
  </si>
  <si>
    <t>1 minor potion or wondrous item</t>
  </si>
  <si>
    <t>The laboratory and home of a crafter of poisons, potions, or alchemical items.</t>
  </si>
  <si>
    <t>Brothel, Garrison, Inn, Stable, Theater</t>
  </si>
  <si>
    <t>1 per settlement</t>
  </si>
  <si>
    <t>A large public structure for competitions and team sports.</t>
  </si>
  <si>
    <t>A secure building for storing valuables and granting loans.</t>
  </si>
  <si>
    <t>Library, Museum, Theater</t>
  </si>
  <si>
    <t>2 minor scrolls or wondrous items</t>
  </si>
  <si>
    <t>A center for artistic learning. Education in a Bardic College also includes research into a wide-range of historical topics.</t>
  </si>
  <si>
    <t>Defense +2</t>
  </si>
  <si>
    <t>A building to house conscripts, guards, militia, soldiers, or similar military forces.</t>
  </si>
  <si>
    <t>Adjacent to 2 Houses</t>
  </si>
  <si>
    <t>Base value +2,000 gp</t>
  </si>
  <si>
    <t>2 minor items, 1 medium item, 1 major item</t>
  </si>
  <si>
    <t>A number of shops with secret and usually illegal wares.</t>
  </si>
  <si>
    <t>A building for beer brewing, winemaking, or some similar use.</t>
  </si>
  <si>
    <t>Shares the space with a river or Waterway lot</t>
  </si>
  <si>
    <t>Allows travel across a river or Waterway, easing transportation</t>
  </si>
  <si>
    <t>A large warren of offices for clerks and record-keepers working for a guild or government.</t>
  </si>
  <si>
    <t>3 minor items, 2 medium items</t>
  </si>
  <si>
    <t>The home and laboratory for a spellcaster</t>
  </si>
  <si>
    <t>Noble Villa, Town Hall</t>
  </si>
  <si>
    <t>Defense +8</t>
  </si>
  <si>
    <t>The home of the settlement’s leader or the heart of its defenses</t>
  </si>
  <si>
    <t>Academy, Temple</t>
  </si>
  <si>
    <t>Halves Consumption increase for Promotion edicts</t>
  </si>
  <si>
    <t>3 minor potions or wondrous items, 
2 medium potions or wondrous items</t>
  </si>
  <si>
    <t>The focal point of the settlement’s spiritual leadership</t>
  </si>
  <si>
    <t>NOT adjacent to a Dump, Graveyard, Stable, Stockyard or Tannery</t>
  </si>
  <si>
    <t>Can share lot with another building</t>
  </si>
  <si>
    <t>Contains a safe supply of fresh water for the settlement</t>
  </si>
  <si>
    <t>Land district border</t>
  </si>
  <si>
    <t>Defense +1</t>
  </si>
  <si>
    <t>A fortification of one side of a district with a sturdy wall. The GM may allow for cliffs and other natural features to function as a City Wall for one or more sides of a district. You may construct gates through your own city wall at no cost.</t>
  </si>
  <si>
    <t>An establishment for dancing, drinking, carousing, and holding celebrations</t>
  </si>
  <si>
    <t>Cannot be adjacent to House, Mansion,  or Noble Villa</t>
  </si>
  <si>
    <t>A centralized place to dispose of refuse</t>
  </si>
  <si>
    <t>Settlement must have a building that can create medium magic items</t>
  </si>
  <si>
    <t>Can share lot with Castle, Cathedral, Market, Monument, Park, or Town Hall</t>
  </si>
  <si>
    <t>A fountain built around several decanters of endless water that provides an inexhaustible supply of fresh water</t>
  </si>
  <si>
    <t>1 minor ring, wand, or wondrous item</t>
  </si>
  <si>
    <t>The shop and home of a jeweler, tinker, glassblower, or the like</t>
  </si>
  <si>
    <t>Increase the value of trade routes (see Trade Edicts on page 232) by 5% (maximum 100%)</t>
  </si>
  <si>
    <t>An area with many foreigners, as well as shops and services catering to them</t>
  </si>
  <si>
    <t>Adjacent to water district border</t>
  </si>
  <si>
    <t>Increase the Economy and BP earned per turn by 1 for 1 Mine connected to this settlement by a river or Road</t>
  </si>
  <si>
    <t>Processes ore and refines it into finished metal</t>
  </si>
  <si>
    <t>City Wall, Granary, Jail</t>
  </si>
  <si>
    <t>A large building to house armies, train guards, and recruit militia</t>
  </si>
  <si>
    <t>If Farms reduce Consumption below 0, store up to 5 BP of excess prod. for use later when Consumption exceeds the Treasury</t>
  </si>
  <si>
    <t>A place to store grain and food.</t>
  </si>
  <si>
    <t>A plot of land to honor and bury the dead</t>
  </si>
  <si>
    <t>Base value +1,000 gp</t>
  </si>
  <si>
    <t>The headquarters for a guild or similar organization</t>
  </si>
  <si>
    <t>The workshop and home of a gardener, healer, or poisoner</t>
  </si>
  <si>
    <t>Increase Stability by 2 during plague events</t>
  </si>
  <si>
    <t>A building devoted to healing the sick</t>
  </si>
  <si>
    <t>The first House you build during the Improvement phase does not count against the total number of buildings you can build during the phase</t>
  </si>
  <si>
    <t>A number of mid-sized houses for citizens</t>
  </si>
  <si>
    <t>Base value +500 gp</t>
  </si>
  <si>
    <t>A place for visitors to rest</t>
  </si>
  <si>
    <t>A fortified structure for confining criminals or dangerous monsters</t>
  </si>
  <si>
    <t>A large building containing an archive of books</t>
  </si>
  <si>
    <t>2 minor rings, wands, or wondrous items</t>
  </si>
  <si>
    <t>A shop that specializes in expensive comforts for the wealthy</t>
  </si>
  <si>
    <t>4 minor wondrous items, 2 medium wondrous items, 1 major wondrous item</t>
  </si>
  <si>
    <t>A shop that specializes in magic items and spells</t>
  </si>
  <si>
    <t>3 minor potions, scrolls, or wondrous items; 
1 medium potion, scroll, or wondrous item</t>
  </si>
  <si>
    <t>An institution for training students in spellcasting, magic item crafting, and various arcane arts</t>
  </si>
  <si>
    <t>Settlement must have a Cathedral, 
Magic Shop, Magical Academy or Temple</t>
  </si>
  <si>
    <t>Can share a lot with any building or improvement</t>
  </si>
  <si>
    <t>Continual flame lamps that illuminate the lot</t>
  </si>
  <si>
    <t>A single huge manor housing a rich family and its servants</t>
  </si>
  <si>
    <t>Black Market, Inn, Shop</t>
  </si>
  <si>
    <t>An open area for traveling merchants and bargain hunters</t>
  </si>
  <si>
    <t>Increase Loyalty by 1/4 the CR of the highest-CR creature in the Menagerie</t>
  </si>
  <si>
    <t>A large park stocked with exotic creatures for public viewing</t>
  </si>
  <si>
    <t xml:space="preserve">Armies and commanders recruited at the settlement gain one bonus tactic </t>
  </si>
  <si>
    <t>1 minor armor, shield, or weapon; 1 medium armor, shield, or weapon</t>
  </si>
  <si>
    <t>An institution dedicated to the study of war and the training of elite soldiers and officers</t>
  </si>
  <si>
    <t>With GM approval, you can construct a windmill at the same cost without the water district border requirement</t>
  </si>
  <si>
    <t>A building used to cut lumber or grind grain</t>
  </si>
  <si>
    <t>A secure building where the kingdom’s coinage is minted and standard weights and measures are kept</t>
  </si>
  <si>
    <t>Defense +1; cannot be damaged by siege engines</t>
  </si>
  <si>
    <t>A fortification of one side of a district with an open or water-filled ditch, often backed by a low dike or embankment. The GM may allow a river or similar natural feature to function as a moat for one or more sides of a district</t>
  </si>
  <si>
    <t>A cloister for meditation, study, and the pursuit of various other scholarly paths</t>
  </si>
  <si>
    <t>A local memorial such as a bell tower, a statue of a settlement founder, a large tomb, or a public display of art</t>
  </si>
  <si>
    <t>A place to display art and artifacts both modern and historical. The GM may allow the kingdom leaders to display a valuable item (such as a magic item or bejeweled statue) in the museum, increasing Fame during this display by 1 for every 10,000 gp of the item’s price (maximum +5 Fame), and by an additional 1 if the item is significant to the kingdom’s history</t>
  </si>
  <si>
    <t>Exotic Artisan, Luxury Store,  Mansion</t>
  </si>
  <si>
    <t>A sprawling manor with luxurious grounds that houses a noble’s family and staff</t>
  </si>
  <si>
    <t>1 minor scroll or wondrous item</t>
  </si>
  <si>
    <t>A dome or tower with optical devices for viewing the heavens</t>
  </si>
  <si>
    <t>A place for housing and taking care of large numbers of orphans</t>
  </si>
  <si>
    <t>Mansion, Mint, Noble Villa</t>
  </si>
  <si>
    <t>Base value +1,000 gp; you may make two special edicts per turn (see page 229), but take a –2 penalty on kingdom checks associated with each special edict</t>
  </si>
  <si>
    <t>A grand edifice and walled grounds demonstrating one’s wealth, power, and authority to the world</t>
  </si>
  <si>
    <t>A plot of land set aside for its serene beauty</t>
  </si>
  <si>
    <t>1 per district</t>
  </si>
  <si>
    <t>Brick or stone pavement that speeds transportation</t>
  </si>
  <si>
    <t>Warehouses and workshops for docking ships and handling cargo and passengers</t>
  </si>
  <si>
    <t>Cistern, Dump</t>
  </si>
  <si>
    <t>An underground sanitation system that keeps the settlement clean, though it may become home to criminals and monsters</t>
  </si>
  <si>
    <t>Luxury Store, Market</t>
  </si>
  <si>
    <t>Adjacent to 1 House or Mansion</t>
  </si>
  <si>
    <t>A general store</t>
  </si>
  <si>
    <t>1 minor potion, scroll, or wondrous item</t>
  </si>
  <si>
    <t>A shrine, idol, sacred grove, or similar holy site designed for worship by pious individuals</t>
  </si>
  <si>
    <t>The workshop of an armorsmith, blacksmith, weaponsmith, or other craftsman who works with metal</t>
  </si>
  <si>
    <t>Adjacent to 1 House, Mansion, or Noble Villa</t>
  </si>
  <si>
    <t>A structure for housing or selling horses and other mounts</t>
  </si>
  <si>
    <t>Stable, Tannery</t>
  </si>
  <si>
    <t>Farms in this hex or adjacent hexes reduce Consumption by 3 instead of 2</t>
  </si>
  <si>
    <t>Barns and pens that store herd animals and prepare them for nearby slaughterhouses</t>
  </si>
  <si>
    <t>Cannot be adjacent to House, 
Mansion, Noble Villa, or Tenement</t>
  </si>
  <si>
    <t>A structure that prepares hides and leather</t>
  </si>
  <si>
    <t>An eating or drinking establishment</t>
  </si>
  <si>
    <t>Graveyard, Monument, Shrine</t>
  </si>
  <si>
    <t>2 minor items</t>
  </si>
  <si>
    <t>A large place of worship dedicated to a deity</t>
  </si>
  <si>
    <t>Counts as House for buildings that must be adjacent to a House</t>
  </si>
  <si>
    <t>A staggering number of low-rent housing units</t>
  </si>
  <si>
    <t>Brothel, Exotic Artisan, Inn, Park, Tavern</t>
  </si>
  <si>
    <t>A venue for entertainments such as plays, operas, and concerts</t>
  </si>
  <si>
    <t>Barracks, Cistern, Dump, Jail, Watchtower</t>
  </si>
  <si>
    <t>A public venue for town meetings, repository for town records, and offices for minor bureaucrats</t>
  </si>
  <si>
    <t>A shop front for a tradesperson, such as a baker, butcher, candle maker, cobbler, rope maker, or wainwright</t>
  </si>
  <si>
    <t>Academy, Bardic College, Library, Magical Academy, Military Academy,  Museum</t>
  </si>
  <si>
    <t>4 minor scrolls or wondrous items, 
2 medium scrolls or wondrous items</t>
  </si>
  <si>
    <t>An institution of higher learning, focusing mainly on mundane subjects but dabbling in magical theory</t>
  </si>
  <si>
    <t>A tall structure that serves as a guard post</t>
  </si>
  <si>
    <t>Adjacent to water district border, 
1 per settlement</t>
  </si>
  <si>
    <t>Base value +4,000 gp; halves Loyalty penalty for Taxation edicts</t>
  </si>
  <si>
    <t>2 minor wondrous items, 1 medium wondrous item, 1 major wondrous item</t>
  </si>
  <si>
    <t>A port for waterborne arrival and departure, with facilities for shipping and shipbuilding</t>
  </si>
  <si>
    <t>Shares City Wall</t>
  </si>
  <si>
    <t>A gate in a City Wall that allows water (such as a river, Aqueduct, or Waterway)  to enter the settlement. A Watergate has underwater defenses to block unwanted access. If you construct a Watergate when you construct a City Wall, the Watergate does not count toward the limit of the number of buildings you can construct per turn</t>
  </si>
  <si>
    <t>Counts as water district border for adjacent buildings</t>
  </si>
  <si>
    <t>A river or canal occuping part of the District Grid. At the GM’s option, a natural Waterway may already exist on the grid, requiring no action or BP to build. If you construct a City Wall that touches or crosses the Waterway, you must also build Watergates on the same turn</t>
  </si>
  <si>
    <t>PC/NPC</t>
  </si>
  <si>
    <t>STR</t>
  </si>
  <si>
    <t>DEX</t>
  </si>
  <si>
    <t>CON</t>
  </si>
  <si>
    <t>INT</t>
  </si>
  <si>
    <t>WIS</t>
  </si>
  <si>
    <t>Leadership?</t>
  </si>
  <si>
    <t>Diplomacy</t>
  </si>
  <si>
    <t>Know (Nob)</t>
  </si>
  <si>
    <t>Know (Loc)</t>
  </si>
  <si>
    <t>Prof (Soldier)</t>
  </si>
  <si>
    <t>Know (Rel)</t>
  </si>
  <si>
    <t>Know (Arc)</t>
  </si>
  <si>
    <t>Survival</t>
  </si>
  <si>
    <t>Intimidate</t>
  </si>
  <si>
    <t>Sense Motive</t>
  </si>
  <si>
    <t>Prof (Merchant)</t>
  </si>
  <si>
    <t>Know (Geo)</t>
  </si>
  <si>
    <t>Know (Eng)</t>
  </si>
  <si>
    <t>CHA/WIS</t>
  </si>
  <si>
    <t>CHA/STR</t>
  </si>
  <si>
    <t>CHA/INT</t>
  </si>
  <si>
    <t>DEX/WIS</t>
  </si>
  <si>
    <t>DEX/STR</t>
  </si>
  <si>
    <t>DEX/INT</t>
  </si>
  <si>
    <t>INT/WIS</t>
  </si>
  <si>
    <t>STR/CON</t>
  </si>
  <si>
    <t>PC</t>
  </si>
  <si>
    <t>Rulers</t>
  </si>
  <si>
    <t>Y/N</t>
  </si>
  <si>
    <t>Renamed Buildings to Building Images. Added new Buildings sheet with all building details included for reference.</t>
  </si>
  <si>
    <t>Added new Terrain Improvements sheet with terrain improvements details included for reference.</t>
  </si>
  <si>
    <t>A Watchtower flies your f lag, is a safe place for your patrols, and establishes your power on the frontier. A Watchtower cannot share a hex with a Fort or another Watchtower</t>
  </si>
  <si>
    <t>Version 5.1 (Change, bugfix and update)</t>
  </si>
  <si>
    <t>Added Rulers sheet. See Instructions for details.</t>
  </si>
  <si>
    <t>Enter the Attribute scores and skill ranks for the appropriate skills (if that optional rule is being used) here.</t>
  </si>
  <si>
    <t>Select the character in each Leadership role from the dropdown menu for that role.</t>
  </si>
  <si>
    <t>To create a new City Map sheet (only 2 are included in this sheet), Unhide the "City Map Master" sheet, and select "Move or Copy". In the dalog box, tick the box that says "Make a copy", and select the city sheet you want to put the new map sheet in front of. Click "OK". Then right-click on the new "City Map Master (2)" sheet and rename it.</t>
  </si>
  <si>
    <t>Added City Map Master sheet (hidden) to be used as a template for other city maps. See Instructions for details.</t>
  </si>
  <si>
    <t>Inner Heru on the Paizo forums noticed this one.</t>
  </si>
  <si>
    <t>Again, huge thanks to kridak from the Paizo forums for this addition.</t>
  </si>
  <si>
    <t>Other</t>
  </si>
  <si>
    <t>CR:</t>
  </si>
  <si>
    <t>Version 5.1a (bugfix and update)</t>
  </si>
  <si>
    <t>Removed lot size from Cistern - it can share a lot with other buildings.</t>
  </si>
  <si>
    <t>Added Menagerie CR entry box to all cities. Menagerie now calculates Loyalty bonus. Currently only accounts for one Menagerie. If multiple Menageries exist in the city, they will ALL provide the same loyalty bonus.</t>
  </si>
  <si>
    <t>Updated settlement statistics in all cities - if the settlement has no lots, the settlement statistics are all zero.</t>
  </si>
  <si>
    <t>Starting Economy</t>
  </si>
  <si>
    <t>Starting Stability</t>
  </si>
  <si>
    <t>Other (Perm)</t>
  </si>
  <si>
    <t>Other (Temp)</t>
  </si>
  <si>
    <t>Government Type</t>
  </si>
  <si>
    <t>Autocracy</t>
  </si>
  <si>
    <t>Magocracy</t>
  </si>
  <si>
    <t>Oligarchy</t>
  </si>
  <si>
    <t>Overlord</t>
  </si>
  <si>
    <t>Republic</t>
  </si>
  <si>
    <t>Secret Syndicate</t>
  </si>
  <si>
    <t>Theocracy</t>
  </si>
  <si>
    <t>Form of Government</t>
  </si>
  <si>
    <t>Government</t>
  </si>
  <si>
    <t>Version 5.2 (bugfix and update)</t>
  </si>
  <si>
    <t xml:space="preserve">Added Kingdom Forms of Government. </t>
  </si>
  <si>
    <t>Added Expanded Settlement Modifiers. All 25 city sheets will now use the greater of the kingdom's overall settlement statistics, or the settlement's own, whichever are higher.</t>
  </si>
  <si>
    <t>Bugfix:</t>
  </si>
  <si>
    <t>Fixed Trade Route error which was returning incorrect details in some fields.</t>
  </si>
  <si>
    <t>Enter a kingdom name, size and alignment. Select one relationship - how your kingdom and the other kingdom are linked through third-party kingdoms. Select the target Kingdom's current attitude.</t>
  </si>
  <si>
    <t>If the diplomatic level rises to Treaty, enter the target kingdom's starting Economy, and if the diplomatic level rises to Alliance, enter the target kingdom's starting Stability. The Diplomatic sheet currently assumes balanced diplomacy.</t>
  </si>
  <si>
    <t>Completed Diplomacy Edicts. Target Kingdom now has space for Starting Economy and Stability. See the Instructions sheet for details.</t>
  </si>
  <si>
    <t>Version 5.2a (bugfix)</t>
  </si>
  <si>
    <t>Corrected Improved Weapon army resources - they now correctly modify OM.</t>
  </si>
  <si>
    <t>Version 5.2b (bugfix)</t>
  </si>
  <si>
    <t>Added Law and Lore modifiers to the Monastery.</t>
  </si>
  <si>
    <t>Thanks to Kalnoch on the Paizo forums for spotting this one.</t>
  </si>
  <si>
    <t>3 minor scrolls or wondrous items, 2 medium scrolls or wondrous items</t>
  </si>
  <si>
    <t>Version 5.2c (update &amp; bugfix)</t>
  </si>
  <si>
    <t>Corrected leadership role tooltips on Overall sheet - these now tell you what each role does, instead of just the Rulers.</t>
  </si>
  <si>
    <t>Added Magic item details to Academy in the Buildings sheet. These had gone missing, but have been returned.</t>
  </si>
  <si>
    <t>Update:</t>
  </si>
  <si>
    <t>Titles may now be given to your rulers! These have no effect, and are just there for handy notekeeping.</t>
  </si>
  <si>
    <t>Holy Site</t>
  </si>
  <si>
    <t>Type Multiplier</t>
  </si>
  <si>
    <t>Economy test</t>
  </si>
  <si>
    <t>Loy test</t>
  </si>
  <si>
    <t>Stability test</t>
  </si>
  <si>
    <t>Shrine?</t>
  </si>
  <si>
    <t>If Shrine</t>
  </si>
  <si>
    <t>Deity</t>
  </si>
  <si>
    <t>Version 5.2d (update &amp; bugfix)</t>
  </si>
  <si>
    <t>Deities and Holy Sites optional rule implemented. Please see the Instructions sheet for details.</t>
  </si>
  <si>
    <t>Deities and Holy Sites</t>
  </si>
  <si>
    <t>Each City sheet now has a section below the comments to enter shrines, temples and cathedrals dedicated to specific deities. These currently stack with those shown in the normal buildings section of the sheet. If you are using this rule, do not enter the number of shrines, temples or cathedrals in the building lists.</t>
  </si>
  <si>
    <t>User-defined settlement modifiers. You can now manually add a modifier to each city's settlement statistics.</t>
  </si>
  <si>
    <t>Corrected some more array references to make Open Office conversion easier.</t>
  </si>
  <si>
    <t>Corrected cell references on Overall sheet so that Rulers are less likely to get lost.</t>
  </si>
  <si>
    <t>Added user-defined modifiers to the settlement statistics displayed on the Overall sheet.</t>
  </si>
  <si>
    <t>Version 5.2e (update &amp; bugfix)</t>
  </si>
  <si>
    <t>Corrected the Expanded Settlement Modifiers to correctly display integers on the Overall sheet.</t>
  </si>
  <si>
    <t>Version 5.2f (bugfix)</t>
  </si>
  <si>
    <t>Corrected cell pointers in hidden City Overview sheet. Various settlement modifiers should now be calculating correctly.</t>
  </si>
  <si>
    <t>Thanks to Kestrel.ca on the Paizo forums for identifying and pointing this out to me.</t>
  </si>
  <si>
    <t>Version 5.2g (bugfix)</t>
  </si>
  <si>
    <t>City Summary sheet was incorrectly displaying settlement sizes. This has now been fixed.</t>
  </si>
  <si>
    <t>Version 5.2h (update)</t>
  </si>
  <si>
    <t>Settlement size modifiers optional rule implemented across all 25 city sheets.</t>
  </si>
  <si>
    <t>Fixed loyalty incorrectly calculating in settlements.</t>
  </si>
  <si>
    <t>Thanks again to Inner Heru on the Paizo forums for spotting this one.</t>
  </si>
  <si>
    <t>Feudal Monarchy</t>
  </si>
  <si>
    <t>Version 5.2i (bugfix &amp; update)</t>
  </si>
  <si>
    <t>Added Feudal Monarchy as Government Type, with no modifiers to any statistics</t>
  </si>
  <si>
    <t>Suggestion made by Philip Knowsley on the Paizo forums.</t>
  </si>
  <si>
    <t>Corrected tooltip for Sawmill w/ Resource, which was incorrectly displaying the effects. The calculation was correct, just the tooltip was wrong.</t>
  </si>
  <si>
    <t>Thanks to Philip Knowsley on the Paizo forums for noticing this.</t>
  </si>
  <si>
    <t>Text</t>
  </si>
  <si>
    <t>No modifiers</t>
  </si>
  <si>
    <t>+2 Lore, -1 Productivity, -1 Society</t>
  </si>
  <si>
    <t>+1 Corruption, -1 Lore, -1 Law, +1 Society</t>
  </si>
  <si>
    <t>+1 Corruption, -1 Crime, +1 Law, -1 Society</t>
  </si>
  <si>
    <t>-1 Crime, -1 Law, +1 Productivity, +1 Society</t>
  </si>
  <si>
    <t>+1 Corruption, +1 Crime, -3 Law, +1 Productivity</t>
  </si>
  <si>
    <t>-1 Corruption, +1 Lore, +1 Law, -1 Society</t>
  </si>
  <si>
    <t>Version 5.2j (bugfix)</t>
  </si>
  <si>
    <t>It seems that the priests all forgot how to create magic items if their temple was aligned, and they were also killing off their parishioners. Deities and Holy Sites optional rule corrected to add to population and add magic items to the settlement.</t>
  </si>
  <si>
    <t>Thanks to Jason the Half-GM from the Paizo forums for pointing me in the direction of a big oversight on my part with this rule.</t>
  </si>
  <si>
    <t>Granaries</t>
  </si>
  <si>
    <t>Base Value +1,000 gp</t>
  </si>
  <si>
    <t>Exotic Artisans</t>
  </si>
  <si>
    <t>Version 5.3 (update)</t>
  </si>
  <si>
    <t>The Grand Rebuild. All 25 City sheets now refer to the Buildings sheet when calculating Kingdom and Settlement modifiers from buildings (Special Case: The Deities and Holy Sites Optional rule at the bottom of each City sheet is pulling its own information from elsewhere for Kingdom modifiers). This is to facilitate and simplify adding new buildings to the sheet.</t>
  </si>
  <si>
    <t>Huge thanks to my good friend Gelfar, who sat with me and helped me crunch some of the more complex Excel formulae, and without whom this sheet would not be what it is today.</t>
  </si>
  <si>
    <t>Version 5.3a (bugfix)</t>
  </si>
  <si>
    <t>Corrected incorrect pointer for Leadership dropdown in Rulers sheet.</t>
  </si>
  <si>
    <t>Thanks to Jblues on the Paizo forums for pointing this one out.</t>
  </si>
  <si>
    <t>Open Office Users</t>
  </si>
  <si>
    <t>Known Issue:</t>
  </si>
  <si>
    <t>Open Office does not seem to like fractional CR values being input in the Army sheets. Please use decimal values, as shown on the Instructions sheet.</t>
  </si>
  <si>
    <t>As of the current version, I have been unable to convince Open Office to correctly read Fractional CR values. Please input them as decimals (1/8 = 0.125, 1/6 = 0.167 1/4 = 0.25, 1/3 = 0.333, and 1/2 = 0.5) in the Army sheets.</t>
  </si>
  <si>
    <t>Population Density</t>
  </si>
  <si>
    <t>Version 5.3b (update)</t>
  </si>
  <si>
    <t>User defined population density. The Kingdom sheet now has a cell in which users can define the population density of hexes and lots for their kingdom. Hexes and lots use the same density (default: 250).</t>
  </si>
  <si>
    <t>This one's for Philip Knowsley on the Paizo forums. More precise control will come with Ultimate Rulership.</t>
  </si>
  <si>
    <t>Conditional formatting of the Ruler Kingdom Statistics has been adjusted: Cells will now only highlight in colour if a Kingdom Statistic is present in that cell.</t>
  </si>
  <si>
    <t>This has been bugging me for a while. Finally fixed it.</t>
  </si>
  <si>
    <t>Set a Print Area for the Overall sheet - if you wish to print out a single page, this should now work nicely for you.</t>
  </si>
  <si>
    <t>Adjusted some column widths in the Overall sheet, tidied up a few cell borders, and deleted some unnecessary columns. This sheet now looks a bit tidier.</t>
  </si>
  <si>
    <t>Economy/BP</t>
  </si>
  <si>
    <t>Loyalty/BP</t>
  </si>
  <si>
    <t>Stability/BP</t>
  </si>
  <si>
    <t>Unrest/BP</t>
  </si>
  <si>
    <t>Added "Kingdom Stats per BP" columns to the Buildings sheet - these show the efficiency of the buildings in terms of their cost. Columns for Economy, Loyalty, Stability and Unrest are presented. Min-Max kingdom builders will want to get the lowest Unrest and the highest in the other three.</t>
  </si>
  <si>
    <t>This was suggested by Justabloke on the Paizo forums, and I thought it was a good idea. And I'm going to be building lots of dance halls, by the looks of things.</t>
  </si>
  <si>
    <t>The Kingdom sheet has a cell for entering the Population Density of your kingdom (default 250). This figure affects the population per lot in settlements and per hex in the kingdom as a whole.</t>
  </si>
  <si>
    <t>Some sheets are hidden so you'll need to Unhide them to see/modify their contents.</t>
  </si>
  <si>
    <t>Version 5.3c (bugfix)</t>
  </si>
  <si>
    <t>Aerie</t>
  </si>
  <si>
    <t>+2 bonus to Stability checks against Monster Attacks involving flying monsters.</t>
  </si>
  <si>
    <t>Assembly</t>
  </si>
  <si>
    <t>When you issue an improvement edict, you can build one additional building in the settlement containing this building, or one additional terrain improvement in this settlement's hex or the hexes adjacent to it.</t>
  </si>
  <si>
    <t>Baths</t>
  </si>
  <si>
    <t>Adjacent to Waterway or water border. This limit may be ignored by doubling the cost of the Baths.</t>
  </si>
  <si>
    <t>Bordello</t>
  </si>
  <si>
    <t>Each Bordello causes a -1 penalty to Stability checks to resist Drug Den or Plague events.</t>
  </si>
  <si>
    <t>Brickyard</t>
  </si>
  <si>
    <t>Quarries in the this settlement's hex or adjacent hexes is reduced to 6 BP. Also, quarries in those hexes generate 1 additional BP per 2 quarries. A quarry may only benefit from one Brickyard at a time.</t>
  </si>
  <si>
    <t>Colossus</t>
  </si>
  <si>
    <t>Lighthouse, Monument, Observatory, Park</t>
  </si>
  <si>
    <t>Your Armies in the same hex as the Colossus gain a +1 bonus to Morale. If they are in the settlement, this bonus increases to +2. The Colossus can share the same space as either a Lighthouse or an Observatory</t>
  </si>
  <si>
    <t>Courthouse</t>
  </si>
  <si>
    <t>Crematorium</t>
  </si>
  <si>
    <t>Adjacent to Dump or Graveyard</t>
  </si>
  <si>
    <t>+2 bonus on Stability checks against Plague events or Monster Attacks involving undead.</t>
  </si>
  <si>
    <t>Gambling Den</t>
  </si>
  <si>
    <t>Each Gambling Den causes a -1 penalty to Stability checks to resist Drug Den events.</t>
  </si>
  <si>
    <t>1 Magic item (roll d%: 1-80, minor item; 81-98, medium item; 99-100, major item)</t>
  </si>
  <si>
    <t>An illicit place for games of skill and chance, wagering all manner of stakes.</t>
  </si>
  <si>
    <t>Hanging Gardens</t>
  </si>
  <si>
    <t>Menagerie, Monument, Park, Sacred Grove</t>
  </si>
  <si>
    <t>Reduces consumption in the city by 1.</t>
  </si>
  <si>
    <t>Lighthouse</t>
  </si>
  <si>
    <t>1 per settlement, must be on a water border at the edge of a district grid</t>
  </si>
  <si>
    <t>The cost to create Fisheries in hexes adjacent to the settlement is reduced to 3 BP. Trade routes from settlements with lighthouse count water hexes as one-quarter (rather than one-half) when calculating the Trade Route Length.</t>
  </si>
  <si>
    <t>Lumberyard</t>
  </si>
  <si>
    <t>The cost to construct Sawmills in the settlement hex and hexes adjacent is reduced to 2 BP. Also, Sawmills in those hexes generate 1 additional BP per 2 Sawmills. A Sawmill may only benefit from one Lumberyard.</t>
  </si>
  <si>
    <t>Sacred Grove</t>
  </si>
  <si>
    <t>Adjacent to Park or a city district border with no City Wall or Moat</t>
  </si>
  <si>
    <t>+2 bonus to Stability checks against Crop Failure events or Monster Attacks involving animals, plants or fey. +1 bonus to Stability checks to resist Plague events</t>
  </si>
  <si>
    <t>Tunnels</t>
  </si>
  <si>
    <t>Tunnels are underground and do not occupy a lot on the surface, but each runs underneath one city square of 4 lots. You can pass through the square of an impassable building by moving through the Tunnels underneath it.</t>
  </si>
  <si>
    <t>Warehouse</t>
  </si>
  <si>
    <t>Adjacent to water border or Guildhall, Market, Pier, Trade Shop, or Waterfront</t>
  </si>
  <si>
    <t>Black Market, Guildhall, Market, Pier, Warehouse</t>
  </si>
  <si>
    <t>Pier, Stable, Trade Shop. Warehouse</t>
  </si>
  <si>
    <t>Windmill</t>
  </si>
  <si>
    <t>A Windmill adjacent to a Cistern or Granary increases the Stability bonus provided by that building by +1</t>
  </si>
  <si>
    <t>Minimal</t>
  </si>
  <si>
    <t>Crushing</t>
  </si>
  <si>
    <t>Expansion</t>
  </si>
  <si>
    <t>Isolationist</t>
  </si>
  <si>
    <t>Cautious</t>
  </si>
  <si>
    <t>Imperialist</t>
  </si>
  <si>
    <t>Annual</t>
  </si>
  <si>
    <t>Quarterly</t>
  </si>
  <si>
    <t>Monthly</t>
  </si>
  <si>
    <t>Weekly</t>
  </si>
  <si>
    <t>Hex Claims</t>
  </si>
  <si>
    <t>1d4</t>
  </si>
  <si>
    <t>2d4</t>
  </si>
  <si>
    <t>Holiday</t>
  </si>
  <si>
    <t>1d3</t>
  </si>
  <si>
    <t>1d6</t>
  </si>
  <si>
    <t>1d12</t>
  </si>
  <si>
    <t>Half Consumption</t>
  </si>
  <si>
    <t>1d2</t>
  </si>
  <si>
    <t>Revenue Divisor</t>
  </si>
  <si>
    <t>"Attempt an Economy check, divide the result by the revenue divisor, and add a number of BP to your Treasury equal to the result</t>
  </si>
  <si>
    <t>Version 5.3d (bugfix)</t>
  </si>
  <si>
    <t>The Guildhall is no longer an infinitely thin building, and now takes up the correct number of lots.</t>
  </si>
  <si>
    <t>New Taxation, Holiday and Expansion (replacing Promotion) Edicts have been implemented on the Overall tab.</t>
  </si>
  <si>
    <t>Min Size</t>
  </si>
  <si>
    <t>Max Size</t>
  </si>
  <si>
    <t>Agha</t>
  </si>
  <si>
    <t>Type of Domain</t>
  </si>
  <si>
    <t>Aghalik</t>
  </si>
  <si>
    <t>Baronet</t>
  </si>
  <si>
    <t>Baronetcy</t>
  </si>
  <si>
    <t>Aedile</t>
  </si>
  <si>
    <t>District</t>
  </si>
  <si>
    <t>Landed Knight</t>
  </si>
  <si>
    <t>Estate</t>
  </si>
  <si>
    <t>Aghah</t>
  </si>
  <si>
    <t>Fares</t>
  </si>
  <si>
    <t>Farat</t>
  </si>
  <si>
    <t>Faresah</t>
  </si>
  <si>
    <t>Nan</t>
  </si>
  <si>
    <t>Fief</t>
  </si>
  <si>
    <t>Shizoku</t>
  </si>
  <si>
    <t>Myo</t>
  </si>
  <si>
    <t>Vicar</t>
  </si>
  <si>
    <t>Parish</t>
  </si>
  <si>
    <t>Origin</t>
  </si>
  <si>
    <t>Baron</t>
  </si>
  <si>
    <t>Barony</t>
  </si>
  <si>
    <t>Baroness</t>
  </si>
  <si>
    <t>Bey</t>
  </si>
  <si>
    <t>Beylik</t>
  </si>
  <si>
    <t>Zi</t>
  </si>
  <si>
    <t>County</t>
  </si>
  <si>
    <t>Bishop</t>
  </si>
  <si>
    <t>Hakim</t>
  </si>
  <si>
    <t>Hakimate</t>
  </si>
  <si>
    <t>Hakima</t>
  </si>
  <si>
    <t>Danshaku</t>
  </si>
  <si>
    <t>Myoden</t>
  </si>
  <si>
    <t>Quaestor</t>
  </si>
  <si>
    <t>Section</t>
  </si>
  <si>
    <t>Viscount</t>
  </si>
  <si>
    <t>Viscounty</t>
  </si>
  <si>
    <t>Viscountess</t>
  </si>
  <si>
    <t>Archbishop</t>
  </si>
  <si>
    <t>Archdiocese</t>
  </si>
  <si>
    <t>Count</t>
  </si>
  <si>
    <t>Countess</t>
  </si>
  <si>
    <t>Shishaku</t>
  </si>
  <si>
    <t>Daimyo</t>
  </si>
  <si>
    <t>Tribune</t>
  </si>
  <si>
    <t>Division</t>
  </si>
  <si>
    <t>Earl</t>
  </si>
  <si>
    <t>Earldom</t>
  </si>
  <si>
    <t>Khedive</t>
  </si>
  <si>
    <t>Khedivate</t>
  </si>
  <si>
    <t>Margrave</t>
  </si>
  <si>
    <t>Margravate</t>
  </si>
  <si>
    <t>Margravine</t>
  </si>
  <si>
    <t>Gong</t>
  </si>
  <si>
    <t>Mark</t>
  </si>
  <si>
    <t>Bo</t>
  </si>
  <si>
    <t>Marquis</t>
  </si>
  <si>
    <t>Marquisate</t>
  </si>
  <si>
    <t>Marquess</t>
  </si>
  <si>
    <t>Sheikh</t>
  </si>
  <si>
    <t>Sheikdom</t>
  </si>
  <si>
    <t>Shaykhah</t>
  </si>
  <si>
    <t>Satrap</t>
  </si>
  <si>
    <t>Satrapy</t>
  </si>
  <si>
    <t>Pasha</t>
  </si>
  <si>
    <t>Pashalik</t>
  </si>
  <si>
    <t>Bashaw</t>
  </si>
  <si>
    <t>Beglerberg</t>
  </si>
  <si>
    <t>Beylerbeylik</t>
  </si>
  <si>
    <t>Beylerbey</t>
  </si>
  <si>
    <t>Koshaku</t>
  </si>
  <si>
    <t>Daimyoden</t>
  </si>
  <si>
    <t>Duke</t>
  </si>
  <si>
    <t>Duchy</t>
  </si>
  <si>
    <t>Duchess</t>
  </si>
  <si>
    <t>Emir</t>
  </si>
  <si>
    <t>Emirate</t>
  </si>
  <si>
    <t>Emira</t>
  </si>
  <si>
    <t>Ilkhan</t>
  </si>
  <si>
    <t>Khanate</t>
  </si>
  <si>
    <t>Ilkhanum</t>
  </si>
  <si>
    <t>Di</t>
  </si>
  <si>
    <t>Kingdom</t>
  </si>
  <si>
    <t>Wang</t>
  </si>
  <si>
    <t>Prince</t>
  </si>
  <si>
    <t>Principality</t>
  </si>
  <si>
    <t>Princess</t>
  </si>
  <si>
    <t>Praetor</t>
  </si>
  <si>
    <t>Province</t>
  </si>
  <si>
    <t>Maharajkumar</t>
  </si>
  <si>
    <t>Rajku</t>
  </si>
  <si>
    <t>Maharajkumari</t>
  </si>
  <si>
    <t>Censor</t>
  </si>
  <si>
    <t>See</t>
  </si>
  <si>
    <t>Shahzada</t>
  </si>
  <si>
    <t>Shahdom</t>
  </si>
  <si>
    <t>Shahdokht</t>
  </si>
  <si>
    <t>Khan</t>
  </si>
  <si>
    <t>Khanum</t>
  </si>
  <si>
    <t>Bawang</t>
  </si>
  <si>
    <t>King</t>
  </si>
  <si>
    <t>Queen</t>
  </si>
  <si>
    <t>Malik</t>
  </si>
  <si>
    <t>Mamlaka</t>
  </si>
  <si>
    <t>Malikah</t>
  </si>
  <si>
    <t>Prelate</t>
  </si>
  <si>
    <t>Prelacy</t>
  </si>
  <si>
    <t>Rajah</t>
  </si>
  <si>
    <t>Raj</t>
  </si>
  <si>
    <t>Rani</t>
  </si>
  <si>
    <t>Consul</t>
  </si>
  <si>
    <t>Archon</t>
  </si>
  <si>
    <t>Shah</t>
  </si>
  <si>
    <t>Shahbanu</t>
  </si>
  <si>
    <t>Shogun</t>
  </si>
  <si>
    <t>Shogunate</t>
  </si>
  <si>
    <t>Sultan</t>
  </si>
  <si>
    <t>Sultanate</t>
  </si>
  <si>
    <t>Sultana</t>
  </si>
  <si>
    <t>Archprelate</t>
  </si>
  <si>
    <t>Archprelacy</t>
  </si>
  <si>
    <t>Pontif</t>
  </si>
  <si>
    <t>Caliph</t>
  </si>
  <si>
    <t>Caliphate</t>
  </si>
  <si>
    <t>Calipha</t>
  </si>
  <si>
    <t>Emperor</t>
  </si>
  <si>
    <t>Empire</t>
  </si>
  <si>
    <t>Empress</t>
  </si>
  <si>
    <t>Huangdi</t>
  </si>
  <si>
    <t>Hou Di</t>
  </si>
  <si>
    <t>Imperator</t>
  </si>
  <si>
    <t>Tyrant</t>
  </si>
  <si>
    <t>Tenno</t>
  </si>
  <si>
    <t>Mikado</t>
  </si>
  <si>
    <t>Padishah</t>
  </si>
  <si>
    <t>Padishabanu</t>
  </si>
  <si>
    <t>Khakhan</t>
  </si>
  <si>
    <t>Khatan</t>
  </si>
  <si>
    <t>Maharaja</t>
  </si>
  <si>
    <t>Maharaj</t>
  </si>
  <si>
    <t>Maharani</t>
  </si>
  <si>
    <t>Honorific</t>
  </si>
  <si>
    <t>Gender</t>
  </si>
  <si>
    <t>Male</t>
  </si>
  <si>
    <t>Female</t>
  </si>
  <si>
    <t>Both</t>
  </si>
  <si>
    <t>Distinguished Servant</t>
  </si>
  <si>
    <t>Master</t>
  </si>
  <si>
    <t>Mistress</t>
  </si>
  <si>
    <t>Lord</t>
  </si>
  <si>
    <t>Agha (append)</t>
  </si>
  <si>
    <t>Aghah (append)</t>
  </si>
  <si>
    <t>Honorable Lady</t>
  </si>
  <si>
    <t>Honorable Sir</t>
  </si>
  <si>
    <t>Lady</t>
  </si>
  <si>
    <t>Sir</t>
  </si>
  <si>
    <t>Reverend (prepend)</t>
  </si>
  <si>
    <t>-san (suffix)</t>
  </si>
  <si>
    <t>His Lordship</t>
  </si>
  <si>
    <t>Her Ladyship</t>
  </si>
  <si>
    <t>Bey (append)</t>
  </si>
  <si>
    <t>Most Reverend (prepend)</t>
  </si>
  <si>
    <t>Diocese</t>
  </si>
  <si>
    <t>-sama (suffix)</t>
  </si>
  <si>
    <t>Honored Servant</t>
  </si>
  <si>
    <t>His Excellency</t>
  </si>
  <si>
    <t>Her Excellency</t>
  </si>
  <si>
    <t>-dono (suffix)</t>
  </si>
  <si>
    <t>Voice of the Republic</t>
  </si>
  <si>
    <t>His Honorable Lordship</t>
  </si>
  <si>
    <t>Her Honorable Ladyship</t>
  </si>
  <si>
    <t>His Highborn Lordship</t>
  </si>
  <si>
    <t>Her Highborn Ladyship</t>
  </si>
  <si>
    <t>August Master</t>
  </si>
  <si>
    <t>His Illustriousness</t>
  </si>
  <si>
    <t>Her Illustriousness</t>
  </si>
  <si>
    <t>His Eminence</t>
  </si>
  <si>
    <t>Her Eminence</t>
  </si>
  <si>
    <t>Pasha (append)</t>
  </si>
  <si>
    <t>Bashaw (append)</t>
  </si>
  <si>
    <t>Bey of Beys (append)</t>
  </si>
  <si>
    <t>-tono (suffix)</t>
  </si>
  <si>
    <t>His Grace</t>
  </si>
  <si>
    <t>Her Grace</t>
  </si>
  <si>
    <t>His Radiance</t>
  </si>
  <si>
    <t>Her Radiance</t>
  </si>
  <si>
    <t>Ilkhan (append)</t>
  </si>
  <si>
    <t>Ilkhanum (append)</t>
  </si>
  <si>
    <t>Sovereign</t>
  </si>
  <si>
    <t>His Highness</t>
  </si>
  <si>
    <t>Her Highness</t>
  </si>
  <si>
    <t>Servant of the Republic</t>
  </si>
  <si>
    <t>Khan (append)</t>
  </si>
  <si>
    <t>Khanum (append)</t>
  </si>
  <si>
    <t>August Sovereign</t>
  </si>
  <si>
    <t>His Majesty</t>
  </si>
  <si>
    <t>Her Majesty</t>
  </si>
  <si>
    <t>His Magnificence</t>
  </si>
  <si>
    <t>Her Magnificence</t>
  </si>
  <si>
    <t>His Reverence</t>
  </si>
  <si>
    <t>Her Reverence</t>
  </si>
  <si>
    <t>His Royal Highness</t>
  </si>
  <si>
    <t>Her Royal Highness</t>
  </si>
  <si>
    <t>Speaker for the Republic</t>
  </si>
  <si>
    <t>-dokoro (suffix)</t>
  </si>
  <si>
    <t>His Honored Highness</t>
  </si>
  <si>
    <t>Her Honored Highness</t>
  </si>
  <si>
    <t>His Holiness</t>
  </si>
  <si>
    <t>Her Holiness</t>
  </si>
  <si>
    <t>His Worship</t>
  </si>
  <si>
    <t>Her Worship</t>
  </si>
  <si>
    <t>His Imperial Majesty</t>
  </si>
  <si>
    <t>Her Imperial Majesty</t>
  </si>
  <si>
    <t>Son of Heaven</t>
  </si>
  <si>
    <t>Daughter of Heaven</t>
  </si>
  <si>
    <t>Imperious Rex</t>
  </si>
  <si>
    <t>Heavenly Sovereign</t>
  </si>
  <si>
    <t>His Great Majesty</t>
  </si>
  <si>
    <t>Her Great Majesty</t>
  </si>
  <si>
    <t>Khakhan (append)</t>
  </si>
  <si>
    <t>Khatan (append)</t>
  </si>
  <si>
    <t>His Supreme Highness</t>
  </si>
  <si>
    <t>Her Supreme Highness</t>
  </si>
  <si>
    <t>Custom Rank</t>
  </si>
  <si>
    <t>Custom Honorific</t>
  </si>
  <si>
    <t>Added Titles from Ultimate Rulership, see Instructions sheet for details.</t>
  </si>
  <si>
    <t>Rank and Honorifics</t>
  </si>
  <si>
    <t>Ultimate Rulership introduces a large number of real-world ranks (titles) and honorifics. To allow these to be used appropriately in this sheet, the Rulers tab now has a Gender column - all rulers should have their gender entered in here. Selecting an appropriate rank from the Rank column's dropdown list will generate an appropriate honorific for the character. Some of the ranks are listed twice - if the honorific shows an error, select the other version of the rank, as this indicates a mismatch between the gender of the character and the rank chosen. By default the ranks have Male versions listed before Female versions. It is also possible to create your own ranks and honorifics using the "Custom Rank" and "Custom Honorific" columns - these will override anything selected in the pre-defined columns when viewed on the Overall tab.</t>
  </si>
  <si>
    <r>
      <t xml:space="preserve">Press F9 to update any calculations </t>
    </r>
    <r>
      <rPr>
        <strike/>
        <sz val="11"/>
        <color theme="1"/>
        <rFont val="Calibri"/>
        <family val="2"/>
        <scheme val="minor"/>
      </rPr>
      <t>or generate a random Event</t>
    </r>
    <r>
      <rPr>
        <sz val="11"/>
        <color theme="1"/>
        <rFont val="Calibri"/>
        <family val="2"/>
        <scheme val="minor"/>
      </rPr>
      <t xml:space="preserve">. </t>
    </r>
    <r>
      <rPr>
        <strike/>
        <sz val="11"/>
        <color theme="1"/>
        <rFont val="Calibri"/>
        <family val="2"/>
        <scheme val="minor"/>
      </rPr>
      <t>This has been enabled to ensure modifications to the Overall sheet do not automatically generate a new random event each time.</t>
    </r>
  </si>
  <si>
    <t>Building Images for the new building types have been added to the Building Images tab (known issue: There is currently no Windmill image). These images are used with permission.</t>
  </si>
  <si>
    <t>Huge thanks to Jason Nelson of Legendary Games for allowing the use of Product Identity images in this spreadsheet.</t>
  </si>
  <si>
    <t>New Buildings from Ultimate Rulership have been added to all cities and the Building tab.</t>
  </si>
  <si>
    <t>Pending: Some of the Special features of the new building types have not yet been implemented.</t>
  </si>
  <si>
    <t>Version 5.3e (bugfix)</t>
  </si>
  <si>
    <t>The Magic Shop and Market are now selling the correct kinds of items.</t>
  </si>
  <si>
    <t>Version 5.4 (Ultimate Rulership)</t>
  </si>
  <si>
    <t>Special thanks go to Jason Nelson of Legendary Games for creating this expansion to the Ultimate Campaign Kingdom rules.</t>
  </si>
  <si>
    <t>Version 5.4a (Ultimate Rulership)</t>
  </si>
  <si>
    <t>Windmill added to the Building Images sheet.</t>
  </si>
  <si>
    <t>Massive thanks to Philip Knowsley from the Paizo forums for putting in the hard work I couldn't possibly hope to achieve in producing an excellent modification to the Alchemist's Lab which is now our Windmill.</t>
  </si>
  <si>
    <t>The City Summary should now be displaying the correct buildings in the Major Buildings listings.</t>
  </si>
  <si>
    <t>Thanks to Marik Whiterose on the Paizo forums for identifying this one for me.</t>
  </si>
  <si>
    <t>Cavern</t>
  </si>
  <si>
    <t>Cold</t>
  </si>
  <si>
    <t>Desert</t>
  </si>
  <si>
    <t>Forest</t>
  </si>
  <si>
    <t>Jungle</t>
  </si>
  <si>
    <t>Hills</t>
  </si>
  <si>
    <t>Mountains</t>
  </si>
  <si>
    <t>Plains</t>
  </si>
  <si>
    <t>Swamp</t>
  </si>
  <si>
    <t>Cavern + River/Coast</t>
  </si>
  <si>
    <t>Cavern + River &amp; Coast</t>
  </si>
  <si>
    <t>Cold + River/Coast</t>
  </si>
  <si>
    <t>Cold + River &amp; Coast</t>
  </si>
  <si>
    <t>Desert + River/Coast</t>
  </si>
  <si>
    <t>Desert + River &amp; Coast</t>
  </si>
  <si>
    <t>Forest + River/Coast</t>
  </si>
  <si>
    <t>Forest + River &amp; Coast</t>
  </si>
  <si>
    <t>Jungle + River/Coast</t>
  </si>
  <si>
    <t>Jungle + River &amp; Coast</t>
  </si>
  <si>
    <t>Hills + River/Coast</t>
  </si>
  <si>
    <t>Hills + River &amp; Coast</t>
  </si>
  <si>
    <t>Mountains + River/Coast</t>
  </si>
  <si>
    <t>Mountains + River &amp; Coast</t>
  </si>
  <si>
    <t>Plains + River/Coast</t>
  </si>
  <si>
    <t>Plains + River &amp; Coast</t>
  </si>
  <si>
    <t>Swamp + River/Coast</t>
  </si>
  <si>
    <t>Swamp + River &amp; Coast</t>
  </si>
  <si>
    <t>Base Population</t>
  </si>
  <si>
    <t>Fisheries</t>
  </si>
  <si>
    <t>Hex Population</t>
  </si>
  <si>
    <t>Pop</t>
  </si>
  <si>
    <t>Town</t>
  </si>
  <si>
    <t>City</t>
  </si>
  <si>
    <t>Min Base Value</t>
  </si>
  <si>
    <t>Max Base Value</t>
  </si>
  <si>
    <t>Settlement modifiers now calculating as per Ultimate Rulership.</t>
  </si>
  <si>
    <t>Settlement Sizes now calculating as per Ultimate Rulership.</t>
  </si>
  <si>
    <t>Settlement Base Values now calculating as per Ultimate Rulership.</t>
  </si>
  <si>
    <t>Version 5.4b (Ultimate Rulership)</t>
  </si>
  <si>
    <t>Population now calculating as per Ultimate Rulership for hexes and Cities.</t>
  </si>
  <si>
    <t>For hex populations, I have included the ability to alter the base population of a terrain type. See the Instructions sheet for details.</t>
  </si>
  <si>
    <t>Kingdom Terrain and Improvements</t>
  </si>
  <si>
    <t>The Kingdom sheet contains two sets of information about the hexes in the kingdom. The single-column details modify the Kingdom Statistics, based on the contents of the hex. The larger matrix is used for calculating the hex populations - if there is a mismatch between the improvements listed on the single-column and the matrix, the total at the bottom of the matrix column will turn red. To ensure that the kingdom statistics and population are correctly calculated, the single-column and matrix both need to be completed.</t>
  </si>
  <si>
    <t>The previous bugfix to the City Summary Major Buildings details didn't work. Should now be fixed.</t>
  </si>
  <si>
    <t>Corrected cell pointers on a large number of cells in the city sheets - your settlements should now have correct settlement statistics and magic items.</t>
  </si>
  <si>
    <t>Settlement modifiers are now correctly calculating for settlements of Metropolis size.</t>
  </si>
  <si>
    <t>The City Summary should no longer be showing incorrect major buildings and magic items. I promise. Pinky swear.</t>
  </si>
  <si>
    <t>Version 5.4c (Ultimate Rulership) Bugfix</t>
  </si>
  <si>
    <t>The ability to customise your hex base population levels is also included - hexes with rivers or coast will automatically have double the population entered, and hexes with rivers and coast will have triple the population entered. The default base population levels are those from Ultimate Rulership.</t>
  </si>
  <si>
    <t>Version 5.4d (Ultimate Rulership) Bugfix</t>
  </si>
  <si>
    <t>Corrected City Summary sheet (again). It will now be telling you the correct type of settlement.</t>
  </si>
  <si>
    <t>Corrected a number of cell pointers that could affect the Kingdom's overall Settlement Statistics, as well as prevent Trade edicts that should be possible.</t>
  </si>
  <si>
    <t>Version 5.4e (Ultimate Rulership) Bugfix &amp; Update</t>
  </si>
  <si>
    <t>Adjusted consumption calculation on Overall sheet to display negative consumption. This is to help make tracking variable consumption figures easier.</t>
  </si>
  <si>
    <t>Corrected an issue with Expansion edicts modifiers to kingdom statistics.</t>
  </si>
  <si>
    <t>Thanks to Kryx on the Paizo forums for spotting this one.</t>
  </si>
  <si>
    <t>Watchtower w/ Lair</t>
  </si>
  <si>
    <t>Fort w/ Lair</t>
  </si>
  <si>
    <t>Version 5.4f (Ultimate Rulership) Bugfix &amp; Update</t>
  </si>
  <si>
    <t>Added Fort with Lair and Watchtower with Lair to the Kingdom sheet.</t>
  </si>
  <si>
    <t>This one's Kryx's suggestion, however, see Known issues, below.</t>
  </si>
  <si>
    <t>Defense is not a Kingdom-wide statistic - it applies only to Forts, Watchtowers, and Settlements within a particular hex.</t>
  </si>
  <si>
    <t>Natural Advantages</t>
  </si>
  <si>
    <t>Fertile Land &amp; Abundant Water</t>
  </si>
  <si>
    <t>Natural Crossroads</t>
  </si>
  <si>
    <t>Natural Fortifications</t>
  </si>
  <si>
    <t>Exotic Settlements</t>
  </si>
  <si>
    <t>Barge City</t>
  </si>
  <si>
    <t>Causeway City</t>
  </si>
  <si>
    <t>Cavern City</t>
  </si>
  <si>
    <t>Cliff Dwelling</t>
  </si>
  <si>
    <t>Treetop City</t>
  </si>
  <si>
    <t>Underwater City</t>
  </si>
  <si>
    <t>Marsh</t>
  </si>
  <si>
    <t>Water</t>
  </si>
  <si>
    <t>Version 5.4g (Ultimate Rulership) Bugfix</t>
  </si>
  <si>
    <t>Corrected Fame calculation</t>
  </si>
  <si>
    <t>Thanks to Lethimer on the Paizo forums for spotting this long-standing bug.</t>
  </si>
  <si>
    <t>Ultimate Campaign Core</t>
  </si>
  <si>
    <t>Ultimate Campaign Optional</t>
  </si>
  <si>
    <t>Ultimate Rulership Optional</t>
  </si>
  <si>
    <t>Tarondor Variant</t>
  </si>
  <si>
    <t>Attribute Bonuses Only</t>
  </si>
  <si>
    <t>Attribute Bonuses plus 1/5 skill ranks</t>
  </si>
  <si>
    <t>Flat bonus plus 1/3 skill ranks</t>
  </si>
  <si>
    <t>Better of Attribute Bonus or Flat bonus plus 1/3 skill ranks</t>
  </si>
  <si>
    <t>Skill Focus</t>
  </si>
  <si>
    <t>Leadership Skills</t>
  </si>
  <si>
    <t>Knowledge (Nobility)</t>
  </si>
  <si>
    <t>Knowledge (Local)</t>
  </si>
  <si>
    <t>Profession (Soldier)</t>
  </si>
  <si>
    <t>Knowledge (Religion)</t>
  </si>
  <si>
    <t>Knowledge (Arcana)</t>
  </si>
  <si>
    <t>Profession (Merchant)</t>
  </si>
  <si>
    <t>Knowledge (Geography)</t>
  </si>
  <si>
    <t>Knowedge (Engineering)</t>
  </si>
  <si>
    <t>Attribute Calculator</t>
  </si>
  <si>
    <t>Version 5.4h (Ultimate Rulership) Update</t>
  </si>
  <si>
    <t>A new dropdown exists on the Ruler sheet, allowing users to define which Leadership bonus rules they are using. The choices are Ultimate Campaign Core (Attributes only), Ultimate Campaign Optional (Attributes plus 1/5 ranks in certain skills), Ultimate Rulership Optional (2+1/3 ranks in those skills), and the Tarondor Variant Rule (Better of Ultimate Campaign Core and Ultimate Rulership Optional).</t>
  </si>
  <si>
    <t>Thanks to Tarondor on the Paizo forums for posting about this. This one's for you.</t>
  </si>
  <si>
    <t>Version 5.4i (Ultimate Rulership) Bugfix</t>
  </si>
  <si>
    <t>Corrected some formulae on the Overall sheet that meant some Leader bonuses were calculating incorrectly in some cases.</t>
  </si>
  <si>
    <t>Thanks to Kord_Avatar on the Paizo forums for finding this one. Well spotted!</t>
  </si>
  <si>
    <t>Empty</t>
  </si>
  <si>
    <t>Version 5.4j (Ultimate Rulership) Update</t>
  </si>
  <si>
    <t>As was quite rightly pointed out, the population matrix wasn't able to handle hexes with no terrain improvements. This has been corrected.</t>
  </si>
  <si>
    <t>Thanks again to Lethimer on the Paizo forums for pointing this issue out.</t>
  </si>
  <si>
    <t>Version 5.4k (Ultimate Rulership) Bugfix</t>
  </si>
  <si>
    <t>For some reason, the second ruler position wasn't looking in the right place. Fixed, now, and second rulers will start adding bonuses to the kingdom again.</t>
  </si>
  <si>
    <t>Thanks to T.A.U. on the Paizo forums for noticing this one.</t>
  </si>
  <si>
    <t>Sawmill adjacent to Lumberyard</t>
  </si>
  <si>
    <t>Sawmill w/ Resource adjacent to Lumberyard</t>
  </si>
  <si>
    <t>Quarry adjacent to Brickyard</t>
  </si>
  <si>
    <t>Quarry w/ Resource adjacent to Brickyard</t>
  </si>
  <si>
    <t>Coastline</t>
  </si>
  <si>
    <t>River &amp; Coastline</t>
  </si>
  <si>
    <t>Exotic Settlement</t>
  </si>
  <si>
    <t>Terrain Factor</t>
  </si>
  <si>
    <t>Defence</t>
  </si>
  <si>
    <t>Diplomatic Relationship Modifier</t>
  </si>
  <si>
    <t>Version 5.4l (Ultimate Rulership) Update</t>
  </si>
  <si>
    <t>Kingdom tab: Added effects of Brickyard and Lumberyard to terrain improvements.
City tabs: It is now possible to select underlying terrain (split into two types, general terrain (for reference only), and water (which affects population)), natural advantages, and exotic settlement types to a settlement.</t>
  </si>
  <si>
    <t>Berhagen (you'll see his name right at the top of this page, and it's him we have to thank for EVERYTHING in this sheet) pointed out that the Lumberyard modification was missing from the Kingdom tab, I also spotted that the Brickyard was likewise missing.</t>
  </si>
  <si>
    <t>Theatre</t>
  </si>
  <si>
    <t>Version 5.4m (Ultimate Rulership) Update</t>
  </si>
  <si>
    <t>Endowment tab: Endowment edicts may now be recorded on the Endowments tab. They will correctly affect kingdom statistics. There are not currently any error correction features in place to check that the buildings actually exist in the settlements in question.</t>
  </si>
  <si>
    <t>Militarism</t>
  </si>
  <si>
    <t>Manpower</t>
  </si>
  <si>
    <t>Elites</t>
  </si>
  <si>
    <t>Militia</t>
  </si>
  <si>
    <t>Recruitment</t>
  </si>
  <si>
    <t>Pacifist</t>
  </si>
  <si>
    <t>Peaceful</t>
  </si>
  <si>
    <t>Warlike</t>
  </si>
  <si>
    <t>Number of troops</t>
  </si>
  <si>
    <t>Troops</t>
  </si>
  <si>
    <t>Max Personnel</t>
  </si>
  <si>
    <t>% Military</t>
  </si>
  <si>
    <t>Max % Military</t>
  </si>
  <si>
    <t>Exceeded Military</t>
  </si>
  <si>
    <t>Version 5.4n (Ultimate Rulership) Bugfix &amp; Update</t>
  </si>
  <si>
    <t>Terrain, natural advantages, and exotic settlement cells were locked (oops). Now unlocked, and drop-downs should work correctly.</t>
  </si>
  <si>
    <t>Added first draft of recruitment edicts. See Instructions sheet for details.</t>
  </si>
  <si>
    <t>Thanks to Evil Midnight Lurker on the Paizo forums for pointing this one out.</t>
  </si>
  <si>
    <t>Recruitment Edicts from Ultimate Rulership have their own tab (currently a first draft), which shows the maximum recruited military size, the maximum number of elite soldiers, the currently recruited army size and allows user input on the number of recruited militia. If the size of the army plus militia exceeds the Manpower number, a Loyalty penalty applies to the kingdom.</t>
  </si>
  <si>
    <r>
      <t>Not yet implemented</t>
    </r>
    <r>
      <rPr>
        <sz val="11"/>
        <color theme="1"/>
        <rFont val="Calibri"/>
        <family val="2"/>
        <scheme val="minor"/>
      </rPr>
      <t>: Modifications to settlement/fort/watchtower defense and settlement society from recruitment edicts.</t>
    </r>
  </si>
  <si>
    <t>This includes additional cities and army sheets.</t>
  </si>
  <si>
    <t>Corrected an issue with consumption when multiple dice expressions from edicts were applicable at once.</t>
  </si>
  <si>
    <t>Thanks to Gabrial Goodfellow on the Paizo forums for noticing this one (obviously his party are very aggressive, but love a good party).</t>
  </si>
  <si>
    <t>Column1</t>
  </si>
  <si>
    <t>Column2</t>
  </si>
  <si>
    <t>Sorting the buildings sheet should now work correctly.</t>
  </si>
  <si>
    <t>This is another one Gabrial Goodfellow pointed out.</t>
  </si>
  <si>
    <t>Version 5.4o (Ultimate Rulership) Bugfix &amp; Update</t>
  </si>
  <si>
    <t>Known Issues:</t>
  </si>
  <si>
    <t>Settlements of City size and larger aren't charging the correct consumption. This will be fixed in a future update.</t>
  </si>
  <si>
    <t>Some buildings which increase Fame are not correctly increasing Fame.</t>
  </si>
  <si>
    <t>Thanks to Galleazo on the Paizo forums for flagging these important details. These will be corrected in a future update.</t>
  </si>
  <si>
    <t>Graveyards</t>
  </si>
  <si>
    <t>Shrines</t>
  </si>
  <si>
    <t>Festival Type</t>
  </si>
  <si>
    <t>Success Level</t>
  </si>
  <si>
    <t>Civic</t>
  </si>
  <si>
    <t>Festival Success</t>
  </si>
  <si>
    <t>Successful</t>
  </si>
  <si>
    <t>Outstanding</t>
  </si>
  <si>
    <t>Religious</t>
  </si>
  <si>
    <t>Version 5.4p (Ultimate Rulership) Bugfix</t>
  </si>
  <si>
    <t>Corrected Ultimate Rulership consumption rules - all buildings which add fame are correctly doing so, and also now add consumption, and consumption is now correct for settlements of different sizes.</t>
  </si>
  <si>
    <t>The long-awaited fix for the issues Galleazo identified.</t>
  </si>
  <si>
    <t>Size Index</t>
  </si>
  <si>
    <t>ACR Calculated</t>
  </si>
  <si>
    <t>Version 5.4q (Ultimate Rulership) Bugfix</t>
  </si>
  <si>
    <t>Armies with ACR lower than 1 were not calculating ACR correctly.</t>
  </si>
  <si>
    <t>Thanks to Curghann on the Paizo forums for pointing me towards this one.</t>
  </si>
  <si>
    <t>Version 5.4r (Ultimate Rulership) Bugfix</t>
  </si>
  <si>
    <t>Corrected consumption for settlements containing Hanging Gardens.</t>
  </si>
  <si>
    <t>Added "Total" column to the Kingdom hex matrix, and re-calculated the formulae. The kingdom's population should now calculate correctly.</t>
  </si>
  <si>
    <t>Thanks to Galleazo on the Paizo forums for spotting these.</t>
  </si>
  <si>
    <t>Update (unworthy of full build number):</t>
  </si>
  <si>
    <t>Removed some extraneous data from a couple of the city sheets.</t>
  </si>
  <si>
    <t>Added tooltip to Overall sheet and Kingdom sheet (Kingdom Name and Hexes input cells, respectively), to display the improvements edict table on mouseover. Similar charts will be forthcoming for the City sheets in the near future.</t>
  </si>
  <si>
    <t xml:space="preserve">As requested by... Lots of people, really. </t>
  </si>
  <si>
    <t>Settlement Attributes</t>
  </si>
  <si>
    <t>Abundant</t>
  </si>
  <si>
    <t>City of the Dead</t>
  </si>
  <si>
    <t>Defensible</t>
  </si>
  <si>
    <t>Famed Breeders</t>
  </si>
  <si>
    <t>Majestic</t>
  </si>
  <si>
    <t>Racial Enclave</t>
  </si>
  <si>
    <t>Resettled Ruins</t>
  </si>
  <si>
    <t>Slumbering Monster</t>
  </si>
  <si>
    <t>Small-Folk Settlement</t>
  </si>
  <si>
    <t>Strategic Location</t>
  </si>
  <si>
    <t>Under-City</t>
  </si>
  <si>
    <t>Untamed</t>
  </si>
  <si>
    <t>Abstinent</t>
  </si>
  <si>
    <t>Decadent</t>
  </si>
  <si>
    <t>Insular</t>
  </si>
  <si>
    <t>Morally Permissive</t>
  </si>
  <si>
    <t>Pious</t>
  </si>
  <si>
    <t>Racially Intolerant</t>
  </si>
  <si>
    <t>Religious Tolerance</t>
  </si>
  <si>
    <t>Romantic</t>
  </si>
  <si>
    <t>Sexist</t>
  </si>
  <si>
    <t>Superstitious</t>
  </si>
  <si>
    <t>Academic</t>
  </si>
  <si>
    <t>Artist's Colony</t>
  </si>
  <si>
    <t>Asylum</t>
  </si>
  <si>
    <t>Cruel Watch</t>
  </si>
  <si>
    <t>Financial Center</t>
  </si>
  <si>
    <t>Free City</t>
  </si>
  <si>
    <t>Gambling</t>
  </si>
  <si>
    <t>Good Roads</t>
  </si>
  <si>
    <t>Guilds</t>
  </si>
  <si>
    <t>Legendary Marketplace</t>
  </si>
  <si>
    <t>Notorious</t>
  </si>
  <si>
    <t>Peacebonding</t>
  </si>
  <si>
    <t>Planned Community</t>
  </si>
  <si>
    <t>Population Surge</t>
  </si>
  <si>
    <t>Prosperous</t>
  </si>
  <si>
    <t>Royal Accommodations</t>
  </si>
  <si>
    <t>Rumormongering Citizens</t>
  </si>
  <si>
    <t>Rural</t>
  </si>
  <si>
    <t>Sacred Animals</t>
  </si>
  <si>
    <t>Therapeutic</t>
  </si>
  <si>
    <t>Tourist Attraction</t>
  </si>
  <si>
    <t>Trading Post</t>
  </si>
  <si>
    <t>Well Educated</t>
  </si>
  <si>
    <t>Base Value Flat</t>
  </si>
  <si>
    <t>Base Value Mult</t>
  </si>
  <si>
    <t>Spellcasting (Arcane)</t>
  </si>
  <si>
    <t>Spellcasting (Divine)</t>
  </si>
  <si>
    <t>Purchase Limit Mult</t>
  </si>
  <si>
    <t>Animal Polyglot</t>
  </si>
  <si>
    <t>Anthropomorphizing</t>
  </si>
  <si>
    <t>Eldritch</t>
  </si>
  <si>
    <t>God Ruled</t>
  </si>
  <si>
    <t>Living Forest</t>
  </si>
  <si>
    <t>Magically Attuned</t>
  </si>
  <si>
    <t>Magical Polyglot</t>
  </si>
  <si>
    <t>Phantasmal</t>
  </si>
  <si>
    <t>Planar Crossroads</t>
  </si>
  <si>
    <t>Pocket Universe</t>
  </si>
  <si>
    <t>Unaging</t>
  </si>
  <si>
    <t>Unholy Site</t>
  </si>
  <si>
    <t>Hallow/Unhallow</t>
  </si>
  <si>
    <t>Value Mult</t>
  </si>
  <si>
    <t>Purchase Limit</t>
  </si>
  <si>
    <t>Purchase Mult</t>
  </si>
  <si>
    <t>Spellcasting (A)</t>
  </si>
  <si>
    <t>Spellcasting (D)</t>
  </si>
  <si>
    <t>Magical Improvements</t>
  </si>
  <si>
    <t>Animated Automation</t>
  </si>
  <si>
    <t>Must be attached to a building which provides a bonus to Productivity</t>
  </si>
  <si>
    <t>Deathless Laborers</t>
  </si>
  <si>
    <t>Forbiddance</t>
  </si>
  <si>
    <t>Prerequisite: Cathedral. Unrest increases by 1d4.</t>
  </si>
  <si>
    <t>Prerequisite: Cathedral, Sacred Grove, or Temple</t>
  </si>
  <si>
    <t>Prerequisite: Caster's Tower</t>
  </si>
  <si>
    <t>Permanent Teleportation Circle</t>
  </si>
  <si>
    <t>Prerequisite: Caster's Tower, Magic Shop, and Magical Academy</t>
  </si>
  <si>
    <t>Private Sanctum</t>
  </si>
  <si>
    <t>Increase the DC of Espionage Edicts against your kingdom by +2 per block. Prerequisites: Caster's Tower and Magical Academy</t>
  </si>
  <si>
    <t>Magical Alarms</t>
  </si>
  <si>
    <t>Deep Water</t>
  </si>
  <si>
    <t>Type of Event</t>
  </si>
  <si>
    <t>Kingdom Event (choose a random hex)</t>
  </si>
  <si>
    <t>01-50</t>
  </si>
  <si>
    <t>51-00</t>
  </si>
  <si>
    <t>Settlement Event (choose a random settlement)</t>
  </si>
  <si>
    <t>Danger Level of Event</t>
  </si>
  <si>
    <t>less than 1</t>
  </si>
  <si>
    <r>
      <t>Reroll* plus bonus event</t>
    </r>
    <r>
      <rPr>
        <vertAlign val="superscript"/>
        <sz val="11"/>
        <color theme="1"/>
        <rFont val="Calibri"/>
        <family val="2"/>
        <scheme val="minor"/>
      </rPr>
      <t>1</t>
    </r>
  </si>
  <si>
    <t>Beneficial Event</t>
  </si>
  <si>
    <t>Dangerous Event</t>
  </si>
  <si>
    <t>Over 100</t>
  </si>
  <si>
    <r>
      <t>Reroll* plus bonus event</t>
    </r>
    <r>
      <rPr>
        <vertAlign val="superscript"/>
        <sz val="11"/>
        <color theme="1"/>
        <rFont val="Calibri"/>
        <family val="2"/>
        <scheme val="minor"/>
      </rPr>
      <t>2</t>
    </r>
  </si>
  <si>
    <t>2: 50% chance of either: Monster attack or Bandit activity (kingdom event); or Squatters or Vandals (settlement event)</t>
  </si>
  <si>
    <t>1: 50% chance of either: Good weather or Natural blessing (kingdom event); or Boomtown or Unexpected Find (settlement event)</t>
  </si>
  <si>
    <t>d%+ Danger</t>
  </si>
  <si>
    <t>*: Do not apply danger level to rerolls. In addition, if the reroll duplicates the bonus event, roll again</t>
  </si>
  <si>
    <t>01-11</t>
  </si>
  <si>
    <t>12-23</t>
  </si>
  <si>
    <t>24-35</t>
  </si>
  <si>
    <t>36-43</t>
  </si>
  <si>
    <t>44-53</t>
  </si>
  <si>
    <t>54-62</t>
  </si>
  <si>
    <t>63-69</t>
  </si>
  <si>
    <t>70-76</t>
  </si>
  <si>
    <t>77-84</t>
  </si>
  <si>
    <t>85-92</t>
  </si>
  <si>
    <t>93-00</t>
  </si>
  <si>
    <t>&lt;1</t>
  </si>
  <si>
    <t>No event</t>
  </si>
  <si>
    <t>01-10</t>
  </si>
  <si>
    <t>11-20</t>
  </si>
  <si>
    <t>21-30</t>
  </si>
  <si>
    <t>31-38</t>
  </si>
  <si>
    <t>39-46</t>
  </si>
  <si>
    <t>47-53</t>
  </si>
  <si>
    <t>54-60</t>
  </si>
  <si>
    <t>61-68</t>
  </si>
  <si>
    <t>69-77</t>
  </si>
  <si>
    <t>78-84</t>
  </si>
  <si>
    <t>85-90</t>
  </si>
  <si>
    <t>91-95</t>
  </si>
  <si>
    <t>96-00</t>
  </si>
  <si>
    <t>101+</t>
  </si>
  <si>
    <r>
      <t>Roll twice</t>
    </r>
    <r>
      <rPr>
        <vertAlign val="superscript"/>
        <sz val="11"/>
        <color theme="1"/>
        <rFont val="Calibri"/>
        <family val="2"/>
        <scheme val="minor"/>
      </rPr>
      <t>1</t>
    </r>
  </si>
  <si>
    <t>d%+Danger</t>
  </si>
  <si>
    <t>1: Use the more severe of the two results (or the GM may choose which result to apply). Do not apply the Danger modifier to these rolls. If both rolls give the same event, use that event. If one of these rolls duplicates a bonus event, roll again.</t>
  </si>
  <si>
    <r>
      <t>Roll twice</t>
    </r>
    <r>
      <rPr>
        <vertAlign val="superscript"/>
        <sz val="10"/>
        <color theme="1"/>
        <rFont val="Calibri"/>
        <family val="2"/>
        <scheme val="minor"/>
      </rPr>
      <t>1</t>
    </r>
  </si>
  <si>
    <t>21-27</t>
  </si>
  <si>
    <t>28-35</t>
  </si>
  <si>
    <t>36-45</t>
  </si>
  <si>
    <t>46-53</t>
  </si>
  <si>
    <t>54-59</t>
  </si>
  <si>
    <t>60-67</t>
  </si>
  <si>
    <t>68-75</t>
  </si>
  <si>
    <t>76-83</t>
  </si>
  <si>
    <t>84-90</t>
  </si>
  <si>
    <t>100+</t>
  </si>
  <si>
    <t>Version 5.5 (Ultimate Rulership) Update</t>
  </si>
  <si>
    <t>Added Purchase Limit, Danger Level, and Spellcasting level to settlements.</t>
  </si>
  <si>
    <t>Added Magical Improvements and Settlement Attributes to settlements.</t>
  </si>
  <si>
    <t>Updated Events to Ultimate Rulership.</t>
  </si>
  <si>
    <t>To do:</t>
  </si>
  <si>
    <t>Settlement Disadvantages.</t>
  </si>
  <si>
    <t>Annotations for Magical Improvements.</t>
  </si>
  <si>
    <t>Version 5.5a (Ultimate Rulership) Bugfix</t>
  </si>
  <si>
    <t>Named dropdowns, reformatted appropriate data validations. Sheet should now work in any spreadsheet program.</t>
  </si>
  <si>
    <t>Version 5.5b (Ultimate Rulership) Bugfix</t>
  </si>
  <si>
    <t>Many thanks to redcelt32 on the Paizo forums for pointing me in the right direction for these.</t>
  </si>
  <si>
    <t>Version 5.5c (Ultimate Rulership) Bugfix</t>
  </si>
  <si>
    <t>Trade Routes were not using the Control DC as the base, and weren't using the correct results for Corruption and Productivity in the origin settlement.</t>
  </si>
  <si>
    <t>Thanks to Steven Evans on the Paizo forums for making me look at the first one, which led me to the second. Steven also gets a special mention for noticing a bug in 5.5a, which was fixed in 5.5b (apologies for the poorly written patch notes).</t>
  </si>
  <si>
    <t>Оленеград</t>
  </si>
  <si>
    <t>Джилли</t>
  </si>
  <si>
    <t>Пек</t>
  </si>
  <si>
    <t>Лекс</t>
  </si>
  <si>
    <t>Готлиб</t>
  </si>
  <si>
    <t>Накомарница</t>
  </si>
  <si>
    <t>Влодек</t>
  </si>
  <si>
    <t>Клаус</t>
  </si>
  <si>
    <t>Винсент</t>
  </si>
  <si>
    <t>Дьюн</t>
  </si>
  <si>
    <t>Кестен</t>
  </si>
  <si>
    <t>Петр</t>
  </si>
  <si>
    <t>Полина</t>
  </si>
  <si>
    <t>Давор</t>
  </si>
  <si>
    <t>Анджей</t>
  </si>
  <si>
    <t>Джод</t>
  </si>
  <si>
    <t>Олег</t>
  </si>
  <si>
    <t>Светлана</t>
  </si>
  <si>
    <t>Радомир Люткинс</t>
  </si>
  <si>
    <t>Акирос</t>
  </si>
  <si>
    <t>Казимир Вышневецкий</t>
  </si>
  <si>
    <t>Украиния</t>
  </si>
  <si>
    <t>Character</t>
  </si>
  <si>
    <t>Персонаж8</t>
  </si>
  <si>
    <t>Персонаж9</t>
  </si>
  <si>
    <t>Персонаж10</t>
  </si>
  <si>
    <t>Abilities</t>
  </si>
  <si>
    <t>Strength</t>
  </si>
  <si>
    <t>Dexterity</t>
  </si>
  <si>
    <t>Constitution</t>
  </si>
  <si>
    <t>Intelligence</t>
  </si>
  <si>
    <t>Wisdom</t>
  </si>
  <si>
    <t>Charisma</t>
  </si>
  <si>
    <t>Skills</t>
  </si>
  <si>
    <t>Knowledge (arcana)</t>
  </si>
  <si>
    <t>Knowledge (engineering)</t>
  </si>
  <si>
    <t>Knowledge (geography)</t>
  </si>
  <si>
    <t>Knowledge (local)</t>
  </si>
  <si>
    <t>Knowledge (nobility)</t>
  </si>
  <si>
    <t>Knowledge (religion)</t>
  </si>
  <si>
    <t>Profession (merchant)</t>
  </si>
  <si>
    <t>Profession (soldier)</t>
  </si>
  <si>
    <t>SkillFocus</t>
  </si>
  <si>
    <t>Рестов</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</si>
</sst>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quot;$&quot;* #,##0.00_);_(&quot;$&quot;* \(#,##0.00\);_(&quot;$&quot;* &quot;-&quot;??_);_(@_)"/>
    <numFmt numFmtId="165" formatCode="0.000"/>
    <numFmt numFmtId="166" formatCode="0.0"/>
  </numFmts>
  <fonts count="40" x14ac:knownFonts="1">
    <font>
      <sz val="11"/>
      <color theme="1"/>
      <name val="Calibri"/>
      <family val="2"/>
      <scheme val="minor"/>
    </font>
    <font>
      <sz val="11"/>
      <color theme="1"/>
      <name val="Calibri"/>
      <family val="2"/>
      <charset val="204"/>
      <scheme val="minor"/>
    </font>
    <font>
      <b/>
      <sz val="11"/>
      <name val="Verdana"/>
      <family val="2"/>
    </font>
    <font>
      <sz val="11"/>
      <color theme="0"/>
      <name val="Calibri"/>
      <family val="2"/>
      <scheme val="minor"/>
    </font>
    <font>
      <b/>
      <sz val="11"/>
      <color theme="1"/>
      <name val="Calibri"/>
      <family val="2"/>
      <scheme val="minor"/>
    </font>
    <font>
      <b/>
      <sz val="11"/>
      <color theme="0"/>
      <name val="Verdana"/>
      <family val="2"/>
    </font>
    <font>
      <b/>
      <sz val="10"/>
      <color theme="1"/>
      <name val="Verdana"/>
      <family val="2"/>
    </font>
    <font>
      <sz val="11"/>
      <color theme="0"/>
      <name val="Verdana"/>
      <family val="2"/>
    </font>
    <font>
      <sz val="10"/>
      <color theme="1"/>
      <name val="Verdana"/>
      <family val="2"/>
    </font>
    <font>
      <b/>
      <sz val="10"/>
      <color theme="0"/>
      <name val="Verdana"/>
      <family val="2"/>
    </font>
    <font>
      <b/>
      <sz val="11"/>
      <color theme="1"/>
      <name val="Verdana"/>
      <family val="2"/>
    </font>
    <font>
      <b/>
      <sz val="10"/>
      <color theme="1"/>
      <name val="Calibri"/>
      <family val="2"/>
      <scheme val="minor"/>
    </font>
    <font>
      <sz val="10"/>
      <color theme="1"/>
      <name val="Calibri"/>
      <family val="2"/>
      <scheme val="minor"/>
    </font>
    <font>
      <b/>
      <sz val="11"/>
      <color theme="0"/>
      <name val="Calibri"/>
      <family val="2"/>
      <scheme val="minor"/>
    </font>
    <font>
      <b/>
      <sz val="10"/>
      <color rgb="FFFF0000"/>
      <name val="Verdana"/>
      <family val="2"/>
    </font>
    <font>
      <b/>
      <sz val="12"/>
      <color theme="1"/>
      <name val="Calibri"/>
      <family val="2"/>
      <scheme val="minor"/>
    </font>
    <font>
      <b/>
      <sz val="22"/>
      <color theme="1"/>
      <name val="Calibri"/>
      <family val="2"/>
      <scheme val="minor"/>
    </font>
    <font>
      <sz val="12"/>
      <color theme="1"/>
      <name val="Calibri"/>
      <family val="2"/>
      <scheme val="minor"/>
    </font>
    <font>
      <sz val="11"/>
      <name val="Calibri"/>
      <family val="2"/>
      <scheme val="minor"/>
    </font>
    <font>
      <sz val="11"/>
      <name val="Verdana"/>
      <family val="2"/>
    </font>
    <font>
      <sz val="11"/>
      <color theme="1"/>
      <name val="Verdana"/>
      <family val="2"/>
    </font>
    <font>
      <sz val="11"/>
      <color rgb="FFFF0000"/>
      <name val="Calibri"/>
      <family val="2"/>
      <scheme val="minor"/>
    </font>
    <font>
      <b/>
      <sz val="9"/>
      <color indexed="81"/>
      <name val="Tahoma"/>
      <family val="2"/>
    </font>
    <font>
      <sz val="9"/>
      <color indexed="81"/>
      <name val="Tahoma"/>
      <family val="2"/>
    </font>
    <font>
      <b/>
      <sz val="10"/>
      <color rgb="FF000000"/>
      <name val="Trebuchet MS"/>
      <family val="2"/>
    </font>
    <font>
      <sz val="10"/>
      <color rgb="FF000000"/>
      <name val="Trebuchet MS"/>
      <family val="2"/>
    </font>
    <font>
      <sz val="9"/>
      <color rgb="FF000000"/>
      <name val="Trebuchet MS"/>
      <family val="2"/>
    </font>
    <font>
      <b/>
      <u/>
      <sz val="12"/>
      <color rgb="FFFF0000"/>
      <name val="Calibri"/>
      <family val="2"/>
      <scheme val="minor"/>
    </font>
    <font>
      <i/>
      <sz val="11"/>
      <color theme="1"/>
      <name val="Calibri"/>
      <family val="2"/>
      <scheme val="minor"/>
    </font>
    <font>
      <b/>
      <sz val="11"/>
      <color rgb="FFFFFFFF"/>
      <name val="Calibri"/>
      <family val="2"/>
    </font>
    <font>
      <sz val="11"/>
      <color rgb="FF000000"/>
      <name val="Calibri"/>
      <family val="2"/>
    </font>
    <font>
      <sz val="11"/>
      <color theme="1"/>
      <name val="Calibri"/>
      <family val="2"/>
    </font>
    <font>
      <b/>
      <sz val="11"/>
      <color theme="0"/>
      <name val="Calibri"/>
      <family val="2"/>
    </font>
    <font>
      <b/>
      <i/>
      <sz val="11"/>
      <color theme="0"/>
      <name val="Calibri"/>
      <family val="2"/>
    </font>
    <font>
      <sz val="11"/>
      <color rgb="FF000000"/>
      <name val="Calibri"/>
      <family val="2"/>
    </font>
    <font>
      <strike/>
      <sz val="11"/>
      <color theme="1"/>
      <name val="Calibri"/>
      <family val="2"/>
      <scheme val="minor"/>
    </font>
    <font>
      <u/>
      <sz val="11"/>
      <color theme="10"/>
      <name val="Calibri"/>
      <family val="2"/>
    </font>
    <font>
      <vertAlign val="superscript"/>
      <sz val="11"/>
      <color theme="1"/>
      <name val="Calibri"/>
      <family val="2"/>
      <scheme val="minor"/>
    </font>
    <font>
      <vertAlign val="superscript"/>
      <sz val="10"/>
      <color theme="1"/>
      <name val="Calibri"/>
      <family val="2"/>
      <scheme val="minor"/>
    </font>
    <font>
      <b/>
      <sz val="11"/>
      <color theme="1"/>
      <name val="Calibri"/>
      <family val="2"/>
      <charset val="204"/>
      <scheme val="minor"/>
    </font>
  </fonts>
  <fills count="33">
    <fill>
      <patternFill patternType="none"/>
    </fill>
    <fill>
      <patternFill patternType="gray125"/>
    </fill>
    <fill>
      <patternFill patternType="solid">
        <fgColor theme="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249977111117893"/>
        <bgColor indexed="64"/>
      </patternFill>
    </fill>
    <fill>
      <patternFill patternType="solid">
        <fgColor theme="2" tint="-0.499984740745262"/>
        <bgColor indexed="64"/>
      </patternFill>
    </fill>
    <fill>
      <patternFill patternType="solid">
        <fgColor theme="3" tint="0.39997558519241921"/>
        <bgColor indexed="64"/>
      </patternFill>
    </fill>
    <fill>
      <patternFill patternType="solid">
        <fgColor theme="6" tint="-0.249977111117893"/>
        <bgColor indexed="64"/>
      </patternFill>
    </fill>
    <fill>
      <patternFill patternType="solid">
        <fgColor theme="7" tint="-0.249977111117893"/>
        <bgColor indexed="64"/>
      </patternFill>
    </fill>
    <fill>
      <patternFill patternType="solid">
        <fgColor rgb="FFFFFF00"/>
        <bgColor indexed="64"/>
      </patternFill>
    </fill>
    <fill>
      <patternFill patternType="solid">
        <fgColor theme="6" tint="0.39997558519241921"/>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00B0F0"/>
        <bgColor indexed="64"/>
      </patternFill>
    </fill>
    <fill>
      <patternFill patternType="solid">
        <fgColor rgb="FF00FF00"/>
        <bgColor indexed="64"/>
      </patternFill>
    </fill>
    <fill>
      <patternFill patternType="solid">
        <fgColor rgb="FF7030A0"/>
        <bgColor indexed="64"/>
      </patternFill>
    </fill>
    <fill>
      <patternFill patternType="solid">
        <fgColor theme="9"/>
        <bgColor indexed="64"/>
      </patternFill>
    </fill>
    <fill>
      <patternFill patternType="solid">
        <fgColor theme="3" tint="-0.249977111117893"/>
        <bgColor indexed="64"/>
      </patternFill>
    </fill>
    <fill>
      <patternFill patternType="solid">
        <fgColor rgb="FFCFE2F3"/>
        <bgColor indexed="64"/>
      </patternFill>
    </fill>
    <fill>
      <patternFill patternType="solid">
        <fgColor rgb="FFFFFFFF"/>
        <bgColor indexed="64"/>
      </patternFill>
    </fill>
    <fill>
      <patternFill patternType="solid">
        <fgColor theme="0" tint="-0.499984740745262"/>
        <bgColor indexed="64"/>
      </patternFill>
    </fill>
    <fill>
      <patternFill patternType="solid">
        <fgColor rgb="FF4F81BD"/>
        <bgColor rgb="FF4F81BD"/>
      </patternFill>
    </fill>
    <fill>
      <patternFill patternType="solid">
        <fgColor rgb="FFDCE6F1"/>
        <bgColor rgb="FFDCE6F1"/>
      </patternFill>
    </fill>
    <fill>
      <patternFill patternType="solid">
        <fgColor theme="0" tint="-0.34998626667073579"/>
        <bgColor indexed="64"/>
      </patternFill>
    </fill>
    <fill>
      <patternFill patternType="solid">
        <fgColor theme="5" tint="0.39997558519241921"/>
        <bgColor indexed="64"/>
      </patternFill>
    </fill>
    <fill>
      <patternFill patternType="solid">
        <fgColor rgb="FF92D050"/>
        <bgColor indexed="64"/>
      </patternFill>
    </fill>
    <fill>
      <patternFill patternType="solid">
        <fgColor theme="0"/>
        <bgColor rgb="FFDCE6F1"/>
      </patternFill>
    </fill>
    <fill>
      <patternFill patternType="solid">
        <fgColor theme="3" tint="0.79998168889431442"/>
        <bgColor indexed="64"/>
      </patternFill>
    </fill>
    <fill>
      <patternFill patternType="solid">
        <fgColor theme="4" tint="0.79998168889431442"/>
        <bgColor indexed="64"/>
      </patternFill>
    </fill>
    <fill>
      <patternFill patternType="solid">
        <fgColor rgb="FFFBD5B5"/>
        <bgColor indexed="64"/>
      </patternFill>
    </fill>
  </fills>
  <borders count="93">
    <border>
      <left/>
      <right/>
      <top/>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top/>
      <bottom style="thin">
        <color indexed="64"/>
      </bottom>
      <diagonal/>
    </border>
    <border>
      <left/>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64"/>
      </right>
      <top style="thin">
        <color indexed="64"/>
      </top>
      <bottom style="thin">
        <color indexed="64"/>
      </bottom>
      <diagonal/>
    </border>
    <border>
      <left style="medium">
        <color indexed="64"/>
      </left>
      <right/>
      <top/>
      <bottom style="thin">
        <color indexed="64"/>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indexed="64"/>
      </left>
      <right style="medium">
        <color indexed="64"/>
      </right>
      <top style="thin">
        <color indexed="64"/>
      </top>
      <bottom/>
      <diagonal/>
    </border>
    <border>
      <left/>
      <right/>
      <top style="medium">
        <color indexed="64"/>
      </top>
      <bottom style="thin">
        <color indexed="64"/>
      </bottom>
      <diagonal/>
    </border>
    <border>
      <left/>
      <right/>
      <top style="thin">
        <color indexed="64"/>
      </top>
      <bottom style="medium">
        <color indexed="64"/>
      </bottom>
      <diagonal/>
    </border>
    <border>
      <left style="thin">
        <color indexed="64"/>
      </left>
      <right style="thin">
        <color indexed="64"/>
      </right>
      <top/>
      <bottom/>
      <diagonal/>
    </border>
    <border>
      <left style="medium">
        <color rgb="FF888888"/>
      </left>
      <right style="thin">
        <color rgb="FF888888"/>
      </right>
      <top style="thin">
        <color rgb="FF888888"/>
      </top>
      <bottom style="thin">
        <color rgb="FF888888"/>
      </bottom>
      <diagonal/>
    </border>
    <border>
      <left style="thin">
        <color rgb="FF888888"/>
      </left>
      <right style="medium">
        <color rgb="FF888888"/>
      </right>
      <top style="thin">
        <color rgb="FF888888"/>
      </top>
      <bottom style="thin">
        <color rgb="FF888888"/>
      </bottom>
      <diagonal/>
    </border>
    <border>
      <left style="medium">
        <color rgb="FF888888"/>
      </left>
      <right style="thin">
        <color rgb="FF888888"/>
      </right>
      <top/>
      <bottom style="thin">
        <color rgb="FF888888"/>
      </bottom>
      <diagonal/>
    </border>
    <border>
      <left style="thin">
        <color rgb="FF888888"/>
      </left>
      <right style="medium">
        <color rgb="FF888888"/>
      </right>
      <top/>
      <bottom style="thin">
        <color rgb="FF888888"/>
      </bottom>
      <diagonal/>
    </border>
    <border>
      <left style="medium">
        <color rgb="FF888888"/>
      </left>
      <right style="thin">
        <color rgb="FF888888"/>
      </right>
      <top style="thin">
        <color rgb="FF888888"/>
      </top>
      <bottom style="medium">
        <color rgb="FF888888"/>
      </bottom>
      <diagonal/>
    </border>
    <border>
      <left style="thin">
        <color rgb="FF888888"/>
      </left>
      <right style="medium">
        <color rgb="FF888888"/>
      </right>
      <top style="thin">
        <color rgb="FF888888"/>
      </top>
      <bottom style="medium">
        <color rgb="FF888888"/>
      </bottom>
      <diagonal/>
    </border>
    <border>
      <left style="thin">
        <color indexed="64"/>
      </left>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top style="thin">
        <color indexed="64"/>
      </top>
      <bottom/>
      <diagonal/>
    </border>
    <border>
      <left style="thin">
        <color auto="1"/>
      </left>
      <right/>
      <top style="medium">
        <color auto="1"/>
      </top>
      <bottom style="medium">
        <color auto="1"/>
      </bottom>
      <diagonal/>
    </border>
    <border>
      <left style="thin">
        <color indexed="64"/>
      </left>
      <right style="medium">
        <color indexed="64"/>
      </right>
      <top style="medium">
        <color indexed="64"/>
      </top>
      <bottom style="medium">
        <color indexed="64"/>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medium">
        <color indexed="64"/>
      </right>
      <top style="medium">
        <color indexed="64"/>
      </top>
      <bottom style="thin">
        <color indexed="64"/>
      </bottom>
      <diagonal/>
    </border>
    <border>
      <left style="medium">
        <color indexed="64"/>
      </left>
      <right style="thin">
        <color rgb="FF888888"/>
      </right>
      <top style="medium">
        <color indexed="64"/>
      </top>
      <bottom style="thin">
        <color rgb="FF888888"/>
      </bottom>
      <diagonal/>
    </border>
    <border>
      <left style="thin">
        <color rgb="FF888888"/>
      </left>
      <right style="medium">
        <color indexed="64"/>
      </right>
      <top style="medium">
        <color indexed="64"/>
      </top>
      <bottom style="thin">
        <color rgb="FF888888"/>
      </bottom>
      <diagonal/>
    </border>
    <border>
      <left style="medium">
        <color indexed="64"/>
      </left>
      <right style="thin">
        <color rgb="FF888888"/>
      </right>
      <top style="thin">
        <color rgb="FF888888"/>
      </top>
      <bottom style="thin">
        <color rgb="FF888888"/>
      </bottom>
      <diagonal/>
    </border>
    <border>
      <left style="thin">
        <color rgb="FF888888"/>
      </left>
      <right style="medium">
        <color indexed="64"/>
      </right>
      <top style="thin">
        <color rgb="FF888888"/>
      </top>
      <bottom style="thin">
        <color rgb="FF888888"/>
      </bottom>
      <diagonal/>
    </border>
    <border>
      <left style="medium">
        <color indexed="64"/>
      </left>
      <right style="thin">
        <color rgb="FF888888"/>
      </right>
      <top style="thin">
        <color rgb="FF888888"/>
      </top>
      <bottom style="medium">
        <color indexed="64"/>
      </bottom>
      <diagonal/>
    </border>
    <border>
      <left style="thin">
        <color rgb="FF888888"/>
      </left>
      <right style="medium">
        <color indexed="64"/>
      </right>
      <top style="thin">
        <color rgb="FF888888"/>
      </top>
      <bottom style="medium">
        <color indexed="64"/>
      </bottom>
      <diagonal/>
    </border>
    <border>
      <left style="medium">
        <color theme="1" tint="0.34998626667073579"/>
      </left>
      <right style="thin">
        <color theme="1" tint="0.34998626667073579"/>
      </right>
      <top style="medium">
        <color theme="1" tint="0.34998626667073579"/>
      </top>
      <bottom style="thin">
        <color theme="1" tint="0.34998626667073579"/>
      </bottom>
      <diagonal/>
    </border>
    <border>
      <left style="thin">
        <color theme="1" tint="0.34998626667073579"/>
      </left>
      <right style="medium">
        <color theme="1" tint="0.34998626667073579"/>
      </right>
      <top style="medium">
        <color theme="1" tint="0.34998626667073579"/>
      </top>
      <bottom style="thin">
        <color theme="1" tint="0.34998626667073579"/>
      </bottom>
      <diagonal/>
    </border>
    <border>
      <left style="medium">
        <color theme="1" tint="0.34998626667073579"/>
      </left>
      <right style="thin">
        <color theme="1" tint="0.34998626667073579"/>
      </right>
      <top style="thin">
        <color theme="1" tint="0.34998626667073579"/>
      </top>
      <bottom style="thin">
        <color theme="1" tint="0.34998626667073579"/>
      </bottom>
      <diagonal/>
    </border>
    <border>
      <left style="thin">
        <color theme="1" tint="0.34998626667073579"/>
      </left>
      <right style="medium">
        <color theme="1" tint="0.34998626667073579"/>
      </right>
      <top style="thin">
        <color theme="1" tint="0.34998626667073579"/>
      </top>
      <bottom style="thin">
        <color theme="1" tint="0.34998626667073579"/>
      </bottom>
      <diagonal/>
    </border>
    <border>
      <left style="medium">
        <color theme="1" tint="0.34998626667073579"/>
      </left>
      <right style="thin">
        <color theme="1" tint="0.34998626667073579"/>
      </right>
      <top style="thin">
        <color theme="1" tint="0.34998626667073579"/>
      </top>
      <bottom style="medium">
        <color theme="1" tint="0.34998626667073579"/>
      </bottom>
      <diagonal/>
    </border>
    <border>
      <left style="thin">
        <color theme="1" tint="0.34998626667073579"/>
      </left>
      <right style="medium">
        <color theme="1" tint="0.34998626667073579"/>
      </right>
      <top style="thin">
        <color theme="1" tint="0.34998626667073579"/>
      </top>
      <bottom style="medium">
        <color theme="1" tint="0.34998626667073579"/>
      </bottom>
      <diagonal/>
    </border>
    <border>
      <left style="medium">
        <color theme="1" tint="0.499984740745262"/>
      </left>
      <right style="thin">
        <color indexed="64"/>
      </right>
      <top style="thin">
        <color indexed="64"/>
      </top>
      <bottom style="thin">
        <color indexed="64"/>
      </bottom>
      <diagonal/>
    </border>
    <border>
      <left style="thin">
        <color indexed="64"/>
      </left>
      <right style="medium">
        <color theme="1" tint="0.499984740745262"/>
      </right>
      <top style="thin">
        <color indexed="64"/>
      </top>
      <bottom style="thin">
        <color indexed="64"/>
      </bottom>
      <diagonal/>
    </border>
    <border>
      <left style="medium">
        <color theme="1" tint="0.499984740745262"/>
      </left>
      <right style="thin">
        <color indexed="64"/>
      </right>
      <top style="thin">
        <color indexed="64"/>
      </top>
      <bottom style="medium">
        <color theme="1" tint="0.499984740745262"/>
      </bottom>
      <diagonal/>
    </border>
    <border>
      <left style="thin">
        <color indexed="64"/>
      </left>
      <right style="medium">
        <color theme="1" tint="0.499984740745262"/>
      </right>
      <top style="thin">
        <color indexed="64"/>
      </top>
      <bottom style="medium">
        <color theme="1" tint="0.499984740745262"/>
      </bottom>
      <diagonal/>
    </border>
    <border>
      <left style="medium">
        <color theme="1" tint="0.499984740745262"/>
      </left>
      <right style="thin">
        <color indexed="64"/>
      </right>
      <top/>
      <bottom style="thin">
        <color indexed="64"/>
      </bottom>
      <diagonal/>
    </border>
    <border>
      <left style="thin">
        <color indexed="64"/>
      </left>
      <right style="medium">
        <color theme="1" tint="0.499984740745262"/>
      </right>
      <top/>
      <bottom style="thin">
        <color indexed="64"/>
      </bottom>
      <diagonal/>
    </border>
    <border>
      <left style="medium">
        <color theme="1" tint="0.499984740745262"/>
      </left>
      <right style="thin">
        <color rgb="FF888888"/>
      </right>
      <top/>
      <bottom/>
      <diagonal/>
    </border>
    <border>
      <left style="thin">
        <color rgb="FF888888"/>
      </left>
      <right style="medium">
        <color theme="1" tint="0.499984740745262"/>
      </right>
      <top/>
      <bottom/>
      <diagonal/>
    </border>
  </borders>
  <cellStyleXfs count="3">
    <xf numFmtId="0" fontId="0" fillId="0" borderId="0"/>
    <xf numFmtId="0" fontId="36" fillId="0" borderId="0" applyNumberFormat="0" applyFill="0" applyBorder="0" applyAlignment="0" applyProtection="0">
      <alignment vertical="top"/>
      <protection locked="0"/>
    </xf>
    <xf numFmtId="0" fontId="1" fillId="0" borderId="0"/>
  </cellStyleXfs>
  <cellXfs count="845">
    <xf numFmtId="0" fontId="0" fillId="0" borderId="0" xfId="0"/>
    <xf numFmtId="0" fontId="0" fillId="0" borderId="0" xfId="0" applyFill="1"/>
    <xf numFmtId="0" fontId="0" fillId="0" borderId="2" xfId="0" applyBorder="1"/>
    <xf numFmtId="0" fontId="0" fillId="0" borderId="0" xfId="0" applyBorder="1"/>
    <xf numFmtId="0" fontId="0" fillId="0" borderId="3" xfId="0" applyBorder="1"/>
    <xf numFmtId="0" fontId="0" fillId="0" borderId="4" xfId="0" applyBorder="1"/>
    <xf numFmtId="0" fontId="0" fillId="0" borderId="5" xfId="0" applyBorder="1"/>
    <xf numFmtId="0" fontId="4" fillId="0" borderId="1" xfId="0" applyFont="1" applyBorder="1"/>
    <xf numFmtId="0" fontId="0" fillId="0" borderId="0" xfId="0" applyFill="1" applyBorder="1"/>
    <xf numFmtId="0" fontId="0" fillId="0" borderId="8" xfId="0" applyBorder="1"/>
    <xf numFmtId="0" fontId="0" fillId="0" borderId="9" xfId="0" applyFill="1" applyBorder="1"/>
    <xf numFmtId="0" fontId="0" fillId="0" borderId="9" xfId="0" applyBorder="1"/>
    <xf numFmtId="0" fontId="0" fillId="0" borderId="10" xfId="0" applyBorder="1"/>
    <xf numFmtId="0" fontId="4" fillId="0" borderId="0" xfId="0" applyFont="1" applyBorder="1"/>
    <xf numFmtId="0" fontId="0" fillId="0" borderId="11" xfId="0" applyBorder="1"/>
    <xf numFmtId="0" fontId="0" fillId="0" borderId="12" xfId="0" applyBorder="1"/>
    <xf numFmtId="0" fontId="0" fillId="0" borderId="0" xfId="0" applyFill="1" applyBorder="1" applyAlignment="1">
      <alignment horizontal="center"/>
    </xf>
    <xf numFmtId="0" fontId="0" fillId="0" borderId="11" xfId="0" applyFill="1" applyBorder="1"/>
    <xf numFmtId="0" fontId="3" fillId="2" borderId="0" xfId="0" applyFont="1" applyFill="1" applyBorder="1"/>
    <xf numFmtId="0" fontId="3" fillId="0" borderId="0" xfId="0" applyFont="1" applyFill="1" applyBorder="1"/>
    <xf numFmtId="0" fontId="7" fillId="0" borderId="0" xfId="0" applyFont="1" applyFill="1" applyBorder="1"/>
    <xf numFmtId="0" fontId="8" fillId="0" borderId="0" xfId="0" applyFont="1" applyFill="1" applyBorder="1"/>
    <xf numFmtId="0" fontId="8" fillId="0" borderId="0" xfId="0" applyFont="1" applyBorder="1"/>
    <xf numFmtId="0" fontId="0" fillId="0" borderId="2" xfId="0" applyFill="1" applyBorder="1"/>
    <xf numFmtId="0" fontId="0" fillId="0" borderId="13" xfId="0" applyBorder="1"/>
    <xf numFmtId="0" fontId="5" fillId="0" borderId="0" xfId="0" applyFont="1" applyFill="1" applyBorder="1" applyAlignment="1">
      <alignment horizontal="center" vertical="center"/>
    </xf>
    <xf numFmtId="0" fontId="5" fillId="0" borderId="0" xfId="0" applyFont="1" applyFill="1" applyBorder="1" applyAlignment="1">
      <alignment horizontal="center"/>
    </xf>
    <xf numFmtId="0" fontId="9" fillId="2" borderId="7" xfId="0" applyFont="1" applyFill="1" applyBorder="1" applyAlignment="1">
      <alignment horizontal="center" vertical="center"/>
    </xf>
    <xf numFmtId="0" fontId="0" fillId="0" borderId="12" xfId="0" applyFill="1" applyBorder="1"/>
    <xf numFmtId="0" fontId="6" fillId="0" borderId="0" xfId="0" applyFont="1" applyBorder="1"/>
    <xf numFmtId="0" fontId="0" fillId="0" borderId="20" xfId="0" applyBorder="1" applyAlignment="1">
      <alignment horizontal="center"/>
    </xf>
    <xf numFmtId="0" fontId="0" fillId="0" borderId="21"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4" fillId="0" borderId="0" xfId="0" applyFont="1"/>
    <xf numFmtId="0" fontId="0" fillId="0" borderId="3" xfId="0" applyBorder="1"/>
    <xf numFmtId="0" fontId="0" fillId="0" borderId="4" xfId="0" applyBorder="1"/>
    <xf numFmtId="0" fontId="0" fillId="0" borderId="3" xfId="0" applyBorder="1" applyAlignment="1">
      <alignment horizontal="left"/>
    </xf>
    <xf numFmtId="0" fontId="0" fillId="0" borderId="4" xfId="0" applyBorder="1" applyAlignment="1">
      <alignment horizontal="left"/>
    </xf>
    <xf numFmtId="0" fontId="0" fillId="0" borderId="1" xfId="0" applyBorder="1" applyAlignment="1" applyProtection="1">
      <alignment horizontal="center"/>
      <protection locked="0"/>
    </xf>
    <xf numFmtId="0" fontId="0" fillId="0" borderId="1" xfId="0" applyBorder="1" applyAlignment="1" applyProtection="1">
      <alignment horizontal="center" vertical="center"/>
      <protection locked="0"/>
    </xf>
    <xf numFmtId="0" fontId="0" fillId="0" borderId="1" xfId="0" applyFill="1" applyBorder="1" applyAlignment="1" applyProtection="1">
      <alignment horizontal="center"/>
      <protection locked="0"/>
    </xf>
    <xf numFmtId="0" fontId="0" fillId="3" borderId="1" xfId="0" applyFill="1" applyBorder="1" applyAlignment="1" applyProtection="1">
      <alignment horizontal="center"/>
    </xf>
    <xf numFmtId="0" fontId="5" fillId="0" borderId="0" xfId="0" applyFont="1" applyFill="1" applyBorder="1"/>
    <xf numFmtId="0" fontId="2" fillId="0" borderId="0" xfId="0" applyFont="1" applyFill="1" applyBorder="1" applyAlignment="1">
      <alignment horizontal="center"/>
    </xf>
    <xf numFmtId="0" fontId="5" fillId="2" borderId="0" xfId="0" applyFont="1" applyFill="1" applyBorder="1"/>
    <xf numFmtId="0" fontId="10" fillId="0" borderId="0" xfId="0" applyFont="1" applyBorder="1"/>
    <xf numFmtId="0" fontId="0" fillId="3" borderId="0" xfId="0" applyFill="1" applyBorder="1" applyAlignment="1">
      <alignment horizontal="center"/>
    </xf>
    <xf numFmtId="0" fontId="0" fillId="0" borderId="0" xfId="0" applyFont="1"/>
    <xf numFmtId="0" fontId="0" fillId="0" borderId="11" xfId="0" applyBorder="1" applyAlignment="1" applyProtection="1">
      <alignment horizontal="left"/>
    </xf>
    <xf numFmtId="0" fontId="0" fillId="0" borderId="3" xfId="0" applyFill="1" applyBorder="1"/>
    <xf numFmtId="0" fontId="0" fillId="0" borderId="4" xfId="0" applyFill="1" applyBorder="1"/>
    <xf numFmtId="0" fontId="0" fillId="0" borderId="5" xfId="0" applyBorder="1" applyAlignment="1">
      <alignment horizontal="left"/>
    </xf>
    <xf numFmtId="0" fontId="0" fillId="0" borderId="31" xfId="0" applyBorder="1" applyAlignment="1">
      <alignment horizontal="left"/>
    </xf>
    <xf numFmtId="0" fontId="4" fillId="0" borderId="31" xfId="0" applyFont="1" applyBorder="1"/>
    <xf numFmtId="0" fontId="0" fillId="0" borderId="31" xfId="0" applyBorder="1"/>
    <xf numFmtId="0" fontId="0" fillId="0" borderId="1" xfId="0" applyFill="1" applyBorder="1"/>
    <xf numFmtId="0" fontId="0" fillId="0" borderId="3" xfId="0" applyFill="1" applyBorder="1" applyAlignment="1">
      <alignment horizontal="left"/>
    </xf>
    <xf numFmtId="0" fontId="0" fillId="0" borderId="4" xfId="0" applyFill="1" applyBorder="1" applyAlignment="1">
      <alignment horizontal="left"/>
    </xf>
    <xf numFmtId="0" fontId="0" fillId="0" borderId="5" xfId="0" applyFill="1" applyBorder="1" applyAlignment="1">
      <alignment horizontal="left"/>
    </xf>
    <xf numFmtId="0" fontId="0" fillId="0" borderId="0" xfId="0" applyBorder="1" applyAlignment="1" applyProtection="1">
      <alignment horizontal="left"/>
    </xf>
    <xf numFmtId="0" fontId="0" fillId="0" borderId="0" xfId="0" applyProtection="1"/>
    <xf numFmtId="0" fontId="5" fillId="0" borderId="0" xfId="0" applyFont="1" applyFill="1" applyBorder="1" applyProtection="1"/>
    <xf numFmtId="0" fontId="0" fillId="0" borderId="0" xfId="0" applyFill="1" applyBorder="1" applyAlignment="1" applyProtection="1"/>
    <xf numFmtId="0" fontId="0" fillId="0" borderId="0" xfId="0" applyFill="1" applyBorder="1" applyProtection="1"/>
    <xf numFmtId="0" fontId="0" fillId="0" borderId="0" xfId="0" applyFill="1" applyProtection="1"/>
    <xf numFmtId="0" fontId="0" fillId="0" borderId="32" xfId="0" applyBorder="1" applyAlignment="1" applyProtection="1"/>
    <xf numFmtId="0" fontId="0" fillId="0" borderId="0" xfId="0" applyFill="1" applyBorder="1" applyAlignment="1" applyProtection="1">
      <alignment horizontal="center"/>
    </xf>
    <xf numFmtId="0" fontId="0" fillId="0" borderId="0" xfId="0" applyBorder="1" applyProtection="1"/>
    <xf numFmtId="0" fontId="0" fillId="0" borderId="0" xfId="0" applyNumberFormat="1" applyBorder="1" applyAlignment="1" applyProtection="1">
      <alignment horizontal="left" vertical="top"/>
    </xf>
    <xf numFmtId="0" fontId="0" fillId="0" borderId="2" xfId="0" applyBorder="1" applyProtection="1"/>
    <xf numFmtId="0" fontId="0" fillId="0" borderId="2" xfId="0" applyFill="1" applyBorder="1" applyProtection="1"/>
    <xf numFmtId="0" fontId="0" fillId="0" borderId="2" xfId="0" applyNumberFormat="1" applyBorder="1" applyAlignment="1" applyProtection="1">
      <alignment horizontal="left" vertical="top"/>
    </xf>
    <xf numFmtId="0" fontId="0" fillId="0" borderId="0" xfId="0" applyBorder="1" applyAlignment="1" applyProtection="1">
      <alignment horizontal="left" vertical="top" wrapText="1"/>
    </xf>
    <xf numFmtId="0" fontId="0" fillId="0" borderId="0" xfId="0" applyAlignment="1">
      <alignment horizontal="left" vertical="top"/>
    </xf>
    <xf numFmtId="0" fontId="0" fillId="0" borderId="0" xfId="0" applyBorder="1" applyAlignment="1">
      <alignment vertical="top" wrapText="1"/>
    </xf>
    <xf numFmtId="0" fontId="0" fillId="3" borderId="0" xfId="0" applyFill="1" applyBorder="1" applyAlignment="1">
      <alignment horizontal="center" textRotation="90"/>
    </xf>
    <xf numFmtId="0" fontId="0" fillId="0" borderId="0" xfId="0" applyAlignment="1">
      <alignment horizontal="left"/>
    </xf>
    <xf numFmtId="0" fontId="13" fillId="5" borderId="1" xfId="0" applyFont="1" applyFill="1" applyBorder="1" applyAlignment="1">
      <alignment horizontal="center"/>
    </xf>
    <xf numFmtId="0" fontId="13" fillId="7" borderId="1" xfId="0" applyFont="1" applyFill="1" applyBorder="1" applyAlignment="1">
      <alignment horizontal="center"/>
    </xf>
    <xf numFmtId="0" fontId="13" fillId="6" borderId="1" xfId="0" applyFont="1" applyFill="1" applyBorder="1" applyAlignment="1">
      <alignment horizontal="center"/>
    </xf>
    <xf numFmtId="0" fontId="13" fillId="9" borderId="1" xfId="0" applyFont="1" applyFill="1" applyBorder="1" applyAlignment="1">
      <alignment horizontal="center"/>
    </xf>
    <xf numFmtId="0" fontId="0" fillId="0" borderId="20" xfId="0" quotePrefix="1" applyBorder="1" applyAlignment="1">
      <alignment horizontal="center"/>
    </xf>
    <xf numFmtId="0" fontId="0" fillId="0" borderId="19" xfId="0" applyBorder="1" applyAlignment="1">
      <alignment horizontal="left"/>
    </xf>
    <xf numFmtId="0" fontId="0" fillId="0" borderId="22" xfId="0" applyBorder="1" applyAlignment="1">
      <alignment horizontal="left"/>
    </xf>
    <xf numFmtId="0" fontId="0" fillId="0" borderId="39" xfId="0" applyBorder="1" applyAlignment="1">
      <alignment horizontal="left"/>
    </xf>
    <xf numFmtId="16" fontId="0" fillId="0" borderId="40" xfId="0" quotePrefix="1" applyNumberFormat="1" applyBorder="1" applyAlignment="1">
      <alignment horizontal="center"/>
    </xf>
    <xf numFmtId="0" fontId="0" fillId="0" borderId="40" xfId="0" applyBorder="1" applyAlignment="1">
      <alignment horizontal="center"/>
    </xf>
    <xf numFmtId="0" fontId="0" fillId="0" borderId="41" xfId="0" applyBorder="1" applyAlignment="1">
      <alignment horizontal="center"/>
    </xf>
    <xf numFmtId="0" fontId="4" fillId="0" borderId="22" xfId="0" applyFont="1" applyBorder="1"/>
    <xf numFmtId="0" fontId="4" fillId="0" borderId="23" xfId="0" applyFont="1" applyBorder="1"/>
    <xf numFmtId="0" fontId="4" fillId="0" borderId="24" xfId="0" applyFont="1" applyBorder="1"/>
    <xf numFmtId="0" fontId="5" fillId="7" borderId="1" xfId="0" applyFont="1" applyFill="1" applyBorder="1" applyAlignment="1">
      <alignment horizontal="center" vertical="center"/>
    </xf>
    <xf numFmtId="0" fontId="5" fillId="9" borderId="1" xfId="0" applyFont="1" applyFill="1" applyBorder="1" applyAlignment="1">
      <alignment horizontal="center" vertical="center"/>
    </xf>
    <xf numFmtId="0" fontId="5" fillId="6" borderId="1" xfId="0" applyFont="1" applyFill="1" applyBorder="1" applyAlignment="1">
      <alignment horizontal="center" vertical="center"/>
    </xf>
    <xf numFmtId="0" fontId="4" fillId="0" borderId="0" xfId="0" applyFont="1" applyBorder="1" applyAlignment="1">
      <alignment horizontal="center"/>
    </xf>
    <xf numFmtId="0" fontId="0" fillId="0" borderId="12" xfId="0" applyBorder="1" applyProtection="1"/>
    <xf numFmtId="0" fontId="0" fillId="0" borderId="11" xfId="0" applyBorder="1" applyProtection="1"/>
    <xf numFmtId="0" fontId="6" fillId="0" borderId="0" xfId="0" applyFont="1" applyBorder="1" applyAlignment="1" applyProtection="1">
      <alignment horizontal="center"/>
    </xf>
    <xf numFmtId="0" fontId="4" fillId="0" borderId="1" xfId="0" applyFont="1" applyBorder="1" applyAlignment="1" applyProtection="1">
      <alignment horizontal="center"/>
      <protection locked="0"/>
    </xf>
    <xf numFmtId="0" fontId="0" fillId="0" borderId="0" xfId="0" applyFont="1" applyBorder="1" applyAlignment="1">
      <alignment vertical="top" wrapText="1"/>
    </xf>
    <xf numFmtId="0" fontId="0" fillId="0" borderId="0" xfId="0" applyBorder="1" applyAlignment="1">
      <alignment wrapText="1"/>
    </xf>
    <xf numFmtId="0" fontId="4" fillId="0" borderId="37" xfId="0" applyFont="1" applyBorder="1"/>
    <xf numFmtId="0" fontId="0" fillId="0" borderId="0" xfId="0" applyAlignment="1">
      <alignment horizontal="center"/>
    </xf>
    <xf numFmtId="0" fontId="4" fillId="0" borderId="0" xfId="0" applyFont="1" applyAlignment="1">
      <alignment horizontal="left"/>
    </xf>
    <xf numFmtId="0" fontId="0" fillId="0" borderId="0" xfId="0" applyNumberFormat="1" applyAlignment="1">
      <alignment horizontal="center"/>
    </xf>
    <xf numFmtId="0" fontId="0" fillId="0" borderId="0" xfId="0" applyBorder="1" applyAlignment="1"/>
    <xf numFmtId="0" fontId="0" fillId="0" borderId="0" xfId="0" applyAlignment="1">
      <alignment wrapText="1"/>
    </xf>
    <xf numFmtId="0" fontId="4" fillId="0" borderId="0" xfId="0" applyFont="1" applyBorder="1" applyAlignment="1">
      <alignment wrapText="1"/>
    </xf>
    <xf numFmtId="164" fontId="0" fillId="0" borderId="0" xfId="0" applyNumberFormat="1" applyBorder="1" applyAlignment="1"/>
    <xf numFmtId="164" fontId="4" fillId="0" borderId="0" xfId="0" applyNumberFormat="1" applyFont="1" applyBorder="1" applyAlignment="1">
      <alignment wrapText="1"/>
    </xf>
    <xf numFmtId="164" fontId="0" fillId="0" borderId="0" xfId="0" applyNumberFormat="1" applyBorder="1" applyAlignment="1">
      <alignment wrapText="1"/>
    </xf>
    <xf numFmtId="0" fontId="0" fillId="0" borderId="0" xfId="0" applyFont="1" applyBorder="1" applyAlignment="1">
      <alignment wrapText="1"/>
    </xf>
    <xf numFmtId="0" fontId="0" fillId="0" borderId="0" xfId="0" applyAlignment="1">
      <alignment horizontal="left" wrapText="1"/>
    </xf>
    <xf numFmtId="0" fontId="4" fillId="0" borderId="1" xfId="0" applyFont="1" applyBorder="1" applyAlignment="1">
      <alignment horizontal="left" wrapText="1"/>
    </xf>
    <xf numFmtId="0" fontId="0" fillId="0" borderId="1" xfId="0" applyBorder="1" applyAlignment="1">
      <alignment horizontal="left" wrapText="1"/>
    </xf>
    <xf numFmtId="0" fontId="15" fillId="12" borderId="1" xfId="0" applyFont="1" applyFill="1" applyBorder="1" applyAlignment="1">
      <alignment horizontal="center" wrapText="1"/>
    </xf>
    <xf numFmtId="0" fontId="0" fillId="0" borderId="32" xfId="0" applyBorder="1" applyAlignment="1">
      <alignment horizontal="left" wrapText="1"/>
    </xf>
    <xf numFmtId="0" fontId="16" fillId="11" borderId="1" xfId="0" applyFont="1" applyFill="1" applyBorder="1" applyAlignment="1">
      <alignment horizontal="center" wrapText="1"/>
    </xf>
    <xf numFmtId="0" fontId="17" fillId="0" borderId="32" xfId="0" applyFont="1" applyBorder="1" applyAlignment="1">
      <alignment horizontal="left" wrapText="1"/>
    </xf>
    <xf numFmtId="0" fontId="17" fillId="3" borderId="1" xfId="0" applyFont="1" applyFill="1" applyBorder="1" applyAlignment="1">
      <alignment horizontal="left" wrapText="1"/>
    </xf>
    <xf numFmtId="0" fontId="0" fillId="0" borderId="37" xfId="0" applyBorder="1" applyAlignment="1">
      <alignment horizontal="left" wrapText="1"/>
    </xf>
    <xf numFmtId="0" fontId="0" fillId="0" borderId="38" xfId="0" applyBorder="1" applyAlignment="1">
      <alignment horizontal="left" wrapText="1"/>
    </xf>
    <xf numFmtId="0" fontId="4" fillId="11" borderId="1" xfId="0" applyFont="1" applyFill="1" applyBorder="1" applyAlignment="1">
      <alignment horizontal="left" wrapText="1"/>
    </xf>
    <xf numFmtId="0" fontId="16" fillId="13" borderId="1" xfId="0" applyFont="1" applyFill="1" applyBorder="1" applyAlignment="1">
      <alignment horizontal="center" wrapText="1"/>
    </xf>
    <xf numFmtId="0" fontId="9" fillId="5" borderId="1" xfId="0" applyFont="1" applyFill="1" applyBorder="1" applyAlignment="1">
      <alignment horizontal="center"/>
    </xf>
    <xf numFmtId="0" fontId="0" fillId="14" borderId="1" xfId="0" applyFill="1" applyBorder="1" applyAlignment="1">
      <alignment horizontal="center"/>
    </xf>
    <xf numFmtId="0" fontId="0" fillId="14" borderId="1" xfId="0" applyFill="1" applyBorder="1" applyAlignment="1" applyProtection="1">
      <alignment horizontal="center"/>
    </xf>
    <xf numFmtId="0" fontId="4" fillId="0" borderId="32" xfId="0" applyFont="1" applyBorder="1"/>
    <xf numFmtId="0" fontId="0" fillId="0" borderId="0" xfId="0" applyBorder="1" applyAlignment="1">
      <alignment horizontal="center" vertical="top"/>
    </xf>
    <xf numFmtId="0" fontId="0" fillId="0" borderId="0" xfId="0" applyFill="1" applyAlignment="1">
      <alignment horizontal="center"/>
    </xf>
    <xf numFmtId="0" fontId="2" fillId="0" borderId="0" xfId="0" applyFont="1" applyFill="1" applyBorder="1"/>
    <xf numFmtId="0" fontId="19" fillId="0" borderId="0" xfId="0" applyFont="1" applyFill="1" applyBorder="1" applyAlignment="1"/>
    <xf numFmtId="0" fontId="18" fillId="0" borderId="0" xfId="0" applyFont="1" applyFill="1" applyBorder="1" applyAlignment="1">
      <alignment horizontal="center"/>
    </xf>
    <xf numFmtId="0" fontId="19" fillId="0" borderId="0" xfId="0" applyFont="1" applyFill="1" applyBorder="1"/>
    <xf numFmtId="0" fontId="5" fillId="0" borderId="0" xfId="0" applyFont="1" applyFill="1" applyBorder="1" applyAlignment="1"/>
    <xf numFmtId="0" fontId="10" fillId="0" borderId="0" xfId="0" applyFont="1" applyAlignment="1">
      <alignment horizontal="center"/>
    </xf>
    <xf numFmtId="0" fontId="0" fillId="3" borderId="7" xfId="0" applyFill="1" applyBorder="1" applyAlignment="1" applyProtection="1">
      <alignment horizontal="center"/>
    </xf>
    <xf numFmtId="0" fontId="0" fillId="0" borderId="48" xfId="0" applyFill="1" applyBorder="1"/>
    <xf numFmtId="0" fontId="4" fillId="0" borderId="0" xfId="0" applyFont="1" applyAlignment="1">
      <alignment horizontal="center"/>
    </xf>
    <xf numFmtId="0" fontId="0" fillId="0" borderId="0" xfId="0" applyNumberFormat="1" applyAlignment="1">
      <alignment horizontal="left"/>
    </xf>
    <xf numFmtId="0" fontId="0" fillId="0" borderId="8" xfId="0" applyBorder="1" applyProtection="1"/>
    <xf numFmtId="0" fontId="0" fillId="0" borderId="9" xfId="0" applyBorder="1" applyProtection="1"/>
    <xf numFmtId="0" fontId="0" fillId="0" borderId="9" xfId="0" applyFill="1" applyBorder="1" applyProtection="1"/>
    <xf numFmtId="0" fontId="0" fillId="0" borderId="10" xfId="0" applyBorder="1" applyProtection="1"/>
    <xf numFmtId="0" fontId="0" fillId="0" borderId="0" xfId="0" applyAlignment="1" applyProtection="1">
      <alignment horizontal="center"/>
    </xf>
    <xf numFmtId="0" fontId="0" fillId="0" borderId="12" xfId="0" applyFill="1" applyBorder="1" applyProtection="1"/>
    <xf numFmtId="0" fontId="0" fillId="0" borderId="11" xfId="0" applyFill="1" applyBorder="1" applyProtection="1"/>
    <xf numFmtId="0" fontId="0" fillId="3" borderId="11" xfId="0" applyFill="1" applyBorder="1" applyAlignment="1" applyProtection="1">
      <alignment horizontal="center"/>
    </xf>
    <xf numFmtId="0" fontId="0" fillId="0" borderId="11" xfId="0" applyFill="1" applyBorder="1" applyAlignment="1" applyProtection="1">
      <alignment horizontal="center"/>
    </xf>
    <xf numFmtId="0" fontId="18" fillId="14" borderId="1" xfId="0" applyFont="1" applyFill="1" applyBorder="1" applyAlignment="1" applyProtection="1">
      <alignment horizontal="center"/>
    </xf>
    <xf numFmtId="0" fontId="5" fillId="0" borderId="11" xfId="0" applyFont="1" applyFill="1" applyBorder="1" applyAlignment="1" applyProtection="1">
      <alignment horizontal="center"/>
    </xf>
    <xf numFmtId="0" fontId="2" fillId="0" borderId="0" xfId="0" applyFont="1" applyFill="1" applyBorder="1" applyAlignment="1" applyProtection="1">
      <alignment horizontal="left"/>
    </xf>
    <xf numFmtId="0" fontId="2" fillId="0" borderId="0" xfId="0" applyFont="1" applyFill="1" applyBorder="1" applyAlignment="1" applyProtection="1">
      <alignment horizontal="center"/>
    </xf>
    <xf numFmtId="0" fontId="2" fillId="0" borderId="11" xfId="0" applyFont="1" applyFill="1" applyBorder="1" applyProtection="1"/>
    <xf numFmtId="0" fontId="2" fillId="0" borderId="15" xfId="0" applyFont="1" applyFill="1" applyBorder="1" applyAlignment="1" applyProtection="1">
      <alignment horizontal="center"/>
    </xf>
    <xf numFmtId="0" fontId="2" fillId="0" borderId="6" xfId="0" applyFont="1" applyFill="1" applyBorder="1" applyAlignment="1" applyProtection="1">
      <alignment horizontal="center"/>
    </xf>
    <xf numFmtId="0" fontId="2" fillId="0" borderId="7" xfId="0" applyFont="1" applyFill="1" applyBorder="1" applyAlignment="1" applyProtection="1">
      <alignment horizontal="center"/>
    </xf>
    <xf numFmtId="0" fontId="0" fillId="0" borderId="6" xfId="0" applyFill="1" applyBorder="1" applyAlignment="1" applyProtection="1">
      <alignment horizontal="center"/>
    </xf>
    <xf numFmtId="0" fontId="0" fillId="3" borderId="26" xfId="0" applyFill="1" applyBorder="1" applyAlignment="1" applyProtection="1">
      <alignment horizontal="center"/>
    </xf>
    <xf numFmtId="0" fontId="0" fillId="3" borderId="25" xfId="0" applyFill="1" applyBorder="1" applyAlignment="1" applyProtection="1">
      <alignment horizontal="center"/>
    </xf>
    <xf numFmtId="0" fontId="0" fillId="3" borderId="0" xfId="0" applyFill="1" applyBorder="1" applyAlignment="1" applyProtection="1">
      <alignment horizontal="center"/>
    </xf>
    <xf numFmtId="0" fontId="0" fillId="0" borderId="16" xfId="0" applyBorder="1" applyAlignment="1" applyProtection="1">
      <alignment horizontal="center"/>
    </xf>
    <xf numFmtId="0" fontId="0" fillId="0" borderId="17" xfId="0" applyBorder="1" applyAlignment="1" applyProtection="1">
      <alignment horizontal="center"/>
    </xf>
    <xf numFmtId="0" fontId="0" fillId="0" borderId="49" xfId="0" applyBorder="1" applyAlignment="1" applyProtection="1">
      <alignment horizontal="center"/>
    </xf>
    <xf numFmtId="0" fontId="0" fillId="0" borderId="18" xfId="0" applyBorder="1" applyAlignment="1" applyProtection="1">
      <alignment horizontal="center"/>
    </xf>
    <xf numFmtId="0" fontId="0" fillId="0" borderId="25" xfId="0" applyBorder="1" applyAlignment="1" applyProtection="1">
      <alignment horizontal="center"/>
    </xf>
    <xf numFmtId="0" fontId="0" fillId="0" borderId="28" xfId="0" applyBorder="1" applyAlignment="1" applyProtection="1">
      <alignment horizontal="center"/>
    </xf>
    <xf numFmtId="0" fontId="0" fillId="0" borderId="27" xfId="0" applyBorder="1" applyAlignment="1" applyProtection="1">
      <alignment horizontal="center"/>
    </xf>
    <xf numFmtId="0" fontId="0" fillId="0" borderId="44" xfId="0" applyBorder="1" applyAlignment="1" applyProtection="1">
      <alignment horizontal="center"/>
    </xf>
    <xf numFmtId="0" fontId="0" fillId="0" borderId="19" xfId="0" applyBorder="1" applyAlignment="1" applyProtection="1">
      <alignment horizontal="center"/>
    </xf>
    <xf numFmtId="0" fontId="0" fillId="0" borderId="20" xfId="0" applyBorder="1" applyAlignment="1" applyProtection="1">
      <alignment horizontal="center"/>
    </xf>
    <xf numFmtId="0" fontId="0" fillId="0" borderId="21" xfId="0" applyBorder="1" applyAlignment="1" applyProtection="1">
      <alignment horizontal="center"/>
    </xf>
    <xf numFmtId="0" fontId="0" fillId="0" borderId="42" xfId="0" applyBorder="1" applyAlignment="1" applyProtection="1">
      <alignment horizontal="center"/>
    </xf>
    <xf numFmtId="0" fontId="0" fillId="0" borderId="43" xfId="0" applyBorder="1" applyAlignment="1" applyProtection="1">
      <alignment horizontal="center"/>
    </xf>
    <xf numFmtId="0" fontId="0" fillId="0" borderId="30" xfId="0" applyBorder="1" applyAlignment="1" applyProtection="1">
      <alignment horizontal="center"/>
    </xf>
    <xf numFmtId="0" fontId="0" fillId="0" borderId="28" xfId="0" applyFill="1" applyBorder="1" applyProtection="1"/>
    <xf numFmtId="0" fontId="0" fillId="0" borderId="27" xfId="0" applyFill="1" applyBorder="1" applyProtection="1"/>
    <xf numFmtId="0" fontId="0" fillId="0" borderId="44" xfId="0" applyFill="1" applyBorder="1" applyAlignment="1" applyProtection="1">
      <alignment horizontal="center"/>
    </xf>
    <xf numFmtId="0" fontId="0" fillId="0" borderId="45" xfId="0" applyFill="1" applyBorder="1" applyProtection="1"/>
    <xf numFmtId="0" fontId="0" fillId="0" borderId="29" xfId="0" applyFill="1" applyBorder="1" applyProtection="1"/>
    <xf numFmtId="0" fontId="0" fillId="0" borderId="39" xfId="0" applyBorder="1" applyAlignment="1" applyProtection="1">
      <alignment horizontal="center"/>
    </xf>
    <xf numFmtId="0" fontId="0" fillId="0" borderId="40" xfId="0" applyBorder="1" applyAlignment="1" applyProtection="1">
      <alignment horizontal="center"/>
    </xf>
    <xf numFmtId="0" fontId="0" fillId="0" borderId="29" xfId="0" applyBorder="1" applyAlignment="1" applyProtection="1">
      <alignment horizontal="center"/>
    </xf>
    <xf numFmtId="0" fontId="0" fillId="0" borderId="22" xfId="0" applyBorder="1" applyAlignment="1" applyProtection="1">
      <alignment horizontal="center"/>
    </xf>
    <xf numFmtId="0" fontId="0" fillId="0" borderId="23" xfId="0" applyBorder="1" applyAlignment="1" applyProtection="1">
      <alignment horizontal="center"/>
    </xf>
    <xf numFmtId="0" fontId="0" fillId="0" borderId="50" xfId="0" applyBorder="1" applyAlignment="1" applyProtection="1">
      <alignment horizontal="center"/>
    </xf>
    <xf numFmtId="0" fontId="0" fillId="0" borderId="24" xfId="0" applyBorder="1" applyAlignment="1" applyProtection="1">
      <alignment horizontal="center"/>
    </xf>
    <xf numFmtId="0" fontId="0" fillId="0" borderId="18" xfId="0" applyFill="1" applyBorder="1" applyAlignment="1" applyProtection="1">
      <alignment horizontal="center"/>
    </xf>
    <xf numFmtId="0" fontId="0" fillId="0" borderId="21" xfId="0" applyFill="1" applyBorder="1" applyAlignment="1" applyProtection="1">
      <alignment horizontal="center"/>
    </xf>
    <xf numFmtId="0" fontId="0" fillId="0" borderId="24" xfId="0" applyFill="1" applyBorder="1" applyAlignment="1" applyProtection="1">
      <alignment horizontal="center"/>
    </xf>
    <xf numFmtId="0" fontId="0" fillId="0" borderId="13" xfId="0" applyBorder="1" applyProtection="1"/>
    <xf numFmtId="0" fontId="0" fillId="0" borderId="1" xfId="0" applyFill="1" applyBorder="1" applyAlignment="1" applyProtection="1">
      <alignment horizontal="center"/>
    </xf>
    <xf numFmtId="0" fontId="5" fillId="0" borderId="0" xfId="0" applyFont="1" applyFill="1" applyBorder="1" applyAlignment="1" applyProtection="1">
      <alignment horizontal="center"/>
    </xf>
    <xf numFmtId="0" fontId="17" fillId="2" borderId="1" xfId="0" applyFont="1" applyFill="1" applyBorder="1" applyAlignment="1">
      <alignment horizontal="left" wrapText="1"/>
    </xf>
    <xf numFmtId="0" fontId="0" fillId="0" borderId="6" xfId="0" applyBorder="1" applyAlignment="1">
      <alignment horizontal="left" wrapText="1"/>
    </xf>
    <xf numFmtId="0" fontId="0" fillId="0" borderId="32" xfId="0" applyFont="1" applyBorder="1" applyAlignment="1">
      <alignment horizontal="left" wrapText="1"/>
    </xf>
    <xf numFmtId="0" fontId="15" fillId="16" borderId="1" xfId="0" applyFont="1" applyFill="1" applyBorder="1" applyAlignment="1">
      <alignment horizontal="center" wrapText="1"/>
    </xf>
    <xf numFmtId="0" fontId="0" fillId="0" borderId="0" xfId="0" applyBorder="1" applyAlignment="1">
      <alignment horizontal="center"/>
    </xf>
    <xf numFmtId="0" fontId="5" fillId="2" borderId="0" xfId="0" applyFont="1" applyFill="1" applyBorder="1" applyAlignment="1" applyProtection="1"/>
    <xf numFmtId="0" fontId="0" fillId="0" borderId="2" xfId="0" applyBorder="1" applyAlignment="1">
      <alignment horizontal="center" vertical="top"/>
    </xf>
    <xf numFmtId="0" fontId="20" fillId="0" borderId="0" xfId="0" applyFont="1" applyFill="1" applyBorder="1"/>
    <xf numFmtId="0" fontId="20" fillId="0" borderId="0" xfId="0" applyFont="1" applyBorder="1" applyProtection="1"/>
    <xf numFmtId="0" fontId="20" fillId="0" borderId="11" xfId="0" applyFont="1" applyBorder="1"/>
    <xf numFmtId="0" fontId="20" fillId="0" borderId="11" xfId="0" applyFont="1" applyBorder="1" applyProtection="1"/>
    <xf numFmtId="0" fontId="10" fillId="0" borderId="0" xfId="0" applyFont="1"/>
    <xf numFmtId="0" fontId="10" fillId="0" borderId="0" xfId="0" applyFont="1" applyFill="1" applyBorder="1"/>
    <xf numFmtId="0" fontId="20" fillId="0" borderId="0" xfId="0" applyFont="1" applyAlignment="1">
      <alignment horizontal="center"/>
    </xf>
    <xf numFmtId="0" fontId="10" fillId="0" borderId="0" xfId="0" applyFont="1" applyAlignment="1"/>
    <xf numFmtId="0" fontId="20" fillId="0" borderId="0" xfId="0" applyFont="1" applyAlignment="1"/>
    <xf numFmtId="0" fontId="2" fillId="0" borderId="0" xfId="0" applyFont="1" applyFill="1" applyAlignment="1"/>
    <xf numFmtId="0" fontId="2" fillId="0" borderId="0" xfId="0" applyFont="1" applyFill="1" applyAlignment="1">
      <alignment horizontal="center"/>
    </xf>
    <xf numFmtId="0" fontId="20" fillId="0" borderId="0" xfId="0" applyFont="1"/>
    <xf numFmtId="0" fontId="20" fillId="0" borderId="0" xfId="0" applyFont="1" applyFill="1" applyBorder="1" applyAlignment="1">
      <alignment horizontal="center"/>
    </xf>
    <xf numFmtId="0" fontId="2" fillId="0" borderId="0" xfId="0" applyFont="1" applyFill="1" applyAlignment="1">
      <alignment horizontal="left"/>
    </xf>
    <xf numFmtId="0" fontId="20" fillId="0" borderId="0" xfId="0" applyFont="1" applyFill="1"/>
    <xf numFmtId="0" fontId="19" fillId="0" borderId="0" xfId="0" applyFont="1" applyFill="1"/>
    <xf numFmtId="0" fontId="19" fillId="0" borderId="0" xfId="0" applyFont="1" applyFill="1" applyBorder="1" applyAlignment="1">
      <alignment horizontal="center"/>
    </xf>
    <xf numFmtId="0" fontId="18" fillId="0" borderId="0" xfId="0" applyFont="1" applyFill="1"/>
    <xf numFmtId="0" fontId="18" fillId="0" borderId="0" xfId="0" applyFont="1" applyFill="1" applyBorder="1"/>
    <xf numFmtId="0" fontId="20" fillId="0" borderId="1" xfId="0" applyFont="1" applyBorder="1" applyAlignment="1" applyProtection="1">
      <alignment horizontal="center"/>
    </xf>
    <xf numFmtId="0" fontId="20" fillId="0" borderId="1" xfId="0" applyFont="1" applyBorder="1" applyAlignment="1" applyProtection="1">
      <alignment horizontal="left"/>
    </xf>
    <xf numFmtId="0" fontId="20" fillId="0" borderId="0" xfId="0" applyFont="1" applyFill="1" applyBorder="1" applyAlignment="1" applyProtection="1">
      <alignment horizontal="left"/>
    </xf>
    <xf numFmtId="0" fontId="20" fillId="0" borderId="0" xfId="0" applyFont="1" applyFill="1" applyBorder="1" applyAlignment="1" applyProtection="1">
      <alignment horizontal="center"/>
    </xf>
    <xf numFmtId="0" fontId="20" fillId="0" borderId="0" xfId="0" applyFont="1" applyFill="1" applyBorder="1" applyProtection="1"/>
    <xf numFmtId="0" fontId="20" fillId="0" borderId="11" xfId="0" applyFont="1" applyFill="1" applyBorder="1" applyProtection="1"/>
    <xf numFmtId="0" fontId="20" fillId="0" borderId="0" xfId="0" applyFont="1" applyBorder="1" applyAlignment="1" applyProtection="1">
      <alignment horizontal="left"/>
    </xf>
    <xf numFmtId="0" fontId="20" fillId="0" borderId="0" xfId="0" applyFont="1" applyBorder="1" applyAlignment="1" applyProtection="1">
      <alignment horizontal="center"/>
    </xf>
    <xf numFmtId="0" fontId="20" fillId="0" borderId="11" xfId="0" applyFont="1" applyBorder="1" applyAlignment="1" applyProtection="1">
      <alignment horizontal="left"/>
    </xf>
    <xf numFmtId="0" fontId="19" fillId="0" borderId="1" xfId="0" applyFont="1" applyFill="1" applyBorder="1" applyAlignment="1" applyProtection="1">
      <alignment horizontal="center"/>
    </xf>
    <xf numFmtId="0" fontId="19" fillId="0" borderId="0" xfId="0" applyFont="1" applyFill="1" applyBorder="1" applyAlignment="1" applyProtection="1">
      <alignment horizontal="center"/>
    </xf>
    <xf numFmtId="0" fontId="0" fillId="0" borderId="4" xfId="0" applyBorder="1" applyAlignment="1">
      <alignment horizontal="left" wrapText="1"/>
    </xf>
    <xf numFmtId="0" fontId="4" fillId="16" borderId="1" xfId="0" applyFont="1" applyFill="1" applyBorder="1" applyAlignment="1">
      <alignment horizontal="center" wrapText="1"/>
    </xf>
    <xf numFmtId="0" fontId="18" fillId="0" borderId="0" xfId="0" applyFont="1" applyProtection="1"/>
    <xf numFmtId="0" fontId="5" fillId="0" borderId="0" xfId="0" applyFont="1" applyFill="1" applyBorder="1" applyAlignment="1" applyProtection="1">
      <alignment horizontal="left"/>
    </xf>
    <xf numFmtId="0" fontId="0" fillId="3" borderId="9" xfId="0" applyFill="1" applyBorder="1" applyAlignment="1" applyProtection="1">
      <alignment horizontal="center"/>
    </xf>
    <xf numFmtId="0" fontId="0" fillId="0" borderId="0" xfId="0" applyBorder="1" applyAlignment="1" applyProtection="1">
      <alignment horizontal="center"/>
    </xf>
    <xf numFmtId="0" fontId="5" fillId="0" borderId="0" xfId="0" applyFont="1" applyFill="1" applyBorder="1" applyAlignment="1" applyProtection="1"/>
    <xf numFmtId="0" fontId="0" fillId="0" borderId="11" xfId="0" applyFill="1" applyBorder="1" applyAlignment="1" applyProtection="1"/>
    <xf numFmtId="0" fontId="0" fillId="0" borderId="11" xfId="0" applyBorder="1" applyAlignment="1" applyProtection="1"/>
    <xf numFmtId="0" fontId="0" fillId="0" borderId="13" xfId="0" applyBorder="1" applyAlignment="1" applyProtection="1"/>
    <xf numFmtId="0" fontId="0" fillId="0" borderId="8" xfId="0" applyBorder="1" applyAlignment="1" applyProtection="1"/>
    <xf numFmtId="0" fontId="0" fillId="0" borderId="9" xfId="0" applyBorder="1" applyAlignment="1" applyProtection="1"/>
    <xf numFmtId="0" fontId="0" fillId="0" borderId="10" xfId="0" applyBorder="1" applyAlignment="1" applyProtection="1"/>
    <xf numFmtId="0" fontId="0" fillId="0" borderId="0" xfId="0" applyBorder="1" applyAlignment="1" applyProtection="1"/>
    <xf numFmtId="0" fontId="0" fillId="0" borderId="0" xfId="0" applyAlignment="1" applyProtection="1"/>
    <xf numFmtId="0" fontId="0" fillId="0" borderId="14" xfId="0" applyBorder="1" applyAlignment="1" applyProtection="1"/>
    <xf numFmtId="0" fontId="0" fillId="0" borderId="2" xfId="0" applyBorder="1" applyAlignment="1" applyProtection="1"/>
    <xf numFmtId="0" fontId="18" fillId="0" borderId="0" xfId="0" applyFont="1" applyFill="1" applyBorder="1" applyAlignment="1" applyProtection="1">
      <alignment horizontal="center"/>
    </xf>
    <xf numFmtId="0" fontId="5" fillId="2" borderId="0" xfId="0" applyFont="1" applyFill="1" applyBorder="1" applyProtection="1"/>
    <xf numFmtId="0" fontId="18" fillId="0" borderId="0" xfId="0" applyFont="1" applyFill="1" applyBorder="1" applyAlignment="1" applyProtection="1"/>
    <xf numFmtId="0" fontId="0" fillId="0" borderId="48" xfId="0" applyBorder="1"/>
    <xf numFmtId="0" fontId="0" fillId="0" borderId="3" xfId="0" applyFont="1" applyBorder="1"/>
    <xf numFmtId="0" fontId="0" fillId="0" borderId="4" xfId="0" applyFont="1" applyBorder="1"/>
    <xf numFmtId="0" fontId="0" fillId="15" borderId="1" xfId="0" applyFill="1" applyBorder="1" applyAlignment="1" applyProtection="1">
      <alignment horizontal="center"/>
      <protection locked="0"/>
    </xf>
    <xf numFmtId="12" fontId="0" fillId="15" borderId="1" xfId="0" applyNumberFormat="1" applyFill="1" applyBorder="1" applyAlignment="1" applyProtection="1">
      <alignment horizontal="center"/>
      <protection locked="0"/>
    </xf>
    <xf numFmtId="0" fontId="0" fillId="15" borderId="1" xfId="0" applyFont="1" applyFill="1" applyBorder="1" applyAlignment="1" applyProtection="1">
      <alignment horizontal="center"/>
      <protection locked="0"/>
    </xf>
    <xf numFmtId="12" fontId="0" fillId="14" borderId="7" xfId="0" applyNumberFormat="1" applyFill="1" applyBorder="1" applyAlignment="1" applyProtection="1">
      <alignment horizontal="center"/>
    </xf>
    <xf numFmtId="0" fontId="0" fillId="0" borderId="1" xfId="0" applyBorder="1" applyAlignment="1" applyProtection="1">
      <alignment horizontal="center"/>
    </xf>
    <xf numFmtId="0" fontId="0" fillId="15" borderId="0" xfId="0" applyFill="1" applyBorder="1" applyAlignment="1" applyProtection="1"/>
    <xf numFmtId="0" fontId="18" fillId="0" borderId="0" xfId="0" applyFont="1" applyFill="1" applyBorder="1" applyProtection="1"/>
    <xf numFmtId="0" fontId="0" fillId="4" borderId="0" xfId="0" applyNumberFormat="1" applyFill="1" applyBorder="1" applyAlignment="1" applyProtection="1">
      <alignment horizontal="left" vertical="top"/>
    </xf>
    <xf numFmtId="0" fontId="4" fillId="0" borderId="0" xfId="0" applyFont="1" applyFill="1" applyBorder="1" applyAlignment="1" applyProtection="1">
      <alignment horizontal="center"/>
    </xf>
    <xf numFmtId="0" fontId="4" fillId="0" borderId="0" xfId="0" applyFont="1" applyAlignment="1" applyProtection="1">
      <alignment horizontal="center"/>
    </xf>
    <xf numFmtId="0" fontId="4" fillId="0" borderId="0" xfId="0" applyFont="1" applyFill="1" applyBorder="1" applyProtection="1"/>
    <xf numFmtId="0" fontId="0" fillId="0" borderId="30" xfId="0" applyFill="1" applyBorder="1" applyProtection="1"/>
    <xf numFmtId="12" fontId="0" fillId="0" borderId="0" xfId="0" applyNumberFormat="1" applyFill="1" applyBorder="1" applyAlignment="1" applyProtection="1">
      <alignment horizontal="center"/>
    </xf>
    <xf numFmtId="0" fontId="0" fillId="0" borderId="30" xfId="0" applyFill="1" applyBorder="1" applyAlignment="1" applyProtection="1">
      <alignment horizontal="center"/>
    </xf>
    <xf numFmtId="0" fontId="0" fillId="0" borderId="30" xfId="0" applyBorder="1" applyProtection="1"/>
    <xf numFmtId="0" fontId="0" fillId="0" borderId="0" xfId="0" applyFont="1" applyBorder="1" applyProtection="1"/>
    <xf numFmtId="0" fontId="18" fillId="15" borderId="1" xfId="0" applyFont="1" applyFill="1" applyBorder="1" applyAlignment="1" applyProtection="1">
      <alignment horizontal="center"/>
      <protection locked="0"/>
    </xf>
    <xf numFmtId="0" fontId="0" fillId="15" borderId="33" xfId="0" applyFill="1" applyBorder="1" applyAlignment="1" applyProtection="1"/>
    <xf numFmtId="0" fontId="0" fillId="15" borderId="30" xfId="0" applyFill="1" applyBorder="1" applyAlignment="1" applyProtection="1"/>
    <xf numFmtId="0" fontId="0" fillId="15" borderId="34" xfId="0" applyFill="1" applyBorder="1" applyAlignment="1" applyProtection="1"/>
    <xf numFmtId="0" fontId="0" fillId="15" borderId="25" xfId="0" applyFill="1" applyBorder="1" applyAlignment="1" applyProtection="1"/>
    <xf numFmtId="0" fontId="5" fillId="15" borderId="26" xfId="0" applyFont="1" applyFill="1" applyBorder="1" applyAlignment="1" applyProtection="1">
      <alignment horizontal="center"/>
    </xf>
    <xf numFmtId="0" fontId="0" fillId="15" borderId="25" xfId="0" applyFill="1" applyBorder="1" applyProtection="1"/>
    <xf numFmtId="0" fontId="0" fillId="15" borderId="26" xfId="0" applyFill="1" applyBorder="1" applyAlignment="1" applyProtection="1"/>
    <xf numFmtId="0" fontId="4" fillId="15" borderId="26" xfId="0" applyFont="1" applyFill="1" applyBorder="1" applyProtection="1"/>
    <xf numFmtId="0" fontId="11" fillId="15" borderId="0" xfId="0" applyFont="1" applyFill="1" applyBorder="1" applyAlignment="1" applyProtection="1">
      <alignment vertical="center"/>
    </xf>
    <xf numFmtId="0" fontId="0" fillId="15" borderId="0" xfId="0" applyFill="1" applyBorder="1" applyAlignment="1" applyProtection="1">
      <alignment vertical="center"/>
    </xf>
    <xf numFmtId="0" fontId="4" fillId="15" borderId="0" xfId="0" applyFont="1" applyFill="1" applyBorder="1" applyProtection="1"/>
    <xf numFmtId="0" fontId="0" fillId="15" borderId="26" xfId="0" applyFill="1" applyBorder="1" applyAlignment="1" applyProtection="1">
      <alignment horizontal="left"/>
    </xf>
    <xf numFmtId="0" fontId="0" fillId="15" borderId="0" xfId="0" applyFill="1" applyBorder="1" applyProtection="1"/>
    <xf numFmtId="0" fontId="0" fillId="15" borderId="26" xfId="0" applyFill="1" applyBorder="1" applyProtection="1"/>
    <xf numFmtId="0" fontId="0" fillId="15" borderId="0" xfId="0" applyFont="1" applyFill="1" applyBorder="1" applyAlignment="1" applyProtection="1">
      <alignment horizontal="center"/>
    </xf>
    <xf numFmtId="0" fontId="0" fillId="15" borderId="35" xfId="0" applyFill="1" applyBorder="1" applyProtection="1"/>
    <xf numFmtId="0" fontId="0" fillId="15" borderId="29" xfId="0" applyFill="1" applyBorder="1" applyProtection="1"/>
    <xf numFmtId="0" fontId="0" fillId="15" borderId="36" xfId="0" applyFill="1" applyBorder="1" applyProtection="1"/>
    <xf numFmtId="0" fontId="4" fillId="0" borderId="0" xfId="0" applyFont="1" applyAlignment="1" applyProtection="1">
      <alignment horizontal="right"/>
    </xf>
    <xf numFmtId="0" fontId="0" fillId="15" borderId="0" xfId="0" applyFill="1" applyBorder="1" applyAlignment="1" applyProtection="1">
      <alignment horizontal="left"/>
    </xf>
    <xf numFmtId="0" fontId="4" fillId="15" borderId="0" xfId="0" applyFont="1" applyFill="1" applyBorder="1" applyAlignment="1" applyProtection="1">
      <alignment horizontal="left"/>
    </xf>
    <xf numFmtId="49" fontId="0" fillId="0" borderId="3" xfId="0" applyNumberFormat="1" applyFill="1" applyBorder="1" applyAlignment="1">
      <alignment horizontal="left"/>
    </xf>
    <xf numFmtId="49" fontId="0" fillId="0" borderId="4" xfId="0" applyNumberFormat="1" applyFill="1" applyBorder="1" applyAlignment="1">
      <alignment horizontal="left"/>
    </xf>
    <xf numFmtId="49" fontId="0" fillId="0" borderId="5" xfId="0" applyNumberFormat="1" applyFill="1" applyBorder="1" applyAlignment="1">
      <alignment horizontal="left"/>
    </xf>
    <xf numFmtId="0" fontId="10" fillId="0" borderId="1" xfId="0" applyFont="1" applyBorder="1" applyAlignment="1">
      <alignment horizontal="center"/>
    </xf>
    <xf numFmtId="0" fontId="4" fillId="0" borderId="1" xfId="0" applyFont="1" applyBorder="1" applyAlignment="1">
      <alignment horizontal="center"/>
    </xf>
    <xf numFmtId="0" fontId="0" fillId="14" borderId="1" xfId="0" applyFont="1" applyFill="1" applyBorder="1" applyAlignment="1">
      <alignment horizontal="center"/>
    </xf>
    <xf numFmtId="0" fontId="0" fillId="0" borderId="0" xfId="0" applyFill="1" applyBorder="1" applyProtection="1"/>
    <xf numFmtId="0" fontId="5" fillId="2" borderId="12" xfId="0" applyNumberFormat="1" applyFont="1" applyFill="1" applyBorder="1" applyAlignment="1" applyProtection="1">
      <alignment horizontal="center" vertical="top" wrapText="1"/>
    </xf>
    <xf numFmtId="0" fontId="5" fillId="2" borderId="0" xfId="0" applyNumberFormat="1" applyFont="1" applyFill="1" applyBorder="1" applyAlignment="1" applyProtection="1">
      <alignment horizontal="center" vertical="top" wrapText="1"/>
    </xf>
    <xf numFmtId="0" fontId="5" fillId="2" borderId="11" xfId="0" applyNumberFormat="1" applyFont="1" applyFill="1" applyBorder="1" applyAlignment="1" applyProtection="1">
      <alignment horizontal="center" vertical="top" wrapText="1"/>
    </xf>
    <xf numFmtId="0" fontId="5" fillId="0" borderId="0" xfId="0" applyFont="1" applyFill="1" applyBorder="1" applyAlignment="1" applyProtection="1"/>
    <xf numFmtId="0" fontId="5" fillId="2" borderId="0" xfId="0" applyFont="1" applyFill="1" applyBorder="1" applyProtection="1"/>
    <xf numFmtId="0" fontId="5" fillId="2" borderId="0" xfId="0" applyFont="1" applyFill="1" applyBorder="1" applyAlignment="1" applyProtection="1">
      <alignment horizontal="left"/>
    </xf>
    <xf numFmtId="0" fontId="0" fillId="0" borderId="0" xfId="0" applyBorder="1" applyProtection="1"/>
    <xf numFmtId="0" fontId="5" fillId="2" borderId="0" xfId="0" applyFont="1" applyFill="1" applyProtection="1"/>
    <xf numFmtId="0" fontId="0" fillId="0" borderId="14" xfId="0" applyBorder="1"/>
    <xf numFmtId="0" fontId="4" fillId="0" borderId="14" xfId="0" applyFont="1" applyBorder="1" applyAlignment="1">
      <alignment horizontal="center"/>
    </xf>
    <xf numFmtId="0" fontId="4" fillId="0" borderId="2" xfId="0" applyFont="1" applyBorder="1" applyAlignment="1">
      <alignment horizontal="center"/>
    </xf>
    <xf numFmtId="0" fontId="4" fillId="0" borderId="13" xfId="0" applyFont="1" applyBorder="1" applyAlignment="1">
      <alignment horizontal="center"/>
    </xf>
    <xf numFmtId="0" fontId="18" fillId="0" borderId="0" xfId="0" applyNumberFormat="1" applyFont="1" applyFill="1" applyBorder="1" applyAlignment="1" applyProtection="1">
      <alignment horizontal="center" vertical="top" wrapText="1"/>
    </xf>
    <xf numFmtId="0" fontId="0" fillId="0" borderId="1" xfId="0" applyBorder="1" applyAlignment="1">
      <alignment horizontal="left" vertical="center" wrapText="1"/>
    </xf>
    <xf numFmtId="0" fontId="0" fillId="10" borderId="20" xfId="0" applyFill="1" applyBorder="1" applyAlignment="1">
      <alignment vertical="top"/>
    </xf>
    <xf numFmtId="0" fontId="0" fillId="0" borderId="0" xfId="0" applyAlignment="1">
      <alignment vertical="top"/>
    </xf>
    <xf numFmtId="0" fontId="0" fillId="18" borderId="0" xfId="0" applyFill="1" applyAlignment="1">
      <alignment vertical="top"/>
    </xf>
    <xf numFmtId="0" fontId="0" fillId="0" borderId="20" xfId="0" applyBorder="1" applyAlignment="1">
      <alignment vertical="top"/>
    </xf>
    <xf numFmtId="0" fontId="0" fillId="0" borderId="0" xfId="0" applyAlignment="1">
      <alignment vertical="top" wrapText="1"/>
    </xf>
    <xf numFmtId="0" fontId="18" fillId="19" borderId="0" xfId="0" applyFont="1" applyFill="1" applyAlignment="1">
      <alignment vertical="top"/>
    </xf>
    <xf numFmtId="0" fontId="18" fillId="17" borderId="0" xfId="0" applyFont="1" applyFill="1" applyAlignment="1">
      <alignment vertical="top"/>
    </xf>
    <xf numFmtId="0" fontId="0" fillId="20" borderId="0" xfId="0" applyFill="1" applyAlignment="1">
      <alignment vertical="top"/>
    </xf>
    <xf numFmtId="0" fontId="12" fillId="0" borderId="0" xfId="0" applyFont="1"/>
    <xf numFmtId="0" fontId="12" fillId="0" borderId="0" xfId="0" applyFont="1" applyAlignment="1">
      <alignment wrapText="1"/>
    </xf>
    <xf numFmtId="0" fontId="25" fillId="22" borderId="52" xfId="0" applyFont="1" applyFill="1" applyBorder="1" applyAlignment="1">
      <alignment horizontal="center" vertical="top" wrapText="1"/>
    </xf>
    <xf numFmtId="0" fontId="25" fillId="22" borderId="53" xfId="0" applyFont="1" applyFill="1" applyBorder="1" applyAlignment="1">
      <alignment horizontal="center" vertical="top" wrapText="1"/>
    </xf>
    <xf numFmtId="0" fontId="24" fillId="21" borderId="54" xfId="0" applyFont="1" applyFill="1" applyBorder="1" applyAlignment="1">
      <alignment horizontal="center" vertical="center" wrapText="1"/>
    </xf>
    <xf numFmtId="0" fontId="24" fillId="21" borderId="55" xfId="0" applyFont="1" applyFill="1" applyBorder="1" applyAlignment="1">
      <alignment horizontal="center" vertical="center" wrapText="1"/>
    </xf>
    <xf numFmtId="0" fontId="25" fillId="22" borderId="0" xfId="0" applyFont="1" applyFill="1" applyBorder="1" applyAlignment="1">
      <alignment horizontal="left" vertical="top" wrapText="1"/>
    </xf>
    <xf numFmtId="0" fontId="25" fillId="22" borderId="56" xfId="0" applyFont="1" applyFill="1" applyBorder="1" applyAlignment="1">
      <alignment horizontal="center" vertical="top" wrapText="1"/>
    </xf>
    <xf numFmtId="0" fontId="25" fillId="22" borderId="57" xfId="0" applyFont="1" applyFill="1" applyBorder="1" applyAlignment="1">
      <alignment horizontal="center" vertical="top" wrapText="1"/>
    </xf>
    <xf numFmtId="0" fontId="26" fillId="0" borderId="0" xfId="0" applyFont="1"/>
    <xf numFmtId="0" fontId="0" fillId="23" borderId="0" xfId="0" applyFill="1"/>
    <xf numFmtId="0" fontId="0" fillId="0" borderId="12" xfId="0" applyBorder="1" applyAlignment="1">
      <alignment vertical="center"/>
    </xf>
    <xf numFmtId="0" fontId="0" fillId="0" borderId="0" xfId="0" applyFill="1" applyBorder="1" applyAlignment="1">
      <alignment vertical="center"/>
    </xf>
    <xf numFmtId="0" fontId="0" fillId="0" borderId="0" xfId="0" applyBorder="1" applyAlignment="1">
      <alignment vertical="center"/>
    </xf>
    <xf numFmtId="0" fontId="0" fillId="0" borderId="11" xfId="0" applyBorder="1" applyAlignment="1">
      <alignment vertical="center"/>
    </xf>
    <xf numFmtId="0" fontId="0" fillId="0" borderId="0" xfId="0" applyAlignment="1">
      <alignment vertical="center"/>
    </xf>
    <xf numFmtId="0" fontId="0" fillId="14" borderId="1" xfId="0" applyFill="1" applyBorder="1" applyAlignment="1" applyProtection="1">
      <alignment horizontal="center" vertical="center"/>
    </xf>
    <xf numFmtId="0" fontId="0" fillId="0" borderId="0" xfId="0" applyBorder="1" applyAlignment="1" applyProtection="1">
      <alignment vertical="center"/>
    </xf>
    <xf numFmtId="0" fontId="13" fillId="9" borderId="1" xfId="0" applyFont="1" applyFill="1" applyBorder="1" applyAlignment="1">
      <alignment horizontal="center" vertical="center"/>
    </xf>
    <xf numFmtId="0" fontId="13" fillId="6" borderId="1" xfId="0" applyFont="1" applyFill="1" applyBorder="1" applyAlignment="1">
      <alignment horizontal="center" vertical="center"/>
    </xf>
    <xf numFmtId="0" fontId="6" fillId="0" borderId="0" xfId="0" applyFont="1" applyBorder="1" applyAlignment="1">
      <alignment horizontal="center" vertical="center"/>
    </xf>
    <xf numFmtId="0" fontId="13" fillId="8" borderId="1" xfId="0" applyFont="1" applyFill="1" applyBorder="1" applyAlignment="1">
      <alignment horizontal="center" vertical="center"/>
    </xf>
    <xf numFmtId="0" fontId="0" fillId="0" borderId="0" xfId="0" applyBorder="1" applyAlignment="1">
      <alignment horizontal="center" vertical="center"/>
    </xf>
    <xf numFmtId="0" fontId="0" fillId="14" borderId="1" xfId="0" applyFill="1" applyBorder="1" applyAlignment="1">
      <alignment horizontal="center" vertical="center"/>
    </xf>
    <xf numFmtId="0" fontId="18" fillId="14" borderId="1" xfId="0" applyFont="1" applyFill="1" applyBorder="1" applyAlignment="1" applyProtection="1">
      <alignment horizontal="center" vertical="center"/>
    </xf>
    <xf numFmtId="0" fontId="18" fillId="0" borderId="0" xfId="0" applyFont="1" applyFill="1" applyBorder="1" applyAlignment="1" applyProtection="1">
      <alignment horizontal="center" vertical="center"/>
    </xf>
    <xf numFmtId="0" fontId="13" fillId="7" borderId="1" xfId="0" applyFont="1" applyFill="1" applyBorder="1" applyAlignment="1">
      <alignment horizontal="center" vertical="center"/>
    </xf>
    <xf numFmtId="0" fontId="4" fillId="0" borderId="1" xfId="0" applyFont="1" applyBorder="1" applyAlignment="1" applyProtection="1">
      <alignment horizontal="center" vertical="center"/>
      <protection locked="0"/>
    </xf>
    <xf numFmtId="0" fontId="17" fillId="0" borderId="0" xfId="0" applyFont="1" applyFill="1" applyBorder="1" applyAlignment="1">
      <alignment vertical="center"/>
    </xf>
    <xf numFmtId="0" fontId="17" fillId="0" borderId="0" xfId="0" applyFont="1" applyFill="1" applyBorder="1" applyProtection="1"/>
    <xf numFmtId="0" fontId="17" fillId="0" borderId="0" xfId="0" applyFont="1" applyFill="1" applyBorder="1" applyAlignment="1" applyProtection="1">
      <alignment vertical="center"/>
    </xf>
    <xf numFmtId="0" fontId="11" fillId="15" borderId="25" xfId="0" applyFont="1" applyFill="1" applyBorder="1" applyAlignment="1" applyProtection="1">
      <alignment vertical="center"/>
    </xf>
    <xf numFmtId="0" fontId="4" fillId="15" borderId="25" xfId="0" applyFont="1" applyFill="1" applyBorder="1" applyProtection="1"/>
    <xf numFmtId="0" fontId="4" fillId="15" borderId="25" xfId="0" applyFont="1" applyFill="1" applyBorder="1" applyAlignment="1" applyProtection="1">
      <alignment horizontal="left"/>
    </xf>
    <xf numFmtId="0" fontId="10" fillId="0" borderId="0" xfId="0" applyFont="1" applyBorder="1" applyAlignment="1">
      <alignment horizontal="left"/>
    </xf>
    <xf numFmtId="0" fontId="5" fillId="0" borderId="0" xfId="0" applyFont="1" applyFill="1" applyBorder="1" applyAlignment="1">
      <alignment horizontal="left"/>
    </xf>
    <xf numFmtId="49" fontId="4" fillId="0" borderId="1" xfId="0" applyNumberFormat="1" applyFont="1" applyBorder="1" applyAlignment="1">
      <alignment wrapText="1"/>
    </xf>
    <xf numFmtId="49" fontId="4" fillId="0" borderId="0" xfId="0" applyNumberFormat="1" applyFont="1" applyBorder="1" applyAlignment="1">
      <alignment wrapText="1"/>
    </xf>
    <xf numFmtId="49" fontId="4" fillId="0" borderId="37" xfId="0" applyNumberFormat="1" applyFont="1" applyBorder="1" applyAlignment="1">
      <alignment wrapText="1"/>
    </xf>
    <xf numFmtId="49" fontId="4" fillId="0" borderId="32" xfId="0" applyNumberFormat="1" applyFont="1" applyBorder="1" applyAlignment="1">
      <alignment wrapText="1"/>
    </xf>
    <xf numFmtId="49" fontId="4" fillId="0" borderId="38" xfId="0" applyNumberFormat="1" applyFont="1" applyBorder="1" applyAlignment="1">
      <alignment wrapText="1"/>
    </xf>
    <xf numFmtId="49" fontId="4" fillId="0" borderId="37" xfId="0" applyNumberFormat="1" applyFont="1" applyFill="1" applyBorder="1" applyAlignment="1">
      <alignment wrapText="1"/>
    </xf>
    <xf numFmtId="49" fontId="4" fillId="0" borderId="32" xfId="0" applyNumberFormat="1" applyFont="1" applyFill="1" applyBorder="1" applyAlignment="1">
      <alignment wrapText="1"/>
    </xf>
    <xf numFmtId="49" fontId="4" fillId="0" borderId="38" xfId="0" applyNumberFormat="1" applyFont="1" applyFill="1" applyBorder="1" applyAlignment="1">
      <alignment wrapText="1"/>
    </xf>
    <xf numFmtId="0" fontId="6" fillId="0" borderId="0" xfId="0" applyFont="1" applyBorder="1" applyAlignment="1">
      <alignment horizontal="center"/>
    </xf>
    <xf numFmtId="0" fontId="4" fillId="0" borderId="0" xfId="0" applyFont="1" applyAlignment="1" applyProtection="1">
      <alignment horizontal="center"/>
    </xf>
    <xf numFmtId="0" fontId="0" fillId="0" borderId="0" xfId="0" applyBorder="1" applyProtection="1"/>
    <xf numFmtId="0" fontId="4" fillId="0" borderId="0" xfId="0" applyFont="1" applyFill="1" applyBorder="1" applyProtection="1"/>
    <xf numFmtId="0" fontId="27" fillId="0" borderId="0" xfId="0" applyFont="1" applyFill="1"/>
    <xf numFmtId="0" fontId="0" fillId="0" borderId="59" xfId="0" applyBorder="1"/>
    <xf numFmtId="0" fontId="0" fillId="0" borderId="28" xfId="0" applyBorder="1"/>
    <xf numFmtId="0" fontId="0" fillId="0" borderId="60" xfId="0" applyBorder="1"/>
    <xf numFmtId="0" fontId="4" fillId="0" borderId="37" xfId="0" applyFont="1" applyFill="1" applyBorder="1"/>
    <xf numFmtId="0" fontId="0" fillId="0" borderId="31" xfId="0" applyFill="1" applyBorder="1"/>
    <xf numFmtId="12" fontId="0" fillId="0" borderId="0" xfId="0" applyNumberFormat="1" applyBorder="1" applyAlignment="1">
      <alignment horizontal="center"/>
    </xf>
    <xf numFmtId="12" fontId="0" fillId="0" borderId="0" xfId="0" applyNumberFormat="1" applyFill="1" applyBorder="1" applyAlignment="1">
      <alignment horizontal="center"/>
    </xf>
    <xf numFmtId="0" fontId="0" fillId="0" borderId="0" xfId="0" applyFont="1" applyFill="1" applyBorder="1" applyAlignment="1" applyProtection="1">
      <alignment horizontal="center"/>
    </xf>
    <xf numFmtId="0" fontId="5" fillId="2" borderId="8" xfId="0" applyFont="1" applyFill="1" applyBorder="1" applyProtection="1"/>
    <xf numFmtId="0" fontId="5" fillId="0" borderId="9" xfId="0" applyFont="1" applyFill="1" applyBorder="1" applyProtection="1"/>
    <xf numFmtId="0" fontId="0" fillId="0" borderId="10" xfId="0" applyBorder="1" applyAlignment="1" applyProtection="1">
      <alignment horizontal="center"/>
    </xf>
    <xf numFmtId="0" fontId="0" fillId="0" borderId="9" xfId="0" applyBorder="1" applyAlignment="1" applyProtection="1">
      <alignment horizontal="center"/>
    </xf>
    <xf numFmtId="0" fontId="5" fillId="0" borderId="12" xfId="0" applyFont="1" applyFill="1" applyBorder="1" applyProtection="1"/>
    <xf numFmtId="0" fontId="5" fillId="0" borderId="12" xfId="0" applyFont="1" applyFill="1" applyBorder="1" applyAlignment="1" applyProtection="1"/>
    <xf numFmtId="0" fontId="2" fillId="0" borderId="12" xfId="0" applyFont="1" applyFill="1" applyBorder="1" applyAlignment="1" applyProtection="1">
      <alignment horizontal="left"/>
    </xf>
    <xf numFmtId="0" fontId="5" fillId="2" borderId="1" xfId="0" applyFont="1" applyFill="1" applyBorder="1" applyProtection="1"/>
    <xf numFmtId="0" fontId="5" fillId="2" borderId="37" xfId="0" applyFont="1" applyFill="1" applyBorder="1" applyProtection="1"/>
    <xf numFmtId="0" fontId="5" fillId="2" borderId="12" xfId="0" applyFont="1" applyFill="1" applyBorder="1" applyProtection="1"/>
    <xf numFmtId="0" fontId="5" fillId="0" borderId="1" xfId="0" applyFont="1" applyFill="1" applyBorder="1" applyProtection="1"/>
    <xf numFmtId="0" fontId="0" fillId="0" borderId="14" xfId="0" applyBorder="1" applyProtection="1"/>
    <xf numFmtId="0" fontId="0" fillId="0" borderId="16" xfId="0" applyBorder="1"/>
    <xf numFmtId="0" fontId="0" fillId="0" borderId="18" xfId="0" applyBorder="1"/>
    <xf numFmtId="0" fontId="0" fillId="0" borderId="19" xfId="0" applyBorder="1"/>
    <xf numFmtId="0" fontId="0" fillId="0" borderId="21" xfId="0" applyBorder="1"/>
    <xf numFmtId="0" fontId="0" fillId="0" borderId="22" xfId="0" applyBorder="1"/>
    <xf numFmtId="0" fontId="0" fillId="0" borderId="24" xfId="0" applyBorder="1"/>
    <xf numFmtId="0" fontId="0" fillId="0" borderId="28" xfId="0" applyBorder="1" applyAlignment="1"/>
    <xf numFmtId="0" fontId="0" fillId="0" borderId="27" xfId="0" applyBorder="1" applyAlignment="1"/>
    <xf numFmtId="0" fontId="0" fillId="0" borderId="61" xfId="0" applyBorder="1" applyAlignment="1"/>
    <xf numFmtId="0" fontId="0" fillId="0" borderId="60" xfId="0" applyBorder="1" applyAlignment="1"/>
    <xf numFmtId="0" fontId="0" fillId="0" borderId="50" xfId="0" applyBorder="1" applyAlignment="1"/>
    <xf numFmtId="0" fontId="0" fillId="0" borderId="62" xfId="0" applyBorder="1" applyAlignment="1"/>
    <xf numFmtId="0" fontId="9" fillId="2" borderId="0" xfId="0" applyFont="1" applyFill="1" applyBorder="1" applyAlignment="1">
      <alignment horizontal="center"/>
    </xf>
    <xf numFmtId="0" fontId="0" fillId="0" borderId="1" xfId="0" applyBorder="1" applyProtection="1">
      <protection locked="0"/>
    </xf>
    <xf numFmtId="0" fontId="5" fillId="2" borderId="0" xfId="0" applyFont="1" applyFill="1" applyBorder="1" applyAlignment="1" applyProtection="1">
      <alignment horizontal="center"/>
    </xf>
    <xf numFmtId="0" fontId="0" fillId="0" borderId="0" xfId="0" applyBorder="1" applyAlignment="1" applyProtection="1">
      <alignment horizontal="center"/>
    </xf>
    <xf numFmtId="0" fontId="0" fillId="0" borderId="0" xfId="0" applyBorder="1" applyProtection="1"/>
    <xf numFmtId="0" fontId="0" fillId="0" borderId="1" xfId="0" applyBorder="1"/>
    <xf numFmtId="0" fontId="0" fillId="0" borderId="63" xfId="0" applyBorder="1" applyAlignment="1" applyProtection="1">
      <alignment horizontal="center"/>
    </xf>
    <xf numFmtId="0" fontId="10" fillId="0" borderId="1" xfId="0" applyFont="1" applyFill="1" applyBorder="1" applyAlignment="1" applyProtection="1">
      <alignment horizontal="center"/>
      <protection locked="0"/>
    </xf>
    <xf numFmtId="0" fontId="20" fillId="0" borderId="1" xfId="0" applyFont="1" applyBorder="1" applyAlignment="1" applyProtection="1">
      <alignment horizontal="center"/>
      <protection locked="0"/>
    </xf>
    <xf numFmtId="0" fontId="7" fillId="0" borderId="0" xfId="0" applyFont="1" applyFill="1" applyBorder="1" applyAlignment="1" applyProtection="1">
      <alignment horizontal="center"/>
    </xf>
    <xf numFmtId="0" fontId="10" fillId="0" borderId="0" xfId="0" applyFont="1" applyBorder="1" applyAlignment="1" applyProtection="1">
      <alignment horizontal="center"/>
    </xf>
    <xf numFmtId="0" fontId="20" fillId="14" borderId="1" xfId="0" applyFont="1" applyFill="1" applyBorder="1" applyAlignment="1" applyProtection="1">
      <alignment horizontal="center"/>
    </xf>
    <xf numFmtId="0" fontId="10" fillId="0" borderId="0" xfId="0" applyFont="1" applyFill="1" applyBorder="1" applyAlignment="1" applyProtection="1">
      <alignment horizontal="center"/>
    </xf>
    <xf numFmtId="0" fontId="21" fillId="0" borderId="0" xfId="0" applyFont="1" applyAlignment="1">
      <alignment vertical="top"/>
    </xf>
    <xf numFmtId="0" fontId="29" fillId="24" borderId="20" xfId="0" applyFont="1" applyFill="1" applyBorder="1" applyAlignment="1">
      <alignment horizontal="left" vertical="top" wrapText="1"/>
    </xf>
    <xf numFmtId="0" fontId="30" fillId="25" borderId="20" xfId="0" applyFont="1" applyFill="1" applyBorder="1" applyAlignment="1">
      <alignment vertical="top" wrapText="1"/>
    </xf>
    <xf numFmtId="0" fontId="30" fillId="0" borderId="20" xfId="0" applyFont="1" applyFill="1" applyBorder="1" applyAlignment="1">
      <alignment vertical="top" wrapText="1"/>
    </xf>
    <xf numFmtId="0" fontId="31" fillId="0" borderId="0" xfId="0" applyFont="1" applyFill="1" applyBorder="1" applyAlignment="1">
      <alignment vertical="top" wrapText="1"/>
    </xf>
    <xf numFmtId="0" fontId="0" fillId="0" borderId="40" xfId="0" applyBorder="1" applyProtection="1">
      <protection locked="0"/>
    </xf>
    <xf numFmtId="0" fontId="0" fillId="0" borderId="35" xfId="0" applyBorder="1" applyProtection="1">
      <protection locked="0"/>
    </xf>
    <xf numFmtId="0" fontId="0" fillId="0" borderId="20" xfId="0" applyBorder="1" applyProtection="1">
      <protection locked="0"/>
    </xf>
    <xf numFmtId="0" fontId="28" fillId="0" borderId="21" xfId="0" applyFont="1" applyBorder="1" applyProtection="1">
      <protection locked="0"/>
    </xf>
    <xf numFmtId="0" fontId="20" fillId="0" borderId="0" xfId="0" applyFont="1" applyBorder="1" applyAlignment="1">
      <alignment vertical="center"/>
    </xf>
    <xf numFmtId="0" fontId="20" fillId="0" borderId="0" xfId="0" applyFont="1" applyBorder="1" applyAlignment="1" applyProtection="1">
      <alignment vertical="center"/>
    </xf>
    <xf numFmtId="0" fontId="20" fillId="14" borderId="1" xfId="0" applyFont="1" applyFill="1" applyBorder="1" applyAlignment="1" applyProtection="1">
      <alignment horizontal="center" vertical="center"/>
    </xf>
    <xf numFmtId="0" fontId="0" fillId="0" borderId="15" xfId="0" applyBorder="1"/>
    <xf numFmtId="0" fontId="0" fillId="0" borderId="7" xfId="0" applyBorder="1"/>
    <xf numFmtId="0" fontId="0" fillId="0" borderId="6" xfId="0" applyBorder="1"/>
    <xf numFmtId="0" fontId="0" fillId="0" borderId="6" xfId="0" applyFill="1" applyBorder="1"/>
    <xf numFmtId="0" fontId="10" fillId="0" borderId="1" xfId="0" applyFont="1" applyFill="1" applyBorder="1" applyAlignment="1">
      <alignment horizontal="left"/>
    </xf>
    <xf numFmtId="0" fontId="0" fillId="0" borderId="1" xfId="0" applyFont="1" applyFill="1" applyBorder="1" applyAlignment="1" applyProtection="1">
      <alignment horizontal="center"/>
      <protection locked="0"/>
    </xf>
    <xf numFmtId="0" fontId="0" fillId="0" borderId="0" xfId="0" applyBorder="1" applyProtection="1"/>
    <xf numFmtId="0" fontId="6" fillId="0" borderId="0" xfId="0" applyFont="1" applyBorder="1" applyAlignment="1">
      <alignment vertical="center"/>
    </xf>
    <xf numFmtId="0" fontId="0" fillId="0" borderId="20" xfId="0" applyBorder="1"/>
    <xf numFmtId="0" fontId="0" fillId="0" borderId="23" xfId="0" applyBorder="1"/>
    <xf numFmtId="0" fontId="10" fillId="0" borderId="0" xfId="0" applyFont="1" applyBorder="1" applyAlignment="1">
      <alignment horizontal="center"/>
    </xf>
    <xf numFmtId="0" fontId="4" fillId="26" borderId="1" xfId="0" applyFont="1" applyFill="1" applyBorder="1" applyAlignment="1">
      <alignment horizontal="center"/>
    </xf>
    <xf numFmtId="0" fontId="4" fillId="27" borderId="1" xfId="0" applyFont="1" applyFill="1" applyBorder="1" applyAlignment="1" applyProtection="1">
      <alignment horizontal="center"/>
      <protection locked="0"/>
    </xf>
    <xf numFmtId="0" fontId="6" fillId="0" borderId="0" xfId="0" applyFont="1" applyBorder="1" applyAlignment="1">
      <alignment horizontal="center"/>
    </xf>
    <xf numFmtId="0" fontId="0" fillId="0" borderId="0" xfId="0" applyBorder="1" applyProtection="1"/>
    <xf numFmtId="0" fontId="0" fillId="0" borderId="38" xfId="0" applyFill="1" applyBorder="1"/>
    <xf numFmtId="0" fontId="10" fillId="0" borderId="9" xfId="0" applyFont="1" applyBorder="1" applyAlignment="1">
      <alignment horizontal="center"/>
    </xf>
    <xf numFmtId="0" fontId="20" fillId="26" borderId="1" xfId="0" applyFont="1" applyFill="1" applyBorder="1" applyAlignment="1">
      <alignment horizontal="center"/>
    </xf>
    <xf numFmtId="0" fontId="10" fillId="0" borderId="0" xfId="0" applyFont="1" applyFill="1" applyBorder="1" applyAlignment="1">
      <alignment horizontal="center"/>
    </xf>
    <xf numFmtId="0" fontId="20" fillId="0" borderId="1" xfId="0" applyFont="1" applyFill="1" applyBorder="1" applyAlignment="1" applyProtection="1">
      <alignment horizontal="center"/>
      <protection locked="0"/>
    </xf>
    <xf numFmtId="0" fontId="5" fillId="2" borderId="0" xfId="0" applyFont="1" applyFill="1" applyBorder="1" applyAlignment="1">
      <alignment horizontal="center"/>
    </xf>
    <xf numFmtId="0" fontId="0" fillId="0" borderId="0" xfId="0" applyBorder="1" applyAlignment="1" applyProtection="1">
      <alignment horizontal="center"/>
    </xf>
    <xf numFmtId="0" fontId="0" fillId="0" borderId="2" xfId="0" applyBorder="1" applyAlignment="1">
      <alignment horizontal="center"/>
    </xf>
    <xf numFmtId="0" fontId="5" fillId="2" borderId="0" xfId="0" applyFont="1" applyFill="1" applyBorder="1" applyAlignment="1"/>
    <xf numFmtId="0" fontId="0" fillId="0" borderId="0" xfId="0" applyBorder="1" applyAlignment="1">
      <alignment horizontal="left"/>
    </xf>
    <xf numFmtId="0" fontId="0" fillId="0" borderId="0" xfId="0" applyBorder="1" applyProtection="1"/>
    <xf numFmtId="0" fontId="0" fillId="0" borderId="9" xfId="0" applyBorder="1" applyAlignment="1">
      <alignment horizontal="center"/>
    </xf>
    <xf numFmtId="0" fontId="4" fillId="0" borderId="0" xfId="0" applyFont="1" applyFill="1" applyBorder="1" applyAlignment="1">
      <alignment horizontal="center"/>
    </xf>
    <xf numFmtId="0" fontId="0" fillId="0" borderId="39" xfId="0" applyBorder="1"/>
    <xf numFmtId="0" fontId="0" fillId="0" borderId="40" xfId="0" applyBorder="1"/>
    <xf numFmtId="0" fontId="0" fillId="0" borderId="41" xfId="0" applyBorder="1"/>
    <xf numFmtId="0" fontId="0" fillId="0" borderId="46" xfId="0" applyBorder="1"/>
    <xf numFmtId="0" fontId="0" fillId="0" borderId="47" xfId="0" applyBorder="1"/>
    <xf numFmtId="0" fontId="0" fillId="0" borderId="65" xfId="0" applyBorder="1"/>
    <xf numFmtId="0" fontId="0" fillId="0" borderId="25" xfId="0" applyFill="1" applyBorder="1"/>
    <xf numFmtId="0" fontId="0" fillId="0" borderId="0" xfId="0" quotePrefix="1"/>
    <xf numFmtId="0" fontId="5" fillId="2" borderId="0" xfId="0" applyFont="1" applyFill="1" applyBorder="1" applyAlignment="1">
      <alignment horizontal="center"/>
    </xf>
    <xf numFmtId="0" fontId="0" fillId="0" borderId="0" xfId="0" applyBorder="1" applyProtection="1"/>
    <xf numFmtId="1" fontId="30" fillId="25" borderId="20" xfId="0" applyNumberFormat="1" applyFont="1" applyFill="1" applyBorder="1" applyAlignment="1">
      <alignment horizontal="center" vertical="top" wrapText="1"/>
    </xf>
    <xf numFmtId="1" fontId="30" fillId="0" borderId="20" xfId="0" applyNumberFormat="1" applyFont="1" applyFill="1" applyBorder="1" applyAlignment="1">
      <alignment horizontal="center" vertical="top" wrapText="1"/>
    </xf>
    <xf numFmtId="1" fontId="0" fillId="0" borderId="0" xfId="0" applyNumberFormat="1" applyFill="1" applyBorder="1" applyAlignment="1">
      <alignment horizontal="center"/>
    </xf>
    <xf numFmtId="1" fontId="0" fillId="0" borderId="0" xfId="0" applyNumberFormat="1" applyBorder="1" applyAlignment="1">
      <alignment horizontal="center"/>
    </xf>
    <xf numFmtId="49" fontId="30" fillId="25" borderId="20" xfId="0" applyNumberFormat="1" applyFont="1" applyFill="1" applyBorder="1" applyAlignment="1">
      <alignment vertical="top" wrapText="1"/>
    </xf>
    <xf numFmtId="49" fontId="30" fillId="0" borderId="20" xfId="0" applyNumberFormat="1" applyFont="1" applyFill="1" applyBorder="1" applyAlignment="1">
      <alignment vertical="top" wrapText="1"/>
    </xf>
    <xf numFmtId="1" fontId="0" fillId="0" borderId="16" xfId="0" applyNumberFormat="1" applyBorder="1" applyAlignment="1">
      <alignment horizontal="center"/>
    </xf>
    <xf numFmtId="1" fontId="0" fillId="0" borderId="51" xfId="0" applyNumberFormat="1" applyFill="1" applyBorder="1" applyAlignment="1">
      <alignment horizontal="center"/>
    </xf>
    <xf numFmtId="1" fontId="0" fillId="0" borderId="20" xfId="0" applyNumberFormat="1" applyBorder="1" applyAlignment="1">
      <alignment horizontal="center"/>
    </xf>
    <xf numFmtId="1" fontId="0" fillId="0" borderId="51" xfId="0" applyNumberFormat="1" applyBorder="1" applyAlignment="1">
      <alignment horizontal="center"/>
    </xf>
    <xf numFmtId="1" fontId="0" fillId="0" borderId="0" xfId="0" applyNumberFormat="1"/>
    <xf numFmtId="1" fontId="0" fillId="0" borderId="46" xfId="0" applyNumberFormat="1" applyBorder="1" applyAlignment="1">
      <alignment horizontal="center"/>
    </xf>
    <xf numFmtId="1" fontId="0" fillId="0" borderId="47" xfId="0" applyNumberFormat="1" applyBorder="1" applyAlignment="1">
      <alignment horizontal="center"/>
    </xf>
    <xf numFmtId="1" fontId="20" fillId="0" borderId="0" xfId="0" applyNumberFormat="1" applyFont="1" applyAlignment="1">
      <alignment horizontal="center"/>
    </xf>
    <xf numFmtId="0" fontId="20" fillId="0" borderId="0" xfId="0" applyFont="1" applyBorder="1" applyAlignment="1">
      <alignment horizontal="center"/>
    </xf>
    <xf numFmtId="0" fontId="0" fillId="0" borderId="2" xfId="0" applyBorder="1" applyAlignment="1">
      <alignment horizontal="center"/>
    </xf>
    <xf numFmtId="0" fontId="5" fillId="2" borderId="9" xfId="0" applyFont="1" applyFill="1" applyBorder="1" applyAlignment="1">
      <alignment horizontal="center"/>
    </xf>
    <xf numFmtId="1" fontId="20" fillId="0" borderId="0" xfId="0" applyNumberFormat="1" applyFont="1" applyFill="1" applyBorder="1" applyAlignment="1">
      <alignment horizontal="center"/>
    </xf>
    <xf numFmtId="0" fontId="32" fillId="2" borderId="46" xfId="0" applyFont="1" applyFill="1" applyBorder="1" applyProtection="1"/>
    <xf numFmtId="0" fontId="32" fillId="2" borderId="47" xfId="0" applyFont="1" applyFill="1" applyBorder="1" applyProtection="1"/>
    <xf numFmtId="0" fontId="32" fillId="2" borderId="64" xfId="0" applyFont="1" applyFill="1" applyBorder="1" applyProtection="1"/>
    <xf numFmtId="0" fontId="33" fillId="2" borderId="65" xfId="0" applyFont="1" applyFill="1" applyBorder="1" applyProtection="1"/>
    <xf numFmtId="0" fontId="32" fillId="2" borderId="0" xfId="0" applyFont="1" applyFill="1" applyBorder="1" applyProtection="1"/>
    <xf numFmtId="0" fontId="32" fillId="2" borderId="39" xfId="0" applyFont="1" applyFill="1" applyBorder="1" applyProtection="1"/>
    <xf numFmtId="0" fontId="0" fillId="0" borderId="40" xfId="0" applyBorder="1" applyProtection="1"/>
    <xf numFmtId="0" fontId="0" fillId="0" borderId="35" xfId="0" applyBorder="1" applyProtection="1"/>
    <xf numFmtId="0" fontId="28" fillId="0" borderId="41" xfId="0" applyFont="1" applyBorder="1" applyProtection="1"/>
    <xf numFmtId="0" fontId="32" fillId="2" borderId="19" xfId="0" applyFont="1" applyFill="1" applyBorder="1" applyProtection="1"/>
    <xf numFmtId="0" fontId="28" fillId="0" borderId="0" xfId="0" applyFont="1" applyProtection="1"/>
    <xf numFmtId="0" fontId="9" fillId="2" borderId="0" xfId="0" applyFont="1" applyFill="1" applyBorder="1" applyAlignment="1">
      <alignment horizontal="center" vertical="center"/>
    </xf>
    <xf numFmtId="0" fontId="6" fillId="0" borderId="0" xfId="0" applyFont="1" applyBorder="1" applyAlignment="1">
      <alignment horizontal="center"/>
    </xf>
    <xf numFmtId="0" fontId="0" fillId="0" borderId="0" xfId="0" applyBorder="1" applyAlignment="1" applyProtection="1">
      <alignment horizontal="center"/>
    </xf>
    <xf numFmtId="0" fontId="0" fillId="0" borderId="2" xfId="0" applyBorder="1" applyAlignment="1">
      <alignment horizontal="center"/>
    </xf>
    <xf numFmtId="0" fontId="0" fillId="0" borderId="0" xfId="0" applyBorder="1" applyAlignment="1" applyProtection="1"/>
    <xf numFmtId="0" fontId="0" fillId="0" borderId="0" xfId="0" applyBorder="1" applyProtection="1"/>
    <xf numFmtId="0" fontId="4" fillId="0" borderId="0" xfId="0" applyFont="1" applyBorder="1" applyProtection="1"/>
    <xf numFmtId="165" fontId="30" fillId="25" borderId="20" xfId="0" applyNumberFormat="1" applyFont="1" applyFill="1" applyBorder="1" applyAlignment="1">
      <alignment horizontal="center" vertical="top" wrapText="1"/>
    </xf>
    <xf numFmtId="165" fontId="30" fillId="0" borderId="20" xfId="0" applyNumberFormat="1" applyFont="1" applyFill="1" applyBorder="1" applyAlignment="1">
      <alignment horizontal="center" vertical="top" wrapText="1"/>
    </xf>
    <xf numFmtId="0" fontId="0" fillId="15" borderId="0" xfId="0" applyFill="1" applyBorder="1" applyAlignment="1" applyProtection="1"/>
    <xf numFmtId="0" fontId="0" fillId="0" borderId="0" xfId="0" applyBorder="1" applyAlignment="1" applyProtection="1"/>
    <xf numFmtId="0" fontId="0" fillId="0" borderId="0" xfId="0" applyAlignment="1" applyProtection="1"/>
    <xf numFmtId="0" fontId="0" fillId="0" borderId="0" xfId="0" applyBorder="1" applyAlignment="1">
      <alignment horizontal="left"/>
    </xf>
    <xf numFmtId="0" fontId="0" fillId="0" borderId="0" xfId="0" applyBorder="1" applyProtection="1"/>
    <xf numFmtId="0" fontId="30" fillId="25" borderId="20" xfId="0" quotePrefix="1" applyFont="1" applyFill="1" applyBorder="1" applyAlignment="1">
      <alignment vertical="top" wrapText="1"/>
    </xf>
    <xf numFmtId="0" fontId="30" fillId="0" borderId="20" xfId="0" quotePrefix="1" applyFont="1" applyFill="1" applyBorder="1" applyAlignment="1">
      <alignment vertical="top" wrapText="1"/>
    </xf>
    <xf numFmtId="49" fontId="30" fillId="0" borderId="66" xfId="0" applyNumberFormat="1" applyFont="1" applyFill="1" applyBorder="1" applyAlignment="1">
      <alignment vertical="top" wrapText="1"/>
    </xf>
    <xf numFmtId="1" fontId="30" fillId="0" borderId="67" xfId="0" applyNumberFormat="1" applyFont="1" applyFill="1" applyBorder="1" applyAlignment="1">
      <alignment horizontal="center" vertical="top" wrapText="1"/>
    </xf>
    <xf numFmtId="165" fontId="34" fillId="0" borderId="20" xfId="0" applyNumberFormat="1" applyFont="1" applyFill="1" applyBorder="1" applyAlignment="1">
      <alignment horizontal="center" vertical="top" wrapText="1"/>
    </xf>
    <xf numFmtId="1" fontId="34" fillId="0" borderId="67" xfId="0" applyNumberFormat="1" applyFont="1" applyFill="1" applyBorder="1" applyAlignment="1">
      <alignment horizontal="center" vertical="top" wrapText="1"/>
    </xf>
    <xf numFmtId="1" fontId="34" fillId="0" borderId="20" xfId="0" applyNumberFormat="1" applyFont="1" applyFill="1" applyBorder="1" applyAlignment="1">
      <alignment horizontal="center" vertical="top" wrapText="1"/>
    </xf>
    <xf numFmtId="0" fontId="30" fillId="0" borderId="67" xfId="0" applyFont="1" applyFill="1" applyBorder="1" applyAlignment="1">
      <alignment vertical="top" wrapText="1"/>
    </xf>
    <xf numFmtId="0" fontId="30" fillId="0" borderId="68" xfId="0" applyFont="1" applyFill="1" applyBorder="1" applyAlignment="1">
      <alignment vertical="top" wrapText="1"/>
    </xf>
    <xf numFmtId="0" fontId="0" fillId="0" borderId="0" xfId="0" applyBorder="1" applyAlignment="1" applyProtection="1">
      <alignment horizontal="center"/>
    </xf>
    <xf numFmtId="0" fontId="4" fillId="0" borderId="8" xfId="0" applyFont="1" applyBorder="1"/>
    <xf numFmtId="0" fontId="5" fillId="2" borderId="0" xfId="0" applyFont="1" applyFill="1"/>
    <xf numFmtId="0" fontId="9" fillId="2" borderId="0" xfId="0" applyFont="1" applyFill="1" applyBorder="1" applyAlignment="1">
      <alignment horizontal="center" vertical="center"/>
    </xf>
    <xf numFmtId="0" fontId="6" fillId="0" borderId="0" xfId="0" applyFont="1" applyBorder="1" applyAlignment="1">
      <alignment horizontal="center"/>
    </xf>
    <xf numFmtId="0" fontId="0" fillId="0" borderId="0" xfId="0" applyBorder="1" applyAlignment="1" applyProtection="1">
      <alignment horizontal="center"/>
    </xf>
    <xf numFmtId="0" fontId="6" fillId="0" borderId="0" xfId="0" applyFont="1" applyFill="1" applyBorder="1" applyAlignment="1">
      <alignment horizontal="center"/>
    </xf>
    <xf numFmtId="0" fontId="20" fillId="0" borderId="6" xfId="0" applyFont="1" applyBorder="1" applyAlignment="1" applyProtection="1">
      <alignment horizontal="center"/>
    </xf>
    <xf numFmtId="0" fontId="17" fillId="0" borderId="0" xfId="0" applyFont="1" applyFill="1" applyBorder="1" applyAlignment="1" applyProtection="1">
      <alignment horizontal="center"/>
    </xf>
    <xf numFmtId="0" fontId="4" fillId="0" borderId="46" xfId="0" applyFont="1" applyBorder="1" applyProtection="1"/>
    <xf numFmtId="0" fontId="4" fillId="0" borderId="47" xfId="0" applyFont="1" applyBorder="1" applyProtection="1"/>
    <xf numFmtId="0" fontId="4" fillId="0" borderId="65" xfId="0" applyFont="1" applyBorder="1" applyProtection="1"/>
    <xf numFmtId="0" fontId="0" fillId="0" borderId="39" xfId="0" applyBorder="1" applyProtection="1"/>
    <xf numFmtId="0" fontId="0" fillId="0" borderId="41" xfId="0" applyBorder="1" applyProtection="1"/>
    <xf numFmtId="0" fontId="0" fillId="0" borderId="19" xfId="0" applyBorder="1" applyProtection="1"/>
    <xf numFmtId="0" fontId="0" fillId="0" borderId="20" xfId="0" applyBorder="1" applyProtection="1"/>
    <xf numFmtId="0" fontId="0" fillId="0" borderId="21" xfId="0" applyBorder="1" applyProtection="1"/>
    <xf numFmtId="0" fontId="0" fillId="0" borderId="20" xfId="0" quotePrefix="1" applyBorder="1" applyProtection="1"/>
    <xf numFmtId="0" fontId="0" fillId="0" borderId="22" xfId="0" applyBorder="1" applyProtection="1"/>
    <xf numFmtId="0" fontId="0" fillId="0" borderId="23" xfId="0" applyBorder="1" applyProtection="1"/>
    <xf numFmtId="0" fontId="0" fillId="0" borderId="24" xfId="0" applyBorder="1" applyProtection="1"/>
    <xf numFmtId="0" fontId="4" fillId="28" borderId="1" xfId="0" applyFont="1" applyFill="1" applyBorder="1" applyAlignment="1">
      <alignment horizontal="center" wrapText="1"/>
    </xf>
    <xf numFmtId="0" fontId="0" fillId="4" borderId="40" xfId="0" applyFill="1" applyBorder="1" applyProtection="1"/>
    <xf numFmtId="1" fontId="0" fillId="14" borderId="1" xfId="0" applyNumberFormat="1" applyFill="1" applyBorder="1" applyAlignment="1">
      <alignment horizontal="center"/>
    </xf>
    <xf numFmtId="0" fontId="36" fillId="0" borderId="0" xfId="1" applyBorder="1" applyAlignment="1" applyProtection="1"/>
    <xf numFmtId="0" fontId="5" fillId="2" borderId="0" xfId="0" applyFont="1" applyFill="1" applyBorder="1" applyAlignment="1" applyProtection="1">
      <alignment horizontal="center"/>
    </xf>
    <xf numFmtId="0" fontId="0" fillId="0" borderId="0" xfId="0" applyAlignment="1">
      <alignment horizontal="center"/>
    </xf>
    <xf numFmtId="0" fontId="10" fillId="0" borderId="0" xfId="0" applyFont="1" applyAlignment="1" applyProtection="1">
      <alignment horizontal="center"/>
    </xf>
    <xf numFmtId="0" fontId="10" fillId="0" borderId="0" xfId="0" applyFont="1" applyFill="1" applyAlignment="1" applyProtection="1">
      <alignment horizontal="center"/>
    </xf>
    <xf numFmtId="0" fontId="10" fillId="0" borderId="1" xfId="0" applyFont="1" applyBorder="1" applyAlignment="1" applyProtection="1">
      <alignment horizontal="center"/>
    </xf>
    <xf numFmtId="0" fontId="10" fillId="4" borderId="1" xfId="0" applyFont="1" applyFill="1" applyBorder="1" applyAlignment="1" applyProtection="1">
      <alignment horizontal="center"/>
    </xf>
    <xf numFmtId="0" fontId="10" fillId="0" borderId="1" xfId="0" applyFont="1" applyBorder="1" applyAlignment="1" applyProtection="1">
      <alignment horizontal="center"/>
      <protection locked="0"/>
    </xf>
    <xf numFmtId="0" fontId="5" fillId="2" borderId="0" xfId="0" applyFont="1" applyFill="1" applyAlignment="1" applyProtection="1">
      <alignment horizontal="center"/>
    </xf>
    <xf numFmtId="0" fontId="10" fillId="26" borderId="1" xfId="0" applyFont="1" applyFill="1" applyBorder="1" applyAlignment="1" applyProtection="1">
      <alignment horizontal="center"/>
    </xf>
    <xf numFmtId="1" fontId="19" fillId="0" borderId="1" xfId="0" applyNumberFormat="1" applyFont="1" applyFill="1" applyBorder="1" applyAlignment="1" applyProtection="1">
      <alignment horizontal="center"/>
    </xf>
    <xf numFmtId="0" fontId="0" fillId="0" borderId="69" xfId="0" applyFill="1" applyBorder="1" applyAlignment="1" applyProtection="1">
      <alignment horizontal="center"/>
    </xf>
    <xf numFmtId="0" fontId="5" fillId="2" borderId="12" xfId="0" applyFont="1" applyFill="1" applyBorder="1" applyAlignment="1" applyProtection="1">
      <alignment horizontal="center"/>
    </xf>
    <xf numFmtId="0" fontId="5" fillId="2" borderId="0" xfId="0" applyFont="1" applyFill="1" applyBorder="1" applyAlignment="1" applyProtection="1">
      <alignment horizontal="center"/>
    </xf>
    <xf numFmtId="0" fontId="5" fillId="2" borderId="11" xfId="0" applyFont="1" applyFill="1" applyBorder="1" applyAlignment="1" applyProtection="1">
      <alignment horizontal="center"/>
    </xf>
    <xf numFmtId="0" fontId="0" fillId="0" borderId="0" xfId="0" applyBorder="1" applyAlignment="1" applyProtection="1">
      <alignment horizontal="center"/>
    </xf>
    <xf numFmtId="0" fontId="20" fillId="0" borderId="0" xfId="0" applyFont="1" applyBorder="1" applyAlignment="1">
      <alignment horizontal="center"/>
    </xf>
    <xf numFmtId="0" fontId="0" fillId="0" borderId="2" xfId="0" applyBorder="1" applyAlignment="1">
      <alignment horizontal="center"/>
    </xf>
    <xf numFmtId="0" fontId="5" fillId="0" borderId="0" xfId="0" applyFont="1" applyFill="1" applyBorder="1" applyAlignment="1" applyProtection="1"/>
    <xf numFmtId="0" fontId="0" fillId="0" borderId="0" xfId="0" applyBorder="1" applyAlignment="1">
      <alignment horizontal="left"/>
    </xf>
    <xf numFmtId="0" fontId="0" fillId="0" borderId="0" xfId="0" applyAlignment="1" applyProtection="1">
      <alignment horizontal="center"/>
    </xf>
    <xf numFmtId="0" fontId="0" fillId="0" borderId="0" xfId="0" applyBorder="1" applyProtection="1"/>
    <xf numFmtId="0" fontId="5" fillId="2" borderId="12" xfId="0" applyFont="1" applyFill="1" applyBorder="1" applyAlignment="1" applyProtection="1"/>
    <xf numFmtId="0" fontId="0" fillId="0" borderId="9" xfId="0" applyBorder="1" applyAlignment="1">
      <alignment horizontal="center"/>
    </xf>
    <xf numFmtId="0" fontId="5" fillId="2" borderId="0" xfId="0" applyFont="1" applyFill="1" applyBorder="1" applyAlignment="1" applyProtection="1">
      <alignment horizontal="center"/>
    </xf>
    <xf numFmtId="0" fontId="0" fillId="0" borderId="0" xfId="0" applyBorder="1" applyProtection="1"/>
    <xf numFmtId="0" fontId="0" fillId="0" borderId="14" xfId="0" applyFill="1" applyBorder="1" applyProtection="1"/>
    <xf numFmtId="0" fontId="0" fillId="0" borderId="13" xfId="0" applyFill="1" applyBorder="1" applyProtection="1"/>
    <xf numFmtId="0" fontId="10" fillId="28" borderId="1" xfId="0" applyFont="1" applyFill="1" applyBorder="1" applyAlignment="1">
      <alignment horizontal="center"/>
    </xf>
    <xf numFmtId="0" fontId="18" fillId="0" borderId="0" xfId="0" applyFont="1" applyFill="1" applyBorder="1" applyAlignment="1"/>
    <xf numFmtId="0" fontId="5" fillId="2" borderId="0" xfId="0" applyFont="1" applyFill="1" applyBorder="1" applyAlignment="1">
      <alignment horizontal="center"/>
    </xf>
    <xf numFmtId="0" fontId="9" fillId="2" borderId="0" xfId="0" applyFont="1" applyFill="1" applyBorder="1" applyAlignment="1">
      <alignment horizontal="center" vertical="center"/>
    </xf>
    <xf numFmtId="0" fontId="10" fillId="0" borderId="0" xfId="0" applyFont="1" applyBorder="1" applyProtection="1"/>
    <xf numFmtId="0" fontId="3" fillId="2" borderId="0" xfId="0" applyFont="1" applyFill="1" applyBorder="1" applyProtection="1"/>
    <xf numFmtId="0" fontId="4" fillId="0" borderId="0" xfId="0" applyFont="1" applyFill="1" applyBorder="1"/>
    <xf numFmtId="0" fontId="0" fillId="0" borderId="0" xfId="0" applyNumberFormat="1"/>
    <xf numFmtId="0" fontId="0" fillId="26" borderId="1" xfId="0" applyFill="1" applyBorder="1" applyAlignment="1">
      <alignment horizontal="center"/>
    </xf>
    <xf numFmtId="0" fontId="0" fillId="26" borderId="1" xfId="0" applyFill="1" applyBorder="1" applyAlignment="1">
      <alignment horizontal="center" vertical="center"/>
    </xf>
    <xf numFmtId="10" fontId="0" fillId="0" borderId="0" xfId="0" applyNumberFormat="1"/>
    <xf numFmtId="0" fontId="4" fillId="0" borderId="0" xfId="0" applyFont="1" applyAlignment="1">
      <alignment wrapText="1"/>
    </xf>
    <xf numFmtId="49" fontId="30" fillId="29" borderId="20" xfId="0" applyNumberFormat="1" applyFont="1" applyFill="1" applyBorder="1" applyAlignment="1">
      <alignment vertical="top" wrapText="1"/>
    </xf>
    <xf numFmtId="1" fontId="30" fillId="29" borderId="20" xfId="0" applyNumberFormat="1" applyFont="1" applyFill="1" applyBorder="1" applyAlignment="1">
      <alignment horizontal="center" vertical="top" wrapText="1"/>
    </xf>
    <xf numFmtId="165" fontId="30" fillId="29" borderId="20" xfId="0" applyNumberFormat="1" applyFont="1" applyFill="1" applyBorder="1" applyAlignment="1">
      <alignment horizontal="center" vertical="top" wrapText="1"/>
    </xf>
    <xf numFmtId="0" fontId="30" fillId="29" borderId="20" xfId="0" applyFont="1" applyFill="1" applyBorder="1" applyAlignment="1">
      <alignment vertical="top" wrapText="1"/>
    </xf>
    <xf numFmtId="0" fontId="0" fillId="15" borderId="0" xfId="0" applyFill="1" applyAlignment="1">
      <alignment vertical="center"/>
    </xf>
    <xf numFmtId="0" fontId="0" fillId="15" borderId="0" xfId="0" applyFill="1"/>
    <xf numFmtId="49" fontId="30" fillId="15" borderId="20" xfId="0" applyNumberFormat="1" applyFont="1" applyFill="1" applyBorder="1" applyAlignment="1">
      <alignment vertical="top" wrapText="1"/>
    </xf>
    <xf numFmtId="1" fontId="30" fillId="15" borderId="20" xfId="0" applyNumberFormat="1" applyFont="1" applyFill="1" applyBorder="1" applyAlignment="1">
      <alignment horizontal="center" vertical="top" wrapText="1"/>
    </xf>
    <xf numFmtId="165" fontId="30" fillId="15" borderId="20" xfId="0" applyNumberFormat="1" applyFont="1" applyFill="1" applyBorder="1" applyAlignment="1">
      <alignment horizontal="center" vertical="top" wrapText="1"/>
    </xf>
    <xf numFmtId="0" fontId="30" fillId="15" borderId="20" xfId="0" applyFont="1" applyFill="1" applyBorder="1" applyAlignment="1">
      <alignment vertical="top" wrapText="1"/>
    </xf>
    <xf numFmtId="0" fontId="30" fillId="29" borderId="20" xfId="0" quotePrefix="1" applyFont="1" applyFill="1" applyBorder="1" applyAlignment="1">
      <alignment vertical="top" wrapText="1"/>
    </xf>
    <xf numFmtId="0" fontId="0" fillId="0" borderId="67" xfId="0" applyBorder="1" applyAlignment="1">
      <alignment vertical="top" wrapText="1"/>
    </xf>
    <xf numFmtId="1" fontId="0" fillId="0" borderId="67" xfId="0" applyNumberFormat="1" applyFill="1" applyBorder="1" applyAlignment="1">
      <alignment vertical="top" wrapText="1"/>
    </xf>
    <xf numFmtId="1" fontId="0" fillId="0" borderId="67" xfId="0" applyNumberFormat="1" applyBorder="1" applyAlignment="1">
      <alignment vertical="top" wrapText="1"/>
    </xf>
    <xf numFmtId="0" fontId="0" fillId="15" borderId="67" xfId="0" applyFill="1" applyBorder="1" applyAlignment="1">
      <alignment vertical="top" wrapText="1"/>
    </xf>
    <xf numFmtId="1" fontId="0" fillId="15" borderId="67" xfId="0" applyNumberFormat="1" applyFill="1" applyBorder="1" applyAlignment="1">
      <alignment vertical="top" wrapText="1"/>
    </xf>
    <xf numFmtId="0" fontId="0" fillId="0" borderId="70" xfId="0" applyBorder="1" applyAlignment="1">
      <alignment vertical="top" wrapText="1"/>
    </xf>
    <xf numFmtId="1" fontId="0" fillId="0" borderId="70" xfId="0" applyNumberFormat="1" applyFill="1" applyBorder="1" applyAlignment="1">
      <alignment vertical="top" wrapText="1"/>
    </xf>
    <xf numFmtId="1" fontId="0" fillId="0" borderId="70" xfId="0" applyNumberFormat="1" applyBorder="1" applyAlignment="1">
      <alignment vertical="top" wrapText="1"/>
    </xf>
    <xf numFmtId="0" fontId="0" fillId="0" borderId="71" xfId="0" applyBorder="1" applyAlignment="1">
      <alignment vertical="top" wrapText="1"/>
    </xf>
    <xf numFmtId="1" fontId="0" fillId="0" borderId="71" xfId="0" applyNumberFormat="1" applyBorder="1" applyAlignment="1">
      <alignment vertical="top" wrapText="1"/>
    </xf>
    <xf numFmtId="0" fontId="0" fillId="0" borderId="70" xfId="0" applyBorder="1" applyAlignment="1">
      <alignment horizontal="left" vertical="top" wrapText="1"/>
    </xf>
    <xf numFmtId="0" fontId="0" fillId="3" borderId="70" xfId="0" applyFill="1" applyBorder="1" applyAlignment="1">
      <alignment horizontal="left" vertical="top" wrapText="1"/>
    </xf>
    <xf numFmtId="0" fontId="0" fillId="0" borderId="0" xfId="0" applyAlignment="1">
      <alignment horizontal="center"/>
    </xf>
    <xf numFmtId="1" fontId="0" fillId="0" borderId="0" xfId="0" applyNumberFormat="1" applyAlignment="1">
      <alignment horizontal="center"/>
    </xf>
    <xf numFmtId="1" fontId="0" fillId="14" borderId="1" xfId="0" applyNumberFormat="1" applyFill="1" applyBorder="1" applyAlignment="1">
      <alignment horizontal="center" vertical="center"/>
    </xf>
    <xf numFmtId="166" fontId="0" fillId="0" borderId="0" xfId="0" applyNumberFormat="1" applyAlignment="1">
      <alignment horizontal="center"/>
    </xf>
    <xf numFmtId="12" fontId="0" fillId="0" borderId="0" xfId="0" applyNumberFormat="1"/>
    <xf numFmtId="0" fontId="0" fillId="0" borderId="0" xfId="0" applyBorder="1" applyProtection="1"/>
    <xf numFmtId="0" fontId="2" fillId="15" borderId="1" xfId="0" applyFont="1" applyFill="1" applyBorder="1" applyAlignment="1" applyProtection="1">
      <alignment horizontal="center"/>
    </xf>
    <xf numFmtId="0" fontId="5" fillId="2" borderId="0" xfId="0" applyFont="1" applyFill="1" applyBorder="1" applyAlignment="1">
      <alignment horizontal="left"/>
    </xf>
    <xf numFmtId="0" fontId="5" fillId="2" borderId="0" xfId="0" applyFont="1" applyFill="1" applyBorder="1" applyAlignment="1"/>
    <xf numFmtId="0" fontId="0" fillId="0" borderId="0" xfId="0" applyAlignment="1">
      <alignment horizontal="center"/>
    </xf>
    <xf numFmtId="0" fontId="0" fillId="0" borderId="0" xfId="0" applyBorder="1" applyProtection="1"/>
    <xf numFmtId="0" fontId="0" fillId="0" borderId="20" xfId="0" applyFill="1" applyBorder="1"/>
    <xf numFmtId="0" fontId="0" fillId="0" borderId="0" xfId="0" applyBorder="1" applyAlignment="1" applyProtection="1">
      <alignment horizontal="center"/>
      <protection locked="0"/>
    </xf>
    <xf numFmtId="0" fontId="0" fillId="0" borderId="0" xfId="0" applyFill="1" applyBorder="1" applyAlignment="1" applyProtection="1">
      <alignment horizontal="center"/>
      <protection locked="0"/>
    </xf>
    <xf numFmtId="2" fontId="0" fillId="0" borderId="0" xfId="0" applyNumberFormat="1" applyBorder="1" applyAlignment="1">
      <alignment horizontal="center"/>
    </xf>
    <xf numFmtId="2" fontId="0" fillId="0" borderId="0" xfId="0" applyNumberFormat="1"/>
    <xf numFmtId="0" fontId="0" fillId="14" borderId="0" xfId="0" applyFill="1" applyBorder="1" applyAlignment="1">
      <alignment horizontal="center"/>
    </xf>
    <xf numFmtId="0" fontId="0" fillId="14" borderId="1" xfId="0" applyFill="1" applyBorder="1"/>
    <xf numFmtId="0" fontId="24" fillId="21" borderId="73" xfId="0" applyFont="1" applyFill="1" applyBorder="1" applyAlignment="1">
      <alignment horizontal="center" vertical="center" wrapText="1"/>
    </xf>
    <xf numFmtId="0" fontId="24" fillId="21" borderId="74" xfId="0" applyFont="1" applyFill="1" applyBorder="1" applyAlignment="1">
      <alignment horizontal="center" vertical="center" wrapText="1"/>
    </xf>
    <xf numFmtId="0" fontId="25" fillId="22" borderId="76" xfId="0" applyFont="1" applyFill="1" applyBorder="1" applyAlignment="1">
      <alignment horizontal="center" vertical="top" wrapText="1"/>
    </xf>
    <xf numFmtId="0" fontId="25" fillId="22" borderId="78" xfId="0" applyFont="1" applyFill="1" applyBorder="1" applyAlignment="1">
      <alignment horizontal="center" vertical="top" wrapText="1"/>
    </xf>
    <xf numFmtId="0" fontId="4" fillId="30" borderId="80" xfId="0" applyFont="1" applyFill="1" applyBorder="1" applyAlignment="1">
      <alignment horizontal="center" vertical="center"/>
    </xf>
    <xf numFmtId="0" fontId="0" fillId="0" borderId="82" xfId="0" applyBorder="1"/>
    <xf numFmtId="0" fontId="0" fillId="0" borderId="84" xfId="0" applyBorder="1"/>
    <xf numFmtId="0" fontId="26" fillId="0" borderId="0" xfId="0" applyFont="1" applyAlignment="1">
      <alignment wrapText="1"/>
    </xf>
    <xf numFmtId="0" fontId="25" fillId="22" borderId="86" xfId="0" applyFont="1" applyFill="1" applyBorder="1" applyAlignment="1">
      <alignment horizontal="center" vertical="top" wrapText="1"/>
    </xf>
    <xf numFmtId="0" fontId="25" fillId="22" borderId="88" xfId="0" applyFont="1" applyFill="1" applyBorder="1" applyAlignment="1">
      <alignment horizontal="center" vertical="top" wrapText="1"/>
    </xf>
    <xf numFmtId="0" fontId="24" fillId="21" borderId="89" xfId="0" applyFont="1" applyFill="1" applyBorder="1" applyAlignment="1">
      <alignment horizontal="center" vertical="center" wrapText="1"/>
    </xf>
    <xf numFmtId="0" fontId="24" fillId="21" borderId="90" xfId="0" applyFont="1" applyFill="1" applyBorder="1" applyAlignment="1">
      <alignment horizontal="center" vertical="center" wrapText="1"/>
    </xf>
    <xf numFmtId="0" fontId="12" fillId="0" borderId="86" xfId="0" applyFont="1" applyBorder="1" applyAlignment="1">
      <alignment horizontal="center" vertical="center"/>
    </xf>
    <xf numFmtId="0" fontId="0" fillId="0" borderId="88" xfId="0" applyBorder="1" applyAlignment="1">
      <alignment horizontal="center" vertical="center" wrapText="1"/>
    </xf>
    <xf numFmtId="0" fontId="12" fillId="0" borderId="85" xfId="0" applyFont="1" applyBorder="1" applyAlignment="1">
      <alignment horizontal="center"/>
    </xf>
    <xf numFmtId="0" fontId="12" fillId="0" borderId="87" xfId="0" applyFont="1" applyBorder="1" applyAlignment="1">
      <alignment horizontal="center"/>
    </xf>
    <xf numFmtId="0" fontId="12" fillId="0" borderId="85" xfId="0" applyFont="1" applyBorder="1" applyAlignment="1">
      <alignment horizontal="center" vertical="center"/>
    </xf>
    <xf numFmtId="0" fontId="12" fillId="0" borderId="87" xfId="0" applyFont="1" applyBorder="1" applyAlignment="1">
      <alignment horizontal="center" vertical="center"/>
    </xf>
    <xf numFmtId="0" fontId="25" fillId="22" borderId="85" xfId="0" applyFont="1" applyFill="1" applyBorder="1" applyAlignment="1">
      <alignment horizontal="center" vertical="center" wrapText="1"/>
    </xf>
    <xf numFmtId="0" fontId="25" fillId="22" borderId="85" xfId="0" quotePrefix="1" applyFont="1" applyFill="1" applyBorder="1" applyAlignment="1">
      <alignment horizontal="center" vertical="center" wrapText="1"/>
    </xf>
    <xf numFmtId="0" fontId="25" fillId="22" borderId="87" xfId="0" applyFont="1" applyFill="1" applyBorder="1" applyAlignment="1">
      <alignment horizontal="center" vertical="center" wrapText="1"/>
    </xf>
    <xf numFmtId="49" fontId="25" fillId="22" borderId="75" xfId="0" applyNumberFormat="1" applyFont="1" applyFill="1" applyBorder="1" applyAlignment="1">
      <alignment horizontal="center" vertical="center" wrapText="1"/>
    </xf>
    <xf numFmtId="49" fontId="25" fillId="22" borderId="77" xfId="0" applyNumberFormat="1" applyFont="1" applyFill="1" applyBorder="1" applyAlignment="1">
      <alignment horizontal="center" vertical="center" wrapText="1"/>
    </xf>
    <xf numFmtId="0" fontId="0" fillId="30" borderId="79" xfId="0" applyFill="1" applyBorder="1" applyAlignment="1">
      <alignment vertical="center"/>
    </xf>
    <xf numFmtId="0" fontId="0" fillId="0" borderId="81" xfId="0" applyBorder="1" applyAlignment="1">
      <alignment vertical="center"/>
    </xf>
    <xf numFmtId="49" fontId="0" fillId="0" borderId="81" xfId="0" applyNumberFormat="1" applyBorder="1" applyAlignment="1">
      <alignment vertical="center"/>
    </xf>
    <xf numFmtId="0" fontId="0" fillId="0" borderId="83" xfId="0" applyBorder="1" applyAlignment="1">
      <alignment vertical="center"/>
    </xf>
    <xf numFmtId="0" fontId="25" fillId="22" borderId="85" xfId="0" applyFont="1" applyFill="1" applyBorder="1" applyAlignment="1">
      <alignment horizontal="center" wrapText="1"/>
    </xf>
    <xf numFmtId="0" fontId="25" fillId="22" borderId="86" xfId="0" applyFont="1" applyFill="1" applyBorder="1" applyAlignment="1">
      <alignment horizontal="center" wrapText="1"/>
    </xf>
    <xf numFmtId="0" fontId="25" fillId="22" borderId="85" xfId="0" quotePrefix="1" applyFont="1" applyFill="1" applyBorder="1" applyAlignment="1">
      <alignment horizontal="center" wrapText="1"/>
    </xf>
    <xf numFmtId="0" fontId="12" fillId="0" borderId="88" xfId="0" applyFont="1" applyBorder="1" applyAlignment="1">
      <alignment horizontal="center"/>
    </xf>
    <xf numFmtId="0" fontId="24" fillId="21" borderId="91" xfId="0" applyFont="1" applyFill="1" applyBorder="1" applyAlignment="1">
      <alignment horizontal="center" vertical="center" wrapText="1"/>
    </xf>
    <xf numFmtId="0" fontId="24" fillId="21" borderId="92" xfId="0" applyFont="1" applyFill="1" applyBorder="1" applyAlignment="1">
      <alignment horizontal="center" vertical="center" wrapText="1"/>
    </xf>
    <xf numFmtId="0" fontId="5" fillId="2" borderId="0" xfId="0" applyFont="1" applyFill="1" applyBorder="1" applyAlignment="1">
      <alignment horizontal="center"/>
    </xf>
    <xf numFmtId="0" fontId="5" fillId="2" borderId="0" xfId="0" applyFont="1" applyFill="1" applyBorder="1" applyAlignment="1">
      <alignment horizontal="left"/>
    </xf>
    <xf numFmtId="0" fontId="5" fillId="2" borderId="9" xfId="0" applyFont="1" applyFill="1" applyBorder="1" applyAlignment="1">
      <alignment horizontal="center"/>
    </xf>
    <xf numFmtId="0" fontId="5" fillId="0" borderId="0" xfId="0" applyFont="1" applyFill="1" applyBorder="1" applyAlignment="1" applyProtection="1"/>
    <xf numFmtId="0" fontId="5" fillId="2" borderId="0" xfId="0" applyFont="1" applyFill="1" applyBorder="1" applyAlignment="1"/>
    <xf numFmtId="0" fontId="0" fillId="0" borderId="0" xfId="0" applyAlignment="1">
      <alignment horizontal="center"/>
    </xf>
    <xf numFmtId="0" fontId="4" fillId="0" borderId="0" xfId="0" applyFont="1" applyAlignment="1" applyProtection="1">
      <alignment horizontal="center"/>
    </xf>
    <xf numFmtId="0" fontId="0" fillId="0" borderId="0" xfId="0" applyAlignment="1" applyProtection="1">
      <alignment horizontal="center"/>
    </xf>
    <xf numFmtId="0" fontId="5" fillId="2" borderId="0" xfId="0" applyFont="1" applyFill="1" applyBorder="1" applyProtection="1"/>
    <xf numFmtId="0" fontId="0" fillId="0" borderId="0" xfId="0" applyBorder="1" applyProtection="1"/>
    <xf numFmtId="0" fontId="0" fillId="0" borderId="0" xfId="0" applyFont="1" applyBorder="1" applyProtection="1"/>
    <xf numFmtId="0" fontId="4" fillId="0" borderId="0" xfId="0" applyFont="1" applyFill="1" applyBorder="1" applyProtection="1"/>
    <xf numFmtId="0" fontId="5" fillId="2" borderId="12" xfId="0" applyNumberFormat="1" applyFont="1" applyFill="1" applyBorder="1" applyAlignment="1" applyProtection="1">
      <alignment horizontal="center" vertical="top" wrapText="1"/>
    </xf>
    <xf numFmtId="0" fontId="5" fillId="2" borderId="0" xfId="0" applyNumberFormat="1" applyFont="1" applyFill="1" applyBorder="1" applyAlignment="1" applyProtection="1">
      <alignment horizontal="center" vertical="top" wrapText="1"/>
    </xf>
    <xf numFmtId="0" fontId="5" fillId="0" borderId="0" xfId="0" applyFont="1" applyFill="1" applyBorder="1" applyAlignment="1" applyProtection="1"/>
    <xf numFmtId="0" fontId="5" fillId="2" borderId="0" xfId="0" applyFont="1" applyFill="1" applyBorder="1" applyAlignment="1" applyProtection="1">
      <alignment horizontal="left"/>
    </xf>
    <xf numFmtId="0" fontId="5" fillId="2" borderId="0" xfId="0" applyFont="1" applyFill="1" applyBorder="1" applyProtection="1"/>
    <xf numFmtId="0" fontId="5" fillId="2" borderId="0" xfId="0" applyFont="1" applyFill="1" applyBorder="1" applyAlignment="1" applyProtection="1"/>
    <xf numFmtId="0" fontId="0" fillId="0" borderId="0" xfId="0" applyBorder="1" applyProtection="1"/>
    <xf numFmtId="0" fontId="0" fillId="0" borderId="15" xfId="0" applyBorder="1" applyAlignment="1" applyProtection="1">
      <alignment horizontal="center"/>
      <protection locked="0"/>
    </xf>
    <xf numFmtId="0" fontId="0" fillId="0" borderId="7" xfId="0" applyBorder="1" applyAlignment="1" applyProtection="1">
      <alignment horizontal="center"/>
      <protection locked="0"/>
    </xf>
    <xf numFmtId="0" fontId="0" fillId="14" borderId="15" xfId="0" applyFill="1" applyBorder="1" applyAlignment="1" applyProtection="1">
      <alignment horizontal="center"/>
    </xf>
    <xf numFmtId="0" fontId="0" fillId="14" borderId="7" xfId="0" applyFill="1" applyBorder="1" applyAlignment="1" applyProtection="1">
      <alignment horizontal="center"/>
    </xf>
    <xf numFmtId="0" fontId="0" fillId="14" borderId="15" xfId="0" applyFill="1" applyBorder="1" applyAlignment="1">
      <alignment horizontal="center"/>
    </xf>
    <xf numFmtId="0" fontId="0" fillId="14" borderId="6" xfId="0" applyFill="1" applyBorder="1" applyAlignment="1">
      <alignment horizontal="center"/>
    </xf>
    <xf numFmtId="0" fontId="0" fillId="14" borderId="7" xfId="0" applyFill="1" applyBorder="1" applyAlignment="1">
      <alignment horizontal="center"/>
    </xf>
    <xf numFmtId="0" fontId="4" fillId="0" borderId="15" xfId="0" applyFont="1" applyBorder="1" applyAlignment="1" applyProtection="1">
      <alignment horizontal="center"/>
      <protection locked="0"/>
    </xf>
    <xf numFmtId="0" fontId="4" fillId="0" borderId="6" xfId="0" applyFont="1" applyBorder="1" applyAlignment="1" applyProtection="1">
      <alignment horizontal="center"/>
      <protection locked="0"/>
    </xf>
    <xf numFmtId="0" fontId="4" fillId="0" borderId="7" xfId="0" applyFont="1" applyBorder="1" applyAlignment="1" applyProtection="1">
      <alignment horizontal="center"/>
      <protection locked="0"/>
    </xf>
    <xf numFmtId="0" fontId="20" fillId="0" borderId="15" xfId="0" applyFont="1" applyBorder="1" applyAlignment="1" applyProtection="1">
      <alignment horizontal="center" vertical="center"/>
      <protection locked="0"/>
    </xf>
    <xf numFmtId="0" fontId="20" fillId="0" borderId="6" xfId="0" applyFont="1" applyBorder="1" applyAlignment="1" applyProtection="1">
      <alignment horizontal="center" vertical="center"/>
      <protection locked="0"/>
    </xf>
    <xf numFmtId="0" fontId="20" fillId="0" borderId="7" xfId="0" applyFont="1" applyBorder="1" applyAlignment="1" applyProtection="1">
      <alignment horizontal="center" vertical="center"/>
      <protection locked="0"/>
    </xf>
    <xf numFmtId="0" fontId="0" fillId="14" borderId="15" xfId="0" applyFill="1" applyBorder="1" applyAlignment="1" applyProtection="1">
      <alignment horizontal="center" vertical="center"/>
    </xf>
    <xf numFmtId="0" fontId="0" fillId="14" borderId="6" xfId="0" applyFill="1" applyBorder="1" applyAlignment="1" applyProtection="1">
      <alignment horizontal="center" vertical="center"/>
    </xf>
    <xf numFmtId="0" fontId="0" fillId="14" borderId="7" xfId="0" applyFill="1" applyBorder="1" applyAlignment="1" applyProtection="1">
      <alignment horizontal="center" vertical="center"/>
    </xf>
    <xf numFmtId="0" fontId="20" fillId="0" borderId="15" xfId="0" applyFont="1" applyFill="1" applyBorder="1" applyAlignment="1" applyProtection="1">
      <alignment horizontal="center" vertical="center"/>
      <protection locked="0"/>
    </xf>
    <xf numFmtId="0" fontId="20" fillId="0" borderId="6" xfId="0" applyFont="1" applyFill="1" applyBorder="1" applyAlignment="1" applyProtection="1">
      <alignment horizontal="center" vertical="center"/>
      <protection locked="0"/>
    </xf>
    <xf numFmtId="0" fontId="20" fillId="0" borderId="7" xfId="0" applyFont="1" applyFill="1" applyBorder="1" applyAlignment="1" applyProtection="1">
      <alignment horizontal="center" vertical="center"/>
      <protection locked="0"/>
    </xf>
    <xf numFmtId="0" fontId="5" fillId="2" borderId="0" xfId="0" applyFont="1" applyFill="1" applyBorder="1" applyAlignment="1">
      <alignment horizontal="center" vertical="center"/>
    </xf>
    <xf numFmtId="0" fontId="0" fillId="0" borderId="0" xfId="0" applyFill="1" applyBorder="1" applyAlignment="1" applyProtection="1">
      <alignment vertical="center"/>
    </xf>
    <xf numFmtId="0" fontId="0" fillId="0" borderId="15" xfId="0" applyBorder="1" applyAlignment="1" applyProtection="1">
      <alignment vertical="center"/>
      <protection locked="0"/>
    </xf>
    <xf numFmtId="0" fontId="0" fillId="0" borderId="6" xfId="0" applyBorder="1" applyAlignment="1" applyProtection="1">
      <alignment vertical="center"/>
      <protection locked="0"/>
    </xf>
    <xf numFmtId="0" fontId="0" fillId="0" borderId="7" xfId="0" applyBorder="1" applyAlignment="1" applyProtection="1">
      <alignment vertical="center"/>
      <protection locked="0"/>
    </xf>
    <xf numFmtId="0" fontId="0" fillId="0" borderId="1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9" fillId="2" borderId="0" xfId="0" applyFont="1" applyFill="1" applyBorder="1" applyAlignment="1" applyProtection="1">
      <alignment horizontal="center" vertical="center"/>
    </xf>
    <xf numFmtId="0" fontId="6" fillId="0" borderId="6" xfId="0" applyFont="1" applyBorder="1" applyAlignment="1">
      <alignment horizontal="center"/>
    </xf>
    <xf numFmtId="0" fontId="0" fillId="0" borderId="9" xfId="0" applyBorder="1" applyAlignment="1" applyProtection="1">
      <alignment horizontal="left" vertical="top"/>
      <protection locked="0"/>
    </xf>
    <xf numFmtId="0" fontId="0" fillId="0" borderId="0" xfId="0" applyBorder="1" applyAlignment="1" applyProtection="1">
      <alignment horizontal="left" vertical="top"/>
      <protection locked="0"/>
    </xf>
    <xf numFmtId="0" fontId="5" fillId="8" borderId="15" xfId="0" applyFont="1" applyFill="1" applyBorder="1" applyAlignment="1">
      <alignment horizontal="center" vertical="center"/>
    </xf>
    <xf numFmtId="0" fontId="5" fillId="8" borderId="6" xfId="0" applyFont="1" applyFill="1" applyBorder="1" applyAlignment="1">
      <alignment horizontal="center" vertical="center"/>
    </xf>
    <xf numFmtId="0" fontId="5" fillId="8" borderId="7" xfId="0" applyFont="1" applyFill="1" applyBorder="1" applyAlignment="1">
      <alignment horizontal="center" vertical="center"/>
    </xf>
    <xf numFmtId="0" fontId="14" fillId="10" borderId="15" xfId="0" applyFont="1" applyFill="1" applyBorder="1" applyAlignment="1">
      <alignment horizontal="center" vertical="center"/>
    </xf>
    <xf numFmtId="0" fontId="14" fillId="10" borderId="6" xfId="0" applyFont="1" applyFill="1" applyBorder="1" applyAlignment="1">
      <alignment horizontal="center" vertical="center"/>
    </xf>
    <xf numFmtId="0" fontId="14" fillId="10" borderId="7" xfId="0" applyFont="1" applyFill="1" applyBorder="1" applyAlignment="1">
      <alignment horizontal="center" vertical="center"/>
    </xf>
    <xf numFmtId="0" fontId="5" fillId="2" borderId="0" xfId="0" applyFont="1" applyFill="1" applyBorder="1" applyAlignment="1">
      <alignment horizontal="center"/>
    </xf>
    <xf numFmtId="0" fontId="9" fillId="2" borderId="0" xfId="0" applyFont="1" applyFill="1" applyBorder="1" applyAlignment="1">
      <alignment horizontal="center" vertical="center"/>
    </xf>
    <xf numFmtId="0" fontId="6" fillId="0" borderId="0" xfId="0" applyFont="1" applyBorder="1" applyAlignment="1">
      <alignment horizontal="center"/>
    </xf>
    <xf numFmtId="0" fontId="5" fillId="2" borderId="12" xfId="0" applyFont="1" applyFill="1" applyBorder="1" applyAlignment="1" applyProtection="1">
      <alignment horizontal="center"/>
    </xf>
    <xf numFmtId="0" fontId="5" fillId="2" borderId="0" xfId="0" applyFont="1" applyFill="1" applyBorder="1" applyAlignment="1" applyProtection="1">
      <alignment horizontal="center"/>
    </xf>
    <xf numFmtId="0" fontId="0" fillId="15" borderId="15" xfId="0" applyFill="1" applyBorder="1" applyAlignment="1" applyProtection="1"/>
    <xf numFmtId="0" fontId="0" fillId="15" borderId="6" xfId="0" applyFill="1" applyBorder="1" applyAlignment="1" applyProtection="1"/>
    <xf numFmtId="0" fontId="0" fillId="15" borderId="7" xfId="0" applyFill="1" applyBorder="1" applyAlignment="1" applyProtection="1"/>
    <xf numFmtId="0" fontId="0" fillId="0" borderId="8" xfId="0" applyBorder="1" applyAlignment="1" applyProtection="1">
      <alignment horizontal="left" vertical="center"/>
      <protection locked="0"/>
    </xf>
    <xf numFmtId="0" fontId="0" fillId="0" borderId="9" xfId="0" applyBorder="1" applyAlignment="1" applyProtection="1">
      <alignment horizontal="left" vertical="center"/>
      <protection locked="0"/>
    </xf>
    <xf numFmtId="0" fontId="0" fillId="0" borderId="10" xfId="0" applyBorder="1" applyAlignment="1" applyProtection="1">
      <alignment horizontal="left" vertical="center"/>
      <protection locked="0"/>
    </xf>
    <xf numFmtId="0" fontId="0" fillId="0" borderId="12" xfId="0" applyBorder="1" applyAlignment="1" applyProtection="1">
      <alignment horizontal="left" vertical="center"/>
      <protection locked="0"/>
    </xf>
    <xf numFmtId="0" fontId="0" fillId="0" borderId="0" xfId="0" applyBorder="1" applyAlignment="1" applyProtection="1">
      <alignment horizontal="left" vertical="center"/>
      <protection locked="0"/>
    </xf>
    <xf numFmtId="0" fontId="0" fillId="0" borderId="11" xfId="0" applyBorder="1" applyAlignment="1" applyProtection="1">
      <alignment horizontal="left" vertical="center"/>
      <protection locked="0"/>
    </xf>
    <xf numFmtId="0" fontId="0" fillId="0" borderId="14" xfId="0" applyBorder="1" applyAlignment="1" applyProtection="1">
      <alignment horizontal="left" vertical="center"/>
      <protection locked="0"/>
    </xf>
    <xf numFmtId="0" fontId="0" fillId="0" borderId="2" xfId="0" applyBorder="1" applyAlignment="1" applyProtection="1">
      <alignment horizontal="left" vertical="center"/>
      <protection locked="0"/>
    </xf>
    <xf numFmtId="0" fontId="0" fillId="0" borderId="13" xfId="0" applyBorder="1" applyAlignment="1" applyProtection="1">
      <alignment horizontal="left" vertical="center"/>
      <protection locked="0"/>
    </xf>
    <xf numFmtId="0" fontId="0" fillId="0" borderId="15" xfId="0" applyFill="1" applyBorder="1" applyAlignment="1" applyProtection="1">
      <alignment horizontal="left"/>
    </xf>
    <xf numFmtId="0" fontId="0" fillId="0" borderId="6" xfId="0" applyFill="1" applyBorder="1" applyAlignment="1" applyProtection="1">
      <alignment horizontal="left"/>
    </xf>
    <xf numFmtId="0" fontId="0" fillId="0" borderId="7" xfId="0" applyFill="1" applyBorder="1" applyAlignment="1" applyProtection="1">
      <alignment horizontal="left"/>
    </xf>
    <xf numFmtId="0" fontId="5" fillId="2" borderId="11" xfId="0" applyFont="1" applyFill="1" applyBorder="1" applyAlignment="1" applyProtection="1">
      <alignment horizontal="center"/>
    </xf>
    <xf numFmtId="0" fontId="0" fillId="0" borderId="2" xfId="0" applyBorder="1" applyAlignment="1" applyProtection="1">
      <alignment horizontal="center"/>
    </xf>
    <xf numFmtId="0" fontId="0" fillId="0" borderId="6" xfId="0" applyBorder="1" applyAlignment="1" applyProtection="1">
      <alignment horizontal="center"/>
    </xf>
    <xf numFmtId="0" fontId="12" fillId="10" borderId="15" xfId="0" applyFont="1" applyFill="1" applyBorder="1" applyAlignment="1">
      <alignment horizontal="left" vertical="center"/>
    </xf>
    <xf numFmtId="0" fontId="12" fillId="10" borderId="7" xfId="0" applyFont="1" applyFill="1" applyBorder="1" applyAlignment="1">
      <alignment horizontal="left" vertical="center"/>
    </xf>
    <xf numFmtId="0" fontId="12" fillId="0" borderId="0" xfId="0" applyFont="1" applyAlignment="1">
      <alignment horizontal="left" vertical="center" wrapText="1"/>
    </xf>
    <xf numFmtId="0" fontId="5" fillId="2" borderId="0" xfId="0" applyFont="1" applyFill="1" applyAlignment="1">
      <alignment horizontal="center"/>
    </xf>
    <xf numFmtId="0" fontId="5" fillId="2" borderId="0" xfId="0" applyFont="1" applyFill="1" applyBorder="1" applyAlignment="1">
      <alignment horizontal="left"/>
    </xf>
    <xf numFmtId="0" fontId="20" fillId="0" borderId="15" xfId="0" applyFont="1" applyBorder="1" applyAlignment="1" applyProtection="1">
      <alignment horizontal="center"/>
      <protection locked="0"/>
    </xf>
    <xf numFmtId="0" fontId="20" fillId="0" borderId="7" xfId="0" applyFont="1" applyBorder="1" applyAlignment="1" applyProtection="1">
      <alignment horizontal="center"/>
      <protection locked="0"/>
    </xf>
    <xf numFmtId="0" fontId="5" fillId="2" borderId="0" xfId="0" applyFont="1" applyFill="1" applyBorder="1" applyAlignment="1">
      <alignment horizontal="left" vertical="center"/>
    </xf>
    <xf numFmtId="49" fontId="5" fillId="2" borderId="0" xfId="0" applyNumberFormat="1" applyFont="1" applyFill="1" applyBorder="1" applyAlignment="1">
      <alignment horizontal="left"/>
    </xf>
    <xf numFmtId="0" fontId="5" fillId="2" borderId="0" xfId="0" applyFont="1" applyFill="1" applyBorder="1" applyAlignment="1"/>
    <xf numFmtId="0" fontId="0" fillId="0" borderId="6" xfId="0" applyBorder="1" applyAlignment="1" applyProtection="1">
      <alignment horizontal="center"/>
      <protection locked="0"/>
    </xf>
    <xf numFmtId="0" fontId="5" fillId="2" borderId="11" xfId="0" applyFont="1" applyFill="1" applyBorder="1" applyAlignment="1">
      <alignment horizontal="center"/>
    </xf>
    <xf numFmtId="0" fontId="5" fillId="2" borderId="11" xfId="0" applyFont="1" applyFill="1" applyBorder="1" applyAlignment="1">
      <alignment horizontal="left"/>
    </xf>
    <xf numFmtId="0" fontId="0" fillId="0" borderId="0" xfId="0" applyAlignment="1">
      <alignment horizontal="center"/>
    </xf>
    <xf numFmtId="0" fontId="5" fillId="0" borderId="0" xfId="0" applyFont="1" applyFill="1" applyBorder="1" applyAlignment="1" applyProtection="1"/>
    <xf numFmtId="0" fontId="20" fillId="0" borderId="15" xfId="0" applyFont="1" applyBorder="1" applyAlignment="1" applyProtection="1">
      <alignment horizontal="left"/>
      <protection locked="0"/>
    </xf>
    <xf numFmtId="0" fontId="20" fillId="0" borderId="7" xfId="0" applyFont="1" applyBorder="1" applyAlignment="1" applyProtection="1">
      <alignment horizontal="left"/>
      <protection locked="0"/>
    </xf>
    <xf numFmtId="0" fontId="0" fillId="0" borderId="8" xfId="0" applyBorder="1" applyAlignment="1" applyProtection="1">
      <alignment horizontal="center" vertical="top" wrapText="1"/>
      <protection locked="0"/>
    </xf>
    <xf numFmtId="0" fontId="0" fillId="0" borderId="9" xfId="0" applyBorder="1" applyAlignment="1" applyProtection="1">
      <alignment horizontal="center" vertical="top" wrapText="1"/>
      <protection locked="0"/>
    </xf>
    <xf numFmtId="0" fontId="0" fillId="0" borderId="10" xfId="0" applyBorder="1" applyAlignment="1" applyProtection="1">
      <alignment horizontal="center" vertical="top" wrapText="1"/>
      <protection locked="0"/>
    </xf>
    <xf numFmtId="0" fontId="0" fillId="0" borderId="12" xfId="0" applyBorder="1" applyAlignment="1" applyProtection="1">
      <alignment horizontal="center" vertical="top" wrapText="1"/>
      <protection locked="0"/>
    </xf>
    <xf numFmtId="0" fontId="0" fillId="0" borderId="0" xfId="0" applyBorder="1" applyAlignment="1" applyProtection="1">
      <alignment horizontal="center" vertical="top" wrapText="1"/>
      <protection locked="0"/>
    </xf>
    <xf numFmtId="0" fontId="0" fillId="0" borderId="11" xfId="0" applyBorder="1" applyAlignment="1" applyProtection="1">
      <alignment horizontal="center" vertical="top" wrapText="1"/>
      <protection locked="0"/>
    </xf>
    <xf numFmtId="0" fontId="0" fillId="0" borderId="14" xfId="0" applyBorder="1" applyAlignment="1" applyProtection="1">
      <alignment horizontal="center" vertical="top" wrapText="1"/>
      <protection locked="0"/>
    </xf>
    <xf numFmtId="0" fontId="0" fillId="0" borderId="2" xfId="0" applyBorder="1" applyAlignment="1" applyProtection="1">
      <alignment horizontal="center" vertical="top" wrapText="1"/>
      <protection locked="0"/>
    </xf>
    <xf numFmtId="0" fontId="0" fillId="0" borderId="13" xfId="0" applyBorder="1" applyAlignment="1" applyProtection="1">
      <alignment horizontal="center" vertical="top" wrapText="1"/>
      <protection locked="0"/>
    </xf>
    <xf numFmtId="0" fontId="20" fillId="0" borderId="6" xfId="0" applyFont="1" applyBorder="1" applyAlignment="1">
      <alignment horizontal="center"/>
    </xf>
    <xf numFmtId="0" fontId="5" fillId="2" borderId="9" xfId="0" applyFont="1" applyFill="1" applyBorder="1" applyAlignment="1">
      <alignment horizontal="center"/>
    </xf>
    <xf numFmtId="0" fontId="0" fillId="0" borderId="15" xfId="0" applyFill="1" applyBorder="1" applyAlignment="1" applyProtection="1">
      <alignment horizontal="center"/>
      <protection locked="0"/>
    </xf>
    <xf numFmtId="0" fontId="0" fillId="0" borderId="6" xfId="0" applyFill="1" applyBorder="1" applyAlignment="1" applyProtection="1">
      <alignment horizontal="center"/>
      <protection locked="0"/>
    </xf>
    <xf numFmtId="0" fontId="0" fillId="0" borderId="7" xfId="0" applyFill="1" applyBorder="1" applyAlignment="1" applyProtection="1">
      <alignment horizontal="center"/>
      <protection locked="0"/>
    </xf>
    <xf numFmtId="0" fontId="5" fillId="2" borderId="0" xfId="0" applyFont="1" applyFill="1" applyBorder="1" applyAlignment="1" applyProtection="1">
      <alignment horizontal="left"/>
    </xf>
    <xf numFmtId="0" fontId="4" fillId="0" borderId="15" xfId="0" applyFont="1" applyBorder="1" applyAlignment="1" applyProtection="1">
      <alignment horizontal="left"/>
      <protection locked="0"/>
    </xf>
    <xf numFmtId="0" fontId="4" fillId="0" borderId="6" xfId="0" applyFont="1" applyBorder="1" applyAlignment="1" applyProtection="1">
      <alignment horizontal="left"/>
      <protection locked="0"/>
    </xf>
    <xf numFmtId="0" fontId="4" fillId="0" borderId="7" xfId="0" applyFont="1" applyBorder="1" applyAlignment="1" applyProtection="1">
      <alignment horizontal="left"/>
      <protection locked="0"/>
    </xf>
    <xf numFmtId="0" fontId="0" fillId="0" borderId="15" xfId="0" applyBorder="1" applyAlignment="1" applyProtection="1">
      <alignment horizontal="left"/>
      <protection locked="0"/>
    </xf>
    <xf numFmtId="0" fontId="0" fillId="0" borderId="6" xfId="0" applyBorder="1" applyAlignment="1" applyProtection="1">
      <alignment horizontal="left"/>
      <protection locked="0"/>
    </xf>
    <xf numFmtId="0" fontId="0" fillId="0" borderId="7" xfId="0" applyBorder="1" applyAlignment="1" applyProtection="1">
      <alignment horizontal="left"/>
      <protection locked="0"/>
    </xf>
    <xf numFmtId="0" fontId="9" fillId="2" borderId="0" xfId="0" applyFont="1" applyFill="1" applyBorder="1" applyAlignment="1" applyProtection="1"/>
    <xf numFmtId="0" fontId="9" fillId="2" borderId="11" xfId="0" applyFont="1" applyFill="1" applyBorder="1" applyAlignment="1" applyProtection="1"/>
    <xf numFmtId="0" fontId="11" fillId="15" borderId="58" xfId="0" applyFont="1" applyFill="1" applyBorder="1" applyAlignment="1" applyProtection="1">
      <alignment vertical="center"/>
    </xf>
    <xf numFmtId="0" fontId="11" fillId="15" borderId="27" xfId="0" applyFont="1" applyFill="1" applyBorder="1" applyAlignment="1" applyProtection="1">
      <alignment vertical="center"/>
    </xf>
    <xf numFmtId="0" fontId="5" fillId="2" borderId="25" xfId="0" applyNumberFormat="1" applyFont="1" applyFill="1" applyBorder="1" applyAlignment="1" applyProtection="1">
      <alignment horizontal="left"/>
    </xf>
    <xf numFmtId="0" fontId="5" fillId="2" borderId="0" xfId="0" applyNumberFormat="1" applyFont="1" applyFill="1" applyBorder="1" applyAlignment="1" applyProtection="1">
      <alignment horizontal="left"/>
    </xf>
    <xf numFmtId="0" fontId="0" fillId="15" borderId="33" xfId="0" applyNumberFormat="1" applyFill="1" applyBorder="1" applyAlignment="1" applyProtection="1">
      <alignment horizontal="left" vertical="top" wrapText="1"/>
    </xf>
    <xf numFmtId="0" fontId="0" fillId="15" borderId="30" xfId="0" applyNumberFormat="1" applyFill="1" applyBorder="1" applyAlignment="1" applyProtection="1">
      <alignment horizontal="left" vertical="top" wrapText="1"/>
    </xf>
    <xf numFmtId="0" fontId="0" fillId="15" borderId="25" xfId="0" applyNumberFormat="1" applyFill="1" applyBorder="1" applyAlignment="1" applyProtection="1">
      <alignment horizontal="left" vertical="top" wrapText="1"/>
    </xf>
    <xf numFmtId="0" fontId="0" fillId="15" borderId="0" xfId="0" applyNumberFormat="1" applyFill="1" applyBorder="1" applyAlignment="1" applyProtection="1">
      <alignment horizontal="left" vertical="top" wrapText="1"/>
    </xf>
    <xf numFmtId="0" fontId="0" fillId="15" borderId="33" xfId="0" applyFont="1" applyFill="1" applyBorder="1" applyAlignment="1" applyProtection="1">
      <alignment horizontal="left" vertical="top" wrapText="1"/>
    </xf>
    <xf numFmtId="0" fontId="0" fillId="15" borderId="30" xfId="0" applyFont="1" applyFill="1" applyBorder="1" applyAlignment="1" applyProtection="1">
      <alignment horizontal="left" vertical="top" wrapText="1"/>
    </xf>
    <xf numFmtId="0" fontId="0" fillId="15" borderId="35" xfId="0" applyFont="1" applyFill="1" applyBorder="1" applyAlignment="1" applyProtection="1">
      <alignment horizontal="left" vertical="top" wrapText="1"/>
    </xf>
    <xf numFmtId="0" fontId="0" fillId="15" borderId="29" xfId="0" applyFont="1" applyFill="1" applyBorder="1" applyAlignment="1" applyProtection="1">
      <alignment horizontal="left" vertical="top" wrapText="1"/>
    </xf>
    <xf numFmtId="0" fontId="11" fillId="15" borderId="27" xfId="0" applyFont="1" applyFill="1" applyBorder="1" applyProtection="1"/>
    <xf numFmtId="0" fontId="0" fillId="15" borderId="27" xfId="0" applyFont="1" applyFill="1" applyBorder="1" applyAlignment="1" applyProtection="1">
      <alignment horizontal="left"/>
    </xf>
    <xf numFmtId="12" fontId="5" fillId="2" borderId="0" xfId="0" applyNumberFormat="1" applyFont="1" applyFill="1" applyBorder="1" applyAlignment="1" applyProtection="1">
      <alignment horizontal="right"/>
    </xf>
    <xf numFmtId="0" fontId="0" fillId="15" borderId="29" xfId="0" applyFill="1" applyBorder="1" applyAlignment="1" applyProtection="1">
      <alignment horizontal="left"/>
    </xf>
    <xf numFmtId="0" fontId="0" fillId="15" borderId="35" xfId="0" applyFill="1" applyBorder="1" applyAlignment="1" applyProtection="1">
      <alignment horizontal="left"/>
    </xf>
    <xf numFmtId="0" fontId="11" fillId="15" borderId="58" xfId="0" applyFont="1" applyFill="1" applyBorder="1" applyProtection="1"/>
    <xf numFmtId="0" fontId="0" fillId="15" borderId="29" xfId="0" applyFont="1" applyFill="1" applyBorder="1" applyAlignment="1" applyProtection="1">
      <alignment horizontal="left"/>
    </xf>
    <xf numFmtId="0" fontId="4" fillId="15" borderId="29" xfId="0" applyFont="1" applyFill="1" applyBorder="1" applyProtection="1"/>
    <xf numFmtId="0" fontId="4" fillId="0" borderId="0" xfId="0" applyFont="1" applyAlignment="1" applyProtection="1">
      <alignment horizontal="center"/>
    </xf>
    <xf numFmtId="0" fontId="0" fillId="0" borderId="0" xfId="0" applyAlignment="1" applyProtection="1">
      <alignment horizontal="center"/>
    </xf>
    <xf numFmtId="0" fontId="0" fillId="0" borderId="0" xfId="0" applyAlignment="1">
      <alignment horizontal="left"/>
    </xf>
    <xf numFmtId="0" fontId="0" fillId="15" borderId="15" xfId="0" applyFill="1" applyBorder="1" applyAlignment="1" applyProtection="1">
      <alignment horizontal="left"/>
      <protection locked="0"/>
    </xf>
    <xf numFmtId="0" fontId="0" fillId="15" borderId="6" xfId="0" applyFill="1" applyBorder="1" applyAlignment="1" applyProtection="1">
      <alignment horizontal="left"/>
      <protection locked="0"/>
    </xf>
    <xf numFmtId="0" fontId="0" fillId="15" borderId="7" xfId="0" applyFill="1" applyBorder="1" applyAlignment="1" applyProtection="1">
      <alignment horizontal="left"/>
      <protection locked="0"/>
    </xf>
    <xf numFmtId="0" fontId="5" fillId="2" borderId="0" xfId="0" applyFont="1" applyFill="1" applyBorder="1" applyProtection="1"/>
    <xf numFmtId="0" fontId="18" fillId="15" borderId="15" xfId="0" applyNumberFormat="1" applyFont="1" applyFill="1" applyBorder="1" applyAlignment="1" applyProtection="1">
      <alignment horizontal="left" vertical="top"/>
      <protection locked="0"/>
    </xf>
    <xf numFmtId="0" fontId="18" fillId="15" borderId="6" xfId="0" applyNumberFormat="1" applyFont="1" applyFill="1" applyBorder="1" applyAlignment="1" applyProtection="1">
      <alignment horizontal="left" vertical="top"/>
      <protection locked="0"/>
    </xf>
    <xf numFmtId="0" fontId="18" fillId="15" borderId="7" xfId="0" applyNumberFormat="1" applyFont="1" applyFill="1" applyBorder="1" applyAlignment="1" applyProtection="1">
      <alignment horizontal="left" vertical="top"/>
      <protection locked="0"/>
    </xf>
    <xf numFmtId="0" fontId="0" fillId="14" borderId="6" xfId="0" applyFill="1" applyBorder="1" applyAlignment="1" applyProtection="1">
      <alignment horizontal="center"/>
    </xf>
    <xf numFmtId="0" fontId="0" fillId="15" borderId="15" xfId="0" applyFill="1" applyBorder="1" applyAlignment="1" applyProtection="1">
      <alignment horizontal="center"/>
      <protection locked="0"/>
    </xf>
    <xf numFmtId="0" fontId="0" fillId="15" borderId="6" xfId="0" applyFill="1" applyBorder="1" applyAlignment="1" applyProtection="1">
      <alignment horizontal="center"/>
      <protection locked="0"/>
    </xf>
    <xf numFmtId="0" fontId="0" fillId="15" borderId="7" xfId="0" applyFill="1" applyBorder="1" applyAlignment="1" applyProtection="1">
      <alignment horizontal="center"/>
      <protection locked="0"/>
    </xf>
    <xf numFmtId="0" fontId="18" fillId="15" borderId="15" xfId="0" applyFont="1" applyFill="1" applyBorder="1" applyAlignment="1" applyProtection="1">
      <alignment horizontal="left"/>
      <protection locked="0"/>
    </xf>
    <xf numFmtId="0" fontId="18" fillId="15" borderId="6" xfId="0" applyFont="1" applyFill="1" applyBorder="1" applyAlignment="1" applyProtection="1">
      <alignment horizontal="left"/>
      <protection locked="0"/>
    </xf>
    <xf numFmtId="0" fontId="18" fillId="15" borderId="7" xfId="0" applyFont="1" applyFill="1" applyBorder="1" applyAlignment="1" applyProtection="1">
      <alignment horizontal="left"/>
      <protection locked="0"/>
    </xf>
    <xf numFmtId="1" fontId="0" fillId="14" borderId="15" xfId="0" applyNumberFormat="1" applyFill="1" applyBorder="1" applyAlignment="1" applyProtection="1">
      <alignment horizontal="center"/>
    </xf>
    <xf numFmtId="1" fontId="0" fillId="14" borderId="6" xfId="0" applyNumberFormat="1" applyFill="1" applyBorder="1" applyAlignment="1" applyProtection="1">
      <alignment horizontal="center"/>
    </xf>
    <xf numFmtId="1" fontId="0" fillId="14" borderId="7" xfId="0" applyNumberFormat="1" applyFill="1" applyBorder="1" applyAlignment="1" applyProtection="1">
      <alignment horizontal="center"/>
    </xf>
    <xf numFmtId="0" fontId="5" fillId="2" borderId="12" xfId="0" applyFont="1" applyFill="1" applyBorder="1" applyAlignment="1" applyProtection="1"/>
    <xf numFmtId="0" fontId="5" fillId="2" borderId="0" xfId="0" applyFont="1" applyFill="1" applyBorder="1" applyAlignment="1" applyProtection="1"/>
    <xf numFmtId="49" fontId="18" fillId="15" borderId="8" xfId="0" applyNumberFormat="1" applyFont="1" applyFill="1" applyBorder="1" applyAlignment="1" applyProtection="1">
      <alignment horizontal="left" vertical="top" wrapText="1"/>
      <protection locked="0"/>
    </xf>
    <xf numFmtId="49" fontId="18" fillId="15" borderId="9" xfId="0" applyNumberFormat="1" applyFont="1" applyFill="1" applyBorder="1" applyAlignment="1" applyProtection="1">
      <alignment horizontal="left" vertical="top" wrapText="1"/>
      <protection locked="0"/>
    </xf>
    <xf numFmtId="49" fontId="18" fillId="15" borderId="10" xfId="0" applyNumberFormat="1" applyFont="1" applyFill="1" applyBorder="1" applyAlignment="1" applyProtection="1">
      <alignment horizontal="left" vertical="top" wrapText="1"/>
      <protection locked="0"/>
    </xf>
    <xf numFmtId="49" fontId="18" fillId="15" borderId="12" xfId="0" applyNumberFormat="1" applyFont="1" applyFill="1" applyBorder="1" applyAlignment="1" applyProtection="1">
      <alignment horizontal="left" vertical="top" wrapText="1"/>
      <protection locked="0"/>
    </xf>
    <xf numFmtId="49" fontId="18" fillId="15" borderId="0" xfId="0" applyNumberFormat="1" applyFont="1" applyFill="1" applyBorder="1" applyAlignment="1" applyProtection="1">
      <alignment horizontal="left" vertical="top" wrapText="1"/>
      <protection locked="0"/>
    </xf>
    <xf numFmtId="49" fontId="18" fillId="15" borderId="11" xfId="0" applyNumberFormat="1" applyFont="1" applyFill="1" applyBorder="1" applyAlignment="1" applyProtection="1">
      <alignment horizontal="left" vertical="top" wrapText="1"/>
      <protection locked="0"/>
    </xf>
    <xf numFmtId="49" fontId="18" fillId="15" borderId="14" xfId="0" applyNumberFormat="1" applyFont="1" applyFill="1" applyBorder="1" applyAlignment="1" applyProtection="1">
      <alignment horizontal="left" vertical="top" wrapText="1"/>
      <protection locked="0"/>
    </xf>
    <xf numFmtId="49" fontId="18" fillId="15" borderId="2" xfId="0" applyNumberFormat="1" applyFont="1" applyFill="1" applyBorder="1" applyAlignment="1" applyProtection="1">
      <alignment horizontal="left" vertical="top" wrapText="1"/>
      <protection locked="0"/>
    </xf>
    <xf numFmtId="49" fontId="18" fillId="15" borderId="13" xfId="0" applyNumberFormat="1" applyFont="1" applyFill="1" applyBorder="1" applyAlignment="1" applyProtection="1">
      <alignment horizontal="left" vertical="top" wrapText="1"/>
      <protection locked="0"/>
    </xf>
    <xf numFmtId="0" fontId="0" fillId="0" borderId="29" xfId="0" applyBorder="1" applyProtection="1"/>
    <xf numFmtId="0" fontId="0" fillId="0" borderId="0" xfId="0" applyBorder="1" applyProtection="1"/>
    <xf numFmtId="0" fontId="4" fillId="0" borderId="0" xfId="0" applyFont="1" applyBorder="1" applyProtection="1"/>
    <xf numFmtId="0" fontId="4" fillId="0" borderId="0" xfId="0" applyFont="1" applyFill="1" applyBorder="1" applyProtection="1"/>
    <xf numFmtId="0" fontId="4" fillId="0" borderId="30" xfId="0" applyFont="1" applyBorder="1" applyAlignment="1" applyProtection="1">
      <alignment horizontal="right"/>
    </xf>
    <xf numFmtId="0" fontId="0" fillId="0" borderId="0" xfId="0" applyFont="1" applyBorder="1" applyProtection="1"/>
    <xf numFmtId="0" fontId="0" fillId="0" borderId="29" xfId="0" applyFont="1" applyBorder="1" applyProtection="1"/>
    <xf numFmtId="0" fontId="0" fillId="0" borderId="59" xfId="0" applyBorder="1" applyAlignment="1">
      <alignment horizontal="center"/>
    </xf>
    <xf numFmtId="0" fontId="0" fillId="0" borderId="49" xfId="0" applyBorder="1" applyAlignment="1">
      <alignment horizontal="center"/>
    </xf>
    <xf numFmtId="0" fontId="0" fillId="0" borderId="72" xfId="0" applyBorder="1" applyAlignment="1">
      <alignment horizontal="center"/>
    </xf>
    <xf numFmtId="0" fontId="4" fillId="0" borderId="59" xfId="0" applyFont="1" applyBorder="1" applyAlignment="1">
      <alignment horizontal="center"/>
    </xf>
    <xf numFmtId="0" fontId="4" fillId="0" borderId="49" xfId="0" applyFont="1" applyBorder="1" applyAlignment="1">
      <alignment horizontal="center"/>
    </xf>
    <xf numFmtId="0" fontId="4" fillId="0" borderId="72" xfId="0" applyFont="1" applyBorder="1" applyAlignment="1">
      <alignment horizontal="center"/>
    </xf>
    <xf numFmtId="0" fontId="4" fillId="0" borderId="8" xfId="0" applyFont="1" applyBorder="1" applyAlignment="1">
      <alignment horizontal="center"/>
    </xf>
    <xf numFmtId="0" fontId="4" fillId="0" borderId="9" xfId="0" applyFont="1" applyBorder="1" applyAlignment="1">
      <alignment horizontal="center"/>
    </xf>
    <xf numFmtId="0" fontId="4" fillId="0" borderId="10" xfId="0" applyFont="1" applyBorder="1" applyAlignment="1">
      <alignment horizontal="center"/>
    </xf>
    <xf numFmtId="0" fontId="39" fillId="0" borderId="0" xfId="2" applyFont="1"/>
    <xf numFmtId="0" fontId="1" fillId="0" borderId="0" xfId="2"/>
    <xf numFmtId="0" fontId="1" fillId="31" borderId="0" xfId="2" applyFill="1"/>
    <xf numFmtId="0" fontId="1" fillId="32" borderId="0" xfId="2" applyFill="1"/>
  </cellXfs>
  <cellStyles count="3">
    <cellStyle name="Гиперссылка" xfId="1" builtinId="8"/>
    <cellStyle name="Обычный" xfId="0" builtinId="0"/>
    <cellStyle name="Обычный 2" xfId="2"/>
  </cellStyles>
  <dxfs count="276">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outline="0">
        <left style="thin">
          <color rgb="FF000000"/>
        </left>
        <right/>
        <top style="thin">
          <color rgb="FF000000"/>
        </top>
        <bottom style="thin">
          <color rgb="FF000000"/>
        </bottom>
      </border>
    </dxf>
    <dxf>
      <alignment horizontal="general" vertical="top"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Calibri"/>
        <scheme val="none"/>
      </font>
      <numFmt numFmtId="1" formatCode="0"/>
      <fill>
        <patternFill patternType="none">
          <fgColor rgb="FF000000"/>
          <bgColor rgb="FFFFFFFF"/>
        </patternFill>
      </fill>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scheme val="none"/>
      </font>
      <numFmt numFmtId="1" formatCode="0"/>
      <fill>
        <patternFill patternType="none">
          <fgColor rgb="FF000000"/>
          <bgColor rgb="FFFFFFFF"/>
        </patternFill>
      </fill>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scheme val="none"/>
      </font>
      <numFmt numFmtId="1" formatCode="0"/>
      <fill>
        <patternFill patternType="none">
          <fgColor indexed="64"/>
          <bgColor indexed="65"/>
        </patternFill>
      </fill>
      <alignment horizontal="center" vertical="top" textRotation="0" wrapText="1" relative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 formatCode="0"/>
      <fill>
        <patternFill patternType="none">
          <fgColor rgb="FF000000"/>
          <bgColor rgb="FFFFFFFF"/>
        </patternFill>
      </fill>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scheme val="none"/>
      </font>
      <numFmt numFmtId="1" formatCode="0"/>
      <fill>
        <patternFill patternType="none">
          <fgColor rgb="FF000000"/>
          <bgColor rgb="FFFFFFFF"/>
        </patternFill>
      </fill>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scheme val="none"/>
      </font>
      <numFmt numFmtId="1" formatCode="0"/>
      <fill>
        <patternFill patternType="none">
          <fgColor rgb="FF000000"/>
          <bgColor rgb="FFFFFFFF"/>
        </patternFill>
      </fill>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numFmt numFmtId="1" formatCode="0"/>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numFmt numFmtId="1" formatCode="0"/>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Calibri"/>
        <scheme val="none"/>
      </font>
      <numFmt numFmtId="165" formatCode="0.000"/>
      <fill>
        <patternFill patternType="none">
          <fgColor indexed="64"/>
          <bgColor indexed="65"/>
        </patternFill>
      </fill>
      <alignment horizontal="center" vertical="top" textRotation="0" wrapText="1" relativeIndent="0" justifyLastLine="0" shrinkToFit="0" readingOrder="0"/>
      <border diagonalUp="0" diagonalDown="0">
        <left style="thin">
          <color indexed="64"/>
        </left>
        <right style="thin">
          <color indexed="64"/>
        </right>
        <top style="thin">
          <color indexed="64"/>
        </top>
        <bottom style="thin">
          <color indexed="64"/>
        </bottom>
      </border>
    </dxf>
    <dxf>
      <numFmt numFmtId="1" formatCode="0"/>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Calibri"/>
        <scheme val="none"/>
      </font>
      <numFmt numFmtId="165" formatCode="0.000"/>
      <fill>
        <patternFill patternType="none">
          <fgColor indexed="64"/>
          <bgColor indexed="65"/>
        </patternFill>
      </fill>
      <alignment horizontal="center" vertical="top" textRotation="0" wrapText="1"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none"/>
      </font>
      <numFmt numFmtId="165" formatCode="0.000"/>
      <fill>
        <patternFill patternType="none">
          <fgColor indexed="64"/>
          <bgColor indexed="65"/>
        </patternFill>
      </fill>
      <alignment horizontal="center" vertical="top" textRotation="0" wrapText="1"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none"/>
      </font>
      <numFmt numFmtId="165" formatCode="0.000"/>
      <fill>
        <patternFill patternType="none">
          <fgColor indexed="64"/>
          <bgColor indexed="65"/>
        </patternFill>
      </fill>
      <alignment horizontal="center" vertical="top" textRotation="0" wrapText="1" relativeIndent="0" justifyLastLine="0" shrinkToFit="0" readingOrder="0"/>
      <border diagonalUp="0" diagonalDown="0">
        <left style="thin">
          <color indexed="64"/>
        </left>
        <right style="thin">
          <color indexed="64"/>
        </right>
        <top style="thin">
          <color indexed="64"/>
        </top>
        <bottom style="thin">
          <color indexed="64"/>
        </bottom>
      </border>
    </dxf>
    <dxf>
      <numFmt numFmtId="1" formatCode="0"/>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numFmt numFmtId="1" formatCode="0"/>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numFmt numFmtId="1" formatCode="0"/>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numFmt numFmtId="1" formatCode="0"/>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Calibri"/>
        <scheme val="none"/>
      </font>
      <numFmt numFmtId="1" formatCode="0"/>
      <fill>
        <patternFill patternType="none">
          <fgColor indexed="64"/>
          <bgColor indexed="65"/>
        </patternFill>
      </fill>
      <alignment horizontal="center" vertical="top" textRotation="0" wrapText="1" relativeIndent="0" justifyLastLine="0" shrinkToFit="0" readingOrder="0"/>
      <border diagonalUp="0" diagonalDown="0">
        <left style="thin">
          <color rgb="FF000000"/>
        </left>
        <right style="thin">
          <color rgb="FF000000"/>
        </right>
        <top style="thin">
          <color rgb="FF000000"/>
        </top>
        <bottom style="thin">
          <color rgb="FF000000"/>
        </bottom>
        <vertical/>
        <horizontal/>
      </border>
    </dxf>
    <dxf>
      <numFmt numFmtId="1" formatCode="0"/>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numFmt numFmtId="30" formatCode="@"/>
      <alignment horizontal="general" vertical="top" textRotation="0" wrapText="1" indent="0" justifyLastLine="0" shrinkToFit="0" readingOrder="0"/>
      <border diagonalUp="0" diagonalDown="0">
        <left/>
        <right style="thin">
          <color rgb="FF000000"/>
        </right>
        <top style="thin">
          <color rgb="FF000000"/>
        </top>
        <bottom style="thin">
          <color rgb="FF000000"/>
        </bottom>
      </border>
    </dxf>
    <dxf>
      <border>
        <top style="thin">
          <color rgb="FF000000"/>
        </top>
      </border>
    </dxf>
    <dxf>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dxf>
    <dxf>
      <border>
        <bottom style="thin">
          <color rgb="FF000000"/>
        </bottom>
      </border>
    </dxf>
    <dxf>
      <alignment horizontal="left" vertical="top" textRotation="0" wrapText="1" indent="0" justifyLastLine="0" shrinkToFit="0" readingOrder="0"/>
      <border diagonalUp="0" diagonalDown="0" outline="0">
        <left style="thin">
          <color rgb="FF000000"/>
        </left>
        <right style="thin">
          <color rgb="FF000000"/>
        </right>
        <top/>
        <bottom/>
      </border>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fill>
        <patternFill patternType="solid">
          <fgColor indexed="64"/>
          <bgColor theme="3" tint="-0.249977111117893"/>
        </patternFill>
      </fill>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font>
        <strike val="0"/>
        <outline val="0"/>
        <shadow val="0"/>
        <u val="none"/>
        <vertAlign val="baseline"/>
        <sz val="11"/>
        <color auto="1"/>
        <name val="Calibri"/>
        <scheme val="minor"/>
      </font>
      <fill>
        <patternFill patternType="solid">
          <fgColor indexed="64"/>
          <bgColor rgb="FF00FF00"/>
        </patternFill>
      </fill>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font>
        <strike val="0"/>
        <outline val="0"/>
        <shadow val="0"/>
        <u val="none"/>
        <vertAlign val="baseline"/>
        <sz val="11"/>
        <color auto="1"/>
        <name val="Calibri"/>
        <scheme val="minor"/>
      </font>
      <fill>
        <patternFill patternType="solid">
          <fgColor indexed="64"/>
          <bgColor theme="9"/>
        </patternFill>
      </fill>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fill>
        <patternFill patternType="solid">
          <fgColor indexed="64"/>
          <bgColor rgb="FF7030A0"/>
        </patternFill>
      </fill>
      <alignment horizontal="general" vertical="top" textRotation="0" wrapText="0" indent="0" justifyLastLine="0" shrinkToFit="0" readingOrder="0"/>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ill>
        <patternFill>
          <bgColor rgb="FF92D050"/>
        </patternFill>
      </fill>
    </dxf>
    <dxf>
      <fill>
        <patternFill>
          <bgColor rgb="FFDA4A10"/>
        </patternFill>
      </fill>
    </dxf>
    <dxf>
      <fill>
        <patternFill>
          <bgColor rgb="FFFFFF00"/>
        </patternFill>
      </fill>
    </dxf>
    <dxf>
      <fill>
        <patternFill>
          <bgColor rgb="FF92D050"/>
        </patternFill>
      </fill>
    </dxf>
    <dxf>
      <fill>
        <patternFill>
          <bgColor rgb="FFFFFF00"/>
        </patternFill>
      </fill>
    </dxf>
    <dxf>
      <fill>
        <patternFill>
          <bgColor rgb="FFDA4A10"/>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ill>
        <patternFill patternType="solid">
          <fgColor rgb="FFDCE6F1"/>
          <bgColor rgb="FFDCE6F1"/>
        </patternFill>
      </fill>
    </dxf>
    <dxf>
      <fill>
        <patternFill patternType="solid">
          <fgColor rgb="FFDCE6F1"/>
          <bgColor rgb="FFDCE6F1"/>
        </patternFill>
      </fill>
    </dxf>
    <dxf>
      <font>
        <b/>
        <color rgb="FF000000"/>
      </font>
    </dxf>
    <dxf>
      <font>
        <b/>
        <color rgb="FF000000"/>
      </font>
    </dxf>
    <dxf>
      <font>
        <b/>
        <color rgb="FF000000"/>
      </font>
      <border>
        <top style="double">
          <color rgb="FF4F81BD"/>
        </top>
      </border>
    </dxf>
    <dxf>
      <font>
        <b/>
        <color rgb="FFFFFFFF"/>
      </font>
      <fill>
        <patternFill patternType="solid">
          <fgColor rgb="FF4F81BD"/>
          <bgColor rgb="FF4F81BD"/>
        </patternFill>
      </fill>
    </dxf>
    <dxf>
      <font>
        <color rgb="FF000000"/>
      </font>
      <border>
        <left style="thin">
          <color rgb="FF95B3D7"/>
        </left>
        <right style="thin">
          <color rgb="FF95B3D7"/>
        </right>
        <top style="thin">
          <color rgb="FF95B3D7"/>
        </top>
        <bottom style="thin">
          <color rgb="FF95B3D7"/>
        </bottom>
        <horizontal style="thin">
          <color rgb="FF95B3D7"/>
        </horizontal>
      </border>
    </dxf>
  </dxfs>
  <tableStyles count="1" defaultTableStyle="TableStyleMedium9" defaultPivotStyle="PivotStyleLight16">
    <tableStyle name="TableStyleMedium2 2" pivot="0" count="7">
      <tableStyleElement type="wholeTable" dxfId="275"/>
      <tableStyleElement type="headerRow" dxfId="274"/>
      <tableStyleElement type="totalRow" dxfId="273"/>
      <tableStyleElement type="firstColumn" dxfId="272"/>
      <tableStyleElement type="lastColumn" dxfId="271"/>
      <tableStyleElement type="firstRowStripe" dxfId="270"/>
      <tableStyleElement type="firstColumnStripe" dxfId="269"/>
    </tableStyle>
  </tableStyles>
  <colors>
    <mruColors>
      <color rgb="FFA3E7FF"/>
      <color rgb="FFDA4A10"/>
      <color rgb="FF9900CC"/>
      <color rgb="FF00FF00"/>
      <color rgb="FFCC9900"/>
      <color rgb="FFFFFF00"/>
      <color rgb="FFFFFFCC"/>
      <color rgb="FFFBCBA3"/>
      <color rgb="FFFF996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36.png"/><Relationship Id="rId18" Type="http://schemas.openxmlformats.org/officeDocument/2006/relationships/image" Target="../media/image41.png"/><Relationship Id="rId26" Type="http://schemas.openxmlformats.org/officeDocument/2006/relationships/image" Target="../media/image49.png"/><Relationship Id="rId39" Type="http://schemas.openxmlformats.org/officeDocument/2006/relationships/image" Target="../media/image62.png"/><Relationship Id="rId21" Type="http://schemas.openxmlformats.org/officeDocument/2006/relationships/image" Target="../media/image44.png"/><Relationship Id="rId34" Type="http://schemas.openxmlformats.org/officeDocument/2006/relationships/image" Target="../media/image57.png"/><Relationship Id="rId42" Type="http://schemas.openxmlformats.org/officeDocument/2006/relationships/image" Target="../media/image65.png"/><Relationship Id="rId47" Type="http://schemas.openxmlformats.org/officeDocument/2006/relationships/image" Target="../media/image70.png"/><Relationship Id="rId50" Type="http://schemas.openxmlformats.org/officeDocument/2006/relationships/image" Target="../media/image73.png"/><Relationship Id="rId55" Type="http://schemas.openxmlformats.org/officeDocument/2006/relationships/image" Target="../media/image78.png"/><Relationship Id="rId63" Type="http://schemas.openxmlformats.org/officeDocument/2006/relationships/image" Target="../media/image86.png"/><Relationship Id="rId68" Type="http://schemas.openxmlformats.org/officeDocument/2006/relationships/image" Target="../media/image91.png"/><Relationship Id="rId76" Type="http://schemas.openxmlformats.org/officeDocument/2006/relationships/image" Target="../media/image99.png"/><Relationship Id="rId84" Type="http://schemas.openxmlformats.org/officeDocument/2006/relationships/image" Target="../media/image107.png"/><Relationship Id="rId89" Type="http://schemas.openxmlformats.org/officeDocument/2006/relationships/image" Target="../media/image112.png"/><Relationship Id="rId7" Type="http://schemas.openxmlformats.org/officeDocument/2006/relationships/image" Target="../media/image30.png"/><Relationship Id="rId71" Type="http://schemas.openxmlformats.org/officeDocument/2006/relationships/image" Target="../media/image94.png"/><Relationship Id="rId92" Type="http://schemas.openxmlformats.org/officeDocument/2006/relationships/image" Target="../media/image115.png"/><Relationship Id="rId2" Type="http://schemas.openxmlformats.org/officeDocument/2006/relationships/image" Target="../media/image25.png"/><Relationship Id="rId16" Type="http://schemas.openxmlformats.org/officeDocument/2006/relationships/image" Target="../media/image39.png"/><Relationship Id="rId29" Type="http://schemas.openxmlformats.org/officeDocument/2006/relationships/image" Target="../media/image52.png"/><Relationship Id="rId11" Type="http://schemas.openxmlformats.org/officeDocument/2006/relationships/image" Target="../media/image34.png"/><Relationship Id="rId24" Type="http://schemas.openxmlformats.org/officeDocument/2006/relationships/image" Target="../media/image47.png"/><Relationship Id="rId32" Type="http://schemas.openxmlformats.org/officeDocument/2006/relationships/image" Target="../media/image55.png"/><Relationship Id="rId37" Type="http://schemas.openxmlformats.org/officeDocument/2006/relationships/image" Target="../media/image60.png"/><Relationship Id="rId40" Type="http://schemas.openxmlformats.org/officeDocument/2006/relationships/image" Target="../media/image63.png"/><Relationship Id="rId45" Type="http://schemas.openxmlformats.org/officeDocument/2006/relationships/image" Target="../media/image68.png"/><Relationship Id="rId53" Type="http://schemas.openxmlformats.org/officeDocument/2006/relationships/image" Target="../media/image76.png"/><Relationship Id="rId58" Type="http://schemas.openxmlformats.org/officeDocument/2006/relationships/image" Target="../media/image81.png"/><Relationship Id="rId66" Type="http://schemas.openxmlformats.org/officeDocument/2006/relationships/image" Target="../media/image89.png"/><Relationship Id="rId74" Type="http://schemas.openxmlformats.org/officeDocument/2006/relationships/image" Target="../media/image97.png"/><Relationship Id="rId79" Type="http://schemas.openxmlformats.org/officeDocument/2006/relationships/image" Target="../media/image102.png"/><Relationship Id="rId87" Type="http://schemas.openxmlformats.org/officeDocument/2006/relationships/image" Target="../media/image110.png"/><Relationship Id="rId5" Type="http://schemas.openxmlformats.org/officeDocument/2006/relationships/image" Target="../media/image28.png"/><Relationship Id="rId61" Type="http://schemas.openxmlformats.org/officeDocument/2006/relationships/image" Target="../media/image84.png"/><Relationship Id="rId82" Type="http://schemas.openxmlformats.org/officeDocument/2006/relationships/image" Target="../media/image105.png"/><Relationship Id="rId90" Type="http://schemas.openxmlformats.org/officeDocument/2006/relationships/image" Target="../media/image113.png"/><Relationship Id="rId95" Type="http://schemas.openxmlformats.org/officeDocument/2006/relationships/image" Target="../media/image118.png"/><Relationship Id="rId19" Type="http://schemas.openxmlformats.org/officeDocument/2006/relationships/image" Target="../media/image42.png"/><Relationship Id="rId14" Type="http://schemas.openxmlformats.org/officeDocument/2006/relationships/image" Target="../media/image37.png"/><Relationship Id="rId22" Type="http://schemas.openxmlformats.org/officeDocument/2006/relationships/image" Target="../media/image45.png"/><Relationship Id="rId27" Type="http://schemas.openxmlformats.org/officeDocument/2006/relationships/image" Target="../media/image50.png"/><Relationship Id="rId30" Type="http://schemas.openxmlformats.org/officeDocument/2006/relationships/image" Target="../media/image53.png"/><Relationship Id="rId35" Type="http://schemas.openxmlformats.org/officeDocument/2006/relationships/image" Target="../media/image58.png"/><Relationship Id="rId43" Type="http://schemas.openxmlformats.org/officeDocument/2006/relationships/image" Target="../media/image66.png"/><Relationship Id="rId48" Type="http://schemas.openxmlformats.org/officeDocument/2006/relationships/image" Target="../media/image71.png"/><Relationship Id="rId56" Type="http://schemas.openxmlformats.org/officeDocument/2006/relationships/image" Target="../media/image79.png"/><Relationship Id="rId64" Type="http://schemas.openxmlformats.org/officeDocument/2006/relationships/image" Target="../media/image87.png"/><Relationship Id="rId69" Type="http://schemas.openxmlformats.org/officeDocument/2006/relationships/image" Target="../media/image92.png"/><Relationship Id="rId77" Type="http://schemas.openxmlformats.org/officeDocument/2006/relationships/image" Target="../media/image100.png"/><Relationship Id="rId8" Type="http://schemas.openxmlformats.org/officeDocument/2006/relationships/image" Target="../media/image31.png"/><Relationship Id="rId51" Type="http://schemas.openxmlformats.org/officeDocument/2006/relationships/image" Target="../media/image74.png"/><Relationship Id="rId72" Type="http://schemas.openxmlformats.org/officeDocument/2006/relationships/image" Target="../media/image95.png"/><Relationship Id="rId80" Type="http://schemas.openxmlformats.org/officeDocument/2006/relationships/image" Target="../media/image103.png"/><Relationship Id="rId85" Type="http://schemas.openxmlformats.org/officeDocument/2006/relationships/image" Target="../media/image108.png"/><Relationship Id="rId93" Type="http://schemas.openxmlformats.org/officeDocument/2006/relationships/image" Target="../media/image116.png"/><Relationship Id="rId3" Type="http://schemas.openxmlformats.org/officeDocument/2006/relationships/image" Target="../media/image26.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png"/><Relationship Id="rId38" Type="http://schemas.openxmlformats.org/officeDocument/2006/relationships/image" Target="../media/image61.png"/><Relationship Id="rId46" Type="http://schemas.openxmlformats.org/officeDocument/2006/relationships/image" Target="../media/image69.png"/><Relationship Id="rId59" Type="http://schemas.openxmlformats.org/officeDocument/2006/relationships/image" Target="../media/image82.png"/><Relationship Id="rId67" Type="http://schemas.openxmlformats.org/officeDocument/2006/relationships/image" Target="../media/image90.png"/><Relationship Id="rId20" Type="http://schemas.openxmlformats.org/officeDocument/2006/relationships/image" Target="../media/image43.png"/><Relationship Id="rId41" Type="http://schemas.openxmlformats.org/officeDocument/2006/relationships/image" Target="../media/image64.png"/><Relationship Id="rId54" Type="http://schemas.openxmlformats.org/officeDocument/2006/relationships/image" Target="../media/image77.png"/><Relationship Id="rId62" Type="http://schemas.openxmlformats.org/officeDocument/2006/relationships/image" Target="../media/image85.png"/><Relationship Id="rId70" Type="http://schemas.openxmlformats.org/officeDocument/2006/relationships/image" Target="../media/image93.png"/><Relationship Id="rId75" Type="http://schemas.openxmlformats.org/officeDocument/2006/relationships/image" Target="../media/image98.png"/><Relationship Id="rId83" Type="http://schemas.openxmlformats.org/officeDocument/2006/relationships/image" Target="../media/image106.png"/><Relationship Id="rId88" Type="http://schemas.openxmlformats.org/officeDocument/2006/relationships/image" Target="../media/image111.png"/><Relationship Id="rId91" Type="http://schemas.openxmlformats.org/officeDocument/2006/relationships/image" Target="../media/image114.png"/><Relationship Id="rId1" Type="http://schemas.openxmlformats.org/officeDocument/2006/relationships/image" Target="../media/image24.png"/><Relationship Id="rId6" Type="http://schemas.openxmlformats.org/officeDocument/2006/relationships/image" Target="../media/image29.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png"/><Relationship Id="rId49" Type="http://schemas.openxmlformats.org/officeDocument/2006/relationships/image" Target="../media/image72.png"/><Relationship Id="rId57" Type="http://schemas.openxmlformats.org/officeDocument/2006/relationships/image" Target="../media/image80.png"/><Relationship Id="rId10" Type="http://schemas.openxmlformats.org/officeDocument/2006/relationships/image" Target="../media/image33.png"/><Relationship Id="rId31" Type="http://schemas.openxmlformats.org/officeDocument/2006/relationships/image" Target="../media/image54.png"/><Relationship Id="rId44" Type="http://schemas.openxmlformats.org/officeDocument/2006/relationships/image" Target="../media/image67.png"/><Relationship Id="rId52" Type="http://schemas.openxmlformats.org/officeDocument/2006/relationships/image" Target="../media/image75.png"/><Relationship Id="rId60" Type="http://schemas.openxmlformats.org/officeDocument/2006/relationships/image" Target="../media/image83.png"/><Relationship Id="rId65" Type="http://schemas.openxmlformats.org/officeDocument/2006/relationships/image" Target="../media/image88.png"/><Relationship Id="rId73" Type="http://schemas.openxmlformats.org/officeDocument/2006/relationships/image" Target="../media/image96.png"/><Relationship Id="rId78" Type="http://schemas.openxmlformats.org/officeDocument/2006/relationships/image" Target="../media/image101.png"/><Relationship Id="rId81" Type="http://schemas.openxmlformats.org/officeDocument/2006/relationships/image" Target="../media/image104.png"/><Relationship Id="rId86" Type="http://schemas.openxmlformats.org/officeDocument/2006/relationships/image" Target="../media/image109.png"/><Relationship Id="rId94" Type="http://schemas.openxmlformats.org/officeDocument/2006/relationships/image" Target="../media/image117.png"/><Relationship Id="rId4" Type="http://schemas.openxmlformats.org/officeDocument/2006/relationships/image" Target="../media/image27.png"/><Relationship Id="rId9" Type="http://schemas.openxmlformats.org/officeDocument/2006/relationships/image" Target="../media/image3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205.png"/></Relationships>
</file>

<file path=xl/drawings/_rels/drawing4.xml.rels><?xml version="1.0" encoding="UTF-8" standalone="yes"?>
<Relationships xmlns="http://schemas.openxmlformats.org/package/2006/relationships"><Relationship Id="rId1" Type="http://schemas.openxmlformats.org/officeDocument/2006/relationships/image" Target="../media/image205.png"/></Relationships>
</file>

<file path=xl/drawings/_rels/drawing5.xml.rels><?xml version="1.0" encoding="UTF-8" standalone="yes"?>
<Relationships xmlns="http://schemas.openxmlformats.org/package/2006/relationships"><Relationship Id="rId1" Type="http://schemas.openxmlformats.org/officeDocument/2006/relationships/image" Target="../media/image20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jpe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vmlDrawing6.vml.rels><?xml version="1.0" encoding="UTF-8" standalone="yes"?>
<Relationships xmlns="http://schemas.openxmlformats.org/package/2006/relationships"><Relationship Id="rId13" Type="http://schemas.openxmlformats.org/officeDocument/2006/relationships/image" Target="../media/image131.png"/><Relationship Id="rId18" Type="http://schemas.openxmlformats.org/officeDocument/2006/relationships/image" Target="../media/image136.png"/><Relationship Id="rId26" Type="http://schemas.openxmlformats.org/officeDocument/2006/relationships/image" Target="../media/image144.png"/><Relationship Id="rId39" Type="http://schemas.openxmlformats.org/officeDocument/2006/relationships/image" Target="../media/image157.png"/><Relationship Id="rId21" Type="http://schemas.openxmlformats.org/officeDocument/2006/relationships/image" Target="../media/image139.png"/><Relationship Id="rId34" Type="http://schemas.openxmlformats.org/officeDocument/2006/relationships/image" Target="../media/image152.png"/><Relationship Id="rId42" Type="http://schemas.openxmlformats.org/officeDocument/2006/relationships/image" Target="../media/image160.png"/><Relationship Id="rId47" Type="http://schemas.openxmlformats.org/officeDocument/2006/relationships/image" Target="../media/image165.png"/><Relationship Id="rId50" Type="http://schemas.openxmlformats.org/officeDocument/2006/relationships/image" Target="../media/image168.png"/><Relationship Id="rId55" Type="http://schemas.openxmlformats.org/officeDocument/2006/relationships/image" Target="../media/image173.png"/><Relationship Id="rId63" Type="http://schemas.openxmlformats.org/officeDocument/2006/relationships/image" Target="../media/image181.png"/><Relationship Id="rId68" Type="http://schemas.openxmlformats.org/officeDocument/2006/relationships/image" Target="../media/image186.png"/><Relationship Id="rId76" Type="http://schemas.openxmlformats.org/officeDocument/2006/relationships/image" Target="../media/image194.jpeg"/><Relationship Id="rId84" Type="http://schemas.openxmlformats.org/officeDocument/2006/relationships/image" Target="../media/image202.jpeg"/><Relationship Id="rId7" Type="http://schemas.openxmlformats.org/officeDocument/2006/relationships/image" Target="../media/image125.png"/><Relationship Id="rId71" Type="http://schemas.openxmlformats.org/officeDocument/2006/relationships/image" Target="../media/image189.jpeg"/><Relationship Id="rId2" Type="http://schemas.openxmlformats.org/officeDocument/2006/relationships/image" Target="../media/image120.png"/><Relationship Id="rId16" Type="http://schemas.openxmlformats.org/officeDocument/2006/relationships/image" Target="../media/image134.png"/><Relationship Id="rId29" Type="http://schemas.openxmlformats.org/officeDocument/2006/relationships/image" Target="../media/image147.png"/><Relationship Id="rId11" Type="http://schemas.openxmlformats.org/officeDocument/2006/relationships/image" Target="../media/image129.png"/><Relationship Id="rId24" Type="http://schemas.openxmlformats.org/officeDocument/2006/relationships/image" Target="../media/image142.png"/><Relationship Id="rId32" Type="http://schemas.openxmlformats.org/officeDocument/2006/relationships/image" Target="../media/image150.png"/><Relationship Id="rId37" Type="http://schemas.openxmlformats.org/officeDocument/2006/relationships/image" Target="../media/image155.png"/><Relationship Id="rId40" Type="http://schemas.openxmlformats.org/officeDocument/2006/relationships/image" Target="../media/image158.png"/><Relationship Id="rId45" Type="http://schemas.openxmlformats.org/officeDocument/2006/relationships/image" Target="../media/image163.png"/><Relationship Id="rId53" Type="http://schemas.openxmlformats.org/officeDocument/2006/relationships/image" Target="../media/image171.png"/><Relationship Id="rId58" Type="http://schemas.openxmlformats.org/officeDocument/2006/relationships/image" Target="../media/image176.png"/><Relationship Id="rId66" Type="http://schemas.openxmlformats.org/officeDocument/2006/relationships/image" Target="../media/image184.png"/><Relationship Id="rId74" Type="http://schemas.openxmlformats.org/officeDocument/2006/relationships/image" Target="../media/image192.jpeg"/><Relationship Id="rId79" Type="http://schemas.openxmlformats.org/officeDocument/2006/relationships/image" Target="../media/image197.jpeg"/><Relationship Id="rId5" Type="http://schemas.openxmlformats.org/officeDocument/2006/relationships/image" Target="../media/image123.png"/><Relationship Id="rId61" Type="http://schemas.openxmlformats.org/officeDocument/2006/relationships/image" Target="../media/image179.png"/><Relationship Id="rId82" Type="http://schemas.openxmlformats.org/officeDocument/2006/relationships/image" Target="../media/image200.jpeg"/><Relationship Id="rId19" Type="http://schemas.openxmlformats.org/officeDocument/2006/relationships/image" Target="../media/image137.png"/><Relationship Id="rId4" Type="http://schemas.openxmlformats.org/officeDocument/2006/relationships/image" Target="../media/image122.png"/><Relationship Id="rId9" Type="http://schemas.openxmlformats.org/officeDocument/2006/relationships/image" Target="../media/image127.png"/><Relationship Id="rId14" Type="http://schemas.openxmlformats.org/officeDocument/2006/relationships/image" Target="../media/image132.png"/><Relationship Id="rId22" Type="http://schemas.openxmlformats.org/officeDocument/2006/relationships/image" Target="../media/image140.png"/><Relationship Id="rId27" Type="http://schemas.openxmlformats.org/officeDocument/2006/relationships/image" Target="../media/image145.png"/><Relationship Id="rId30" Type="http://schemas.openxmlformats.org/officeDocument/2006/relationships/image" Target="../media/image148.png"/><Relationship Id="rId35" Type="http://schemas.openxmlformats.org/officeDocument/2006/relationships/image" Target="../media/image153.png"/><Relationship Id="rId43" Type="http://schemas.openxmlformats.org/officeDocument/2006/relationships/image" Target="../media/image161.png"/><Relationship Id="rId48" Type="http://schemas.openxmlformats.org/officeDocument/2006/relationships/image" Target="../media/image166.png"/><Relationship Id="rId56" Type="http://schemas.openxmlformats.org/officeDocument/2006/relationships/image" Target="../media/image174.png"/><Relationship Id="rId64" Type="http://schemas.openxmlformats.org/officeDocument/2006/relationships/image" Target="../media/image182.png"/><Relationship Id="rId69" Type="http://schemas.openxmlformats.org/officeDocument/2006/relationships/image" Target="../media/image187.png"/><Relationship Id="rId77" Type="http://schemas.openxmlformats.org/officeDocument/2006/relationships/image" Target="../media/image195.jpeg"/><Relationship Id="rId8" Type="http://schemas.openxmlformats.org/officeDocument/2006/relationships/image" Target="../media/image126.png"/><Relationship Id="rId51" Type="http://schemas.openxmlformats.org/officeDocument/2006/relationships/image" Target="../media/image169.png"/><Relationship Id="rId72" Type="http://schemas.openxmlformats.org/officeDocument/2006/relationships/image" Target="../media/image190.jpeg"/><Relationship Id="rId80" Type="http://schemas.openxmlformats.org/officeDocument/2006/relationships/image" Target="../media/image198.jpeg"/><Relationship Id="rId85" Type="http://schemas.openxmlformats.org/officeDocument/2006/relationships/image" Target="../media/image203.jpeg"/><Relationship Id="rId3" Type="http://schemas.openxmlformats.org/officeDocument/2006/relationships/image" Target="../media/image121.png"/><Relationship Id="rId12" Type="http://schemas.openxmlformats.org/officeDocument/2006/relationships/image" Target="../media/image130.png"/><Relationship Id="rId17" Type="http://schemas.openxmlformats.org/officeDocument/2006/relationships/image" Target="../media/image135.png"/><Relationship Id="rId25" Type="http://schemas.openxmlformats.org/officeDocument/2006/relationships/image" Target="../media/image143.png"/><Relationship Id="rId33" Type="http://schemas.openxmlformats.org/officeDocument/2006/relationships/image" Target="../media/image151.png"/><Relationship Id="rId38" Type="http://schemas.openxmlformats.org/officeDocument/2006/relationships/image" Target="../media/image156.png"/><Relationship Id="rId46" Type="http://schemas.openxmlformats.org/officeDocument/2006/relationships/image" Target="../media/image164.png"/><Relationship Id="rId59" Type="http://schemas.openxmlformats.org/officeDocument/2006/relationships/image" Target="../media/image177.png"/><Relationship Id="rId67" Type="http://schemas.openxmlformats.org/officeDocument/2006/relationships/image" Target="../media/image185.png"/><Relationship Id="rId20" Type="http://schemas.openxmlformats.org/officeDocument/2006/relationships/image" Target="../media/image138.png"/><Relationship Id="rId41" Type="http://schemas.openxmlformats.org/officeDocument/2006/relationships/image" Target="../media/image159.png"/><Relationship Id="rId54" Type="http://schemas.openxmlformats.org/officeDocument/2006/relationships/image" Target="../media/image172.png"/><Relationship Id="rId62" Type="http://schemas.openxmlformats.org/officeDocument/2006/relationships/image" Target="../media/image180.png"/><Relationship Id="rId70" Type="http://schemas.openxmlformats.org/officeDocument/2006/relationships/image" Target="../media/image188.png"/><Relationship Id="rId75" Type="http://schemas.openxmlformats.org/officeDocument/2006/relationships/image" Target="../media/image193.jpeg"/><Relationship Id="rId83" Type="http://schemas.openxmlformats.org/officeDocument/2006/relationships/image" Target="../media/image201.jpeg"/><Relationship Id="rId1" Type="http://schemas.openxmlformats.org/officeDocument/2006/relationships/image" Target="../media/image119.png"/><Relationship Id="rId6" Type="http://schemas.openxmlformats.org/officeDocument/2006/relationships/image" Target="../media/image124.png"/><Relationship Id="rId15" Type="http://schemas.openxmlformats.org/officeDocument/2006/relationships/image" Target="../media/image133.png"/><Relationship Id="rId23" Type="http://schemas.openxmlformats.org/officeDocument/2006/relationships/image" Target="../media/image141.png"/><Relationship Id="rId28" Type="http://schemas.openxmlformats.org/officeDocument/2006/relationships/image" Target="../media/image146.png"/><Relationship Id="rId36" Type="http://schemas.openxmlformats.org/officeDocument/2006/relationships/image" Target="../media/image154.png"/><Relationship Id="rId49" Type="http://schemas.openxmlformats.org/officeDocument/2006/relationships/image" Target="../media/image167.png"/><Relationship Id="rId57" Type="http://schemas.openxmlformats.org/officeDocument/2006/relationships/image" Target="../media/image175.png"/><Relationship Id="rId10" Type="http://schemas.openxmlformats.org/officeDocument/2006/relationships/image" Target="../media/image128.png"/><Relationship Id="rId31" Type="http://schemas.openxmlformats.org/officeDocument/2006/relationships/image" Target="../media/image149.png"/><Relationship Id="rId44" Type="http://schemas.openxmlformats.org/officeDocument/2006/relationships/image" Target="../media/image162.png"/><Relationship Id="rId52" Type="http://schemas.openxmlformats.org/officeDocument/2006/relationships/image" Target="../media/image170.png"/><Relationship Id="rId60" Type="http://schemas.openxmlformats.org/officeDocument/2006/relationships/image" Target="../media/image178.png"/><Relationship Id="rId65" Type="http://schemas.openxmlformats.org/officeDocument/2006/relationships/image" Target="../media/image183.png"/><Relationship Id="rId73" Type="http://schemas.openxmlformats.org/officeDocument/2006/relationships/image" Target="../media/image191.jpeg"/><Relationship Id="rId78" Type="http://schemas.openxmlformats.org/officeDocument/2006/relationships/image" Target="../media/image196.jpeg"/><Relationship Id="rId81" Type="http://schemas.openxmlformats.org/officeDocument/2006/relationships/image" Target="../media/image199.jpeg"/><Relationship Id="rId86" Type="http://schemas.openxmlformats.org/officeDocument/2006/relationships/image" Target="../media/image204.jpeg"/></Relationships>
</file>

<file path=xl/drawings/_rels/vmlDrawing7.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8.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9.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10.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11.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12.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13.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14.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15.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16.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17.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18.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19.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20.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21.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22.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23.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24.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25.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26.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27.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28.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29.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_rels/vmlDrawing30.vml.rels><?xml version="1.0" encoding="UTF-8" standalone="yes"?>
<Relationships xmlns="http://schemas.openxmlformats.org/package/2006/relationships"><Relationship Id="rId13" Type="http://schemas.openxmlformats.org/officeDocument/2006/relationships/image" Target="../media/image190.jpeg"/><Relationship Id="rId18" Type="http://schemas.openxmlformats.org/officeDocument/2006/relationships/image" Target="../media/image130.png"/><Relationship Id="rId26" Type="http://schemas.openxmlformats.org/officeDocument/2006/relationships/image" Target="../media/image129.png"/><Relationship Id="rId39" Type="http://schemas.openxmlformats.org/officeDocument/2006/relationships/image" Target="../media/image148.png"/><Relationship Id="rId21" Type="http://schemas.openxmlformats.org/officeDocument/2006/relationships/image" Target="../media/image133.png"/><Relationship Id="rId34" Type="http://schemas.openxmlformats.org/officeDocument/2006/relationships/image" Target="../media/image140.png"/><Relationship Id="rId42" Type="http://schemas.openxmlformats.org/officeDocument/2006/relationships/image" Target="../media/image151.png"/><Relationship Id="rId47" Type="http://schemas.openxmlformats.org/officeDocument/2006/relationships/image" Target="../media/image144.png"/><Relationship Id="rId50" Type="http://schemas.openxmlformats.org/officeDocument/2006/relationships/image" Target="../media/image147.png"/><Relationship Id="rId55" Type="http://schemas.openxmlformats.org/officeDocument/2006/relationships/image" Target="../media/image158.png"/><Relationship Id="rId63" Type="http://schemas.openxmlformats.org/officeDocument/2006/relationships/image" Target="../media/image172.png"/><Relationship Id="rId68" Type="http://schemas.openxmlformats.org/officeDocument/2006/relationships/image" Target="../media/image165.png"/><Relationship Id="rId76" Type="http://schemas.openxmlformats.org/officeDocument/2006/relationships/image" Target="../media/image170.png"/><Relationship Id="rId84" Type="http://schemas.openxmlformats.org/officeDocument/2006/relationships/image" Target="../media/image202.jpe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16" Type="http://schemas.openxmlformats.org/officeDocument/2006/relationships/image" Target="../media/image128.png"/><Relationship Id="rId29" Type="http://schemas.openxmlformats.org/officeDocument/2006/relationships/image" Target="../media/image132.png"/><Relationship Id="rId11" Type="http://schemas.openxmlformats.org/officeDocument/2006/relationships/image" Target="../media/image179.png"/><Relationship Id="rId24" Type="http://schemas.openxmlformats.org/officeDocument/2006/relationships/image" Target="../media/image201.jpeg"/><Relationship Id="rId32" Type="http://schemas.openxmlformats.org/officeDocument/2006/relationships/image" Target="../media/image135.png"/><Relationship Id="rId37" Type="http://schemas.openxmlformats.org/officeDocument/2006/relationships/image" Target="../media/image193.jpeg"/><Relationship Id="rId40" Type="http://schemas.openxmlformats.org/officeDocument/2006/relationships/image" Target="../media/image143.png"/><Relationship Id="rId45" Type="http://schemas.openxmlformats.org/officeDocument/2006/relationships/image" Target="../media/image154.png"/><Relationship Id="rId53" Type="http://schemas.openxmlformats.org/officeDocument/2006/relationships/image" Target="../media/image150.png"/><Relationship Id="rId58" Type="http://schemas.openxmlformats.org/officeDocument/2006/relationships/image" Target="../media/image194.jpeg"/><Relationship Id="rId66" Type="http://schemas.openxmlformats.org/officeDocument/2006/relationships/image" Target="../media/image203.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61" Type="http://schemas.openxmlformats.org/officeDocument/2006/relationships/image" Target="../media/image195.jpeg"/><Relationship Id="rId82" Type="http://schemas.openxmlformats.org/officeDocument/2006/relationships/image" Target="../media/image185.png"/><Relationship Id="rId19" Type="http://schemas.openxmlformats.org/officeDocument/2006/relationships/image" Target="../media/image131.png"/><Relationship Id="rId4" Type="http://schemas.openxmlformats.org/officeDocument/2006/relationships/image" Target="../media/image189.jpeg"/><Relationship Id="rId9" Type="http://schemas.openxmlformats.org/officeDocument/2006/relationships/image" Target="../media/image12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s>
</file>

<file path=xl/drawings/drawing1.xml><?xml version="1.0" encoding="utf-8"?>
<xdr:wsDr xmlns:xdr="http://schemas.openxmlformats.org/drawingml/2006/spreadsheetDrawing" xmlns:a="http://schemas.openxmlformats.org/drawingml/2006/main">
  <xdr:twoCellAnchor editAs="oneCell">
    <xdr:from>
      <xdr:col>0</xdr:col>
      <xdr:colOff>67736</xdr:colOff>
      <xdr:row>0</xdr:row>
      <xdr:rowOff>67738</xdr:rowOff>
    </xdr:from>
    <xdr:to>
      <xdr:col>10</xdr:col>
      <xdr:colOff>438150</xdr:colOff>
      <xdr:row>17</xdr:row>
      <xdr:rowOff>133350</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7736" y="67738"/>
          <a:ext cx="6466414" cy="3304112"/>
        </a:xfrm>
        <a:prstGeom prst="rect">
          <a:avLst/>
        </a:prstGeom>
        <a:ln w="25400">
          <a:solidFill>
            <a:schemeClr val="accent1"/>
          </a:solidFill>
        </a:ln>
      </xdr:spPr>
    </xdr:pic>
    <xdr:clientData/>
  </xdr:twoCellAnchor>
  <xdr:twoCellAnchor editAs="oneCell">
    <xdr:from>
      <xdr:col>5</xdr:col>
      <xdr:colOff>409575</xdr:colOff>
      <xdr:row>18</xdr:row>
      <xdr:rowOff>35986</xdr:rowOff>
    </xdr:from>
    <xdr:to>
      <xdr:col>10</xdr:col>
      <xdr:colOff>431800</xdr:colOff>
      <xdr:row>31</xdr:row>
      <xdr:rowOff>95249</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3457575" y="3464986"/>
          <a:ext cx="3070225" cy="2535763"/>
        </a:xfrm>
        <a:prstGeom prst="rect">
          <a:avLst/>
        </a:prstGeom>
        <a:ln w="25400">
          <a:solidFill>
            <a:schemeClr val="accent1"/>
          </a:solidFill>
        </a:ln>
      </xdr:spPr>
    </xdr:pic>
    <xdr:clientData/>
  </xdr:twoCellAnchor>
  <xdr:twoCellAnchor editAs="oneCell">
    <xdr:from>
      <xdr:col>10</xdr:col>
      <xdr:colOff>603250</xdr:colOff>
      <xdr:row>0</xdr:row>
      <xdr:rowOff>69851</xdr:rowOff>
    </xdr:from>
    <xdr:to>
      <xdr:col>23</xdr:col>
      <xdr:colOff>0</xdr:colOff>
      <xdr:row>22</xdr:row>
      <xdr:rowOff>61384</xdr:rowOff>
    </xdr:to>
    <xdr:pic>
      <xdr:nvPicPr>
        <xdr:cNvPr id="4" name="Picture 3"/>
        <xdr:cNvPicPr>
          <a:picLocks noChangeAspect="1"/>
        </xdr:cNvPicPr>
      </xdr:nvPicPr>
      <xdr:blipFill>
        <a:blip xmlns:r="http://schemas.openxmlformats.org/officeDocument/2006/relationships" r:embed="rId3" cstate="print"/>
        <a:stretch>
          <a:fillRect/>
        </a:stretch>
      </xdr:blipFill>
      <xdr:spPr>
        <a:xfrm>
          <a:off x="6699250" y="69851"/>
          <a:ext cx="7321550" cy="4182533"/>
        </a:xfrm>
        <a:prstGeom prst="rect">
          <a:avLst/>
        </a:prstGeom>
        <a:ln w="25400">
          <a:solidFill>
            <a:schemeClr val="accent1"/>
          </a:solidFill>
        </a:ln>
      </xdr:spPr>
    </xdr:pic>
    <xdr:clientData/>
  </xdr:twoCellAnchor>
  <xdr:twoCellAnchor editAs="oneCell">
    <xdr:from>
      <xdr:col>0</xdr:col>
      <xdr:colOff>70912</xdr:colOff>
      <xdr:row>18</xdr:row>
      <xdr:rowOff>38105</xdr:rowOff>
    </xdr:from>
    <xdr:to>
      <xdr:col>5</xdr:col>
      <xdr:colOff>304800</xdr:colOff>
      <xdr:row>31</xdr:row>
      <xdr:rowOff>104775</xdr:rowOff>
    </xdr:to>
    <xdr:pic>
      <xdr:nvPicPr>
        <xdr:cNvPr id="5" name="Picture 4"/>
        <xdr:cNvPicPr>
          <a:picLocks noChangeAspect="1"/>
        </xdr:cNvPicPr>
      </xdr:nvPicPr>
      <xdr:blipFill>
        <a:blip xmlns:r="http://schemas.openxmlformats.org/officeDocument/2006/relationships" r:embed="rId4" cstate="print"/>
        <a:stretch>
          <a:fillRect/>
        </a:stretch>
      </xdr:blipFill>
      <xdr:spPr>
        <a:xfrm>
          <a:off x="70912" y="3467105"/>
          <a:ext cx="3281888" cy="2543170"/>
        </a:xfrm>
        <a:prstGeom prst="rect">
          <a:avLst/>
        </a:prstGeom>
        <a:ln w="25400">
          <a:solidFill>
            <a:schemeClr val="accent1"/>
          </a:solidFill>
        </a:ln>
      </xdr:spPr>
    </xdr:pic>
    <xdr:clientData/>
  </xdr:twoCellAnchor>
  <xdr:twoCellAnchor editAs="oneCell">
    <xdr:from>
      <xdr:col>11</xdr:col>
      <xdr:colOff>0</xdr:colOff>
      <xdr:row>22</xdr:row>
      <xdr:rowOff>142876</xdr:rowOff>
    </xdr:from>
    <xdr:to>
      <xdr:col>16</xdr:col>
      <xdr:colOff>571500</xdr:colOff>
      <xdr:row>31</xdr:row>
      <xdr:rowOff>76200</xdr:rowOff>
    </xdr:to>
    <xdr:pic>
      <xdr:nvPicPr>
        <xdr:cNvPr id="6" name="Picture 5"/>
        <xdr:cNvPicPr>
          <a:picLocks noChangeAspect="1"/>
        </xdr:cNvPicPr>
      </xdr:nvPicPr>
      <xdr:blipFill>
        <a:blip xmlns:r="http://schemas.openxmlformats.org/officeDocument/2006/relationships" r:embed="rId5" cstate="print"/>
        <a:stretch>
          <a:fillRect/>
        </a:stretch>
      </xdr:blipFill>
      <xdr:spPr>
        <a:xfrm>
          <a:off x="6705600" y="4333876"/>
          <a:ext cx="3619500" cy="1647824"/>
        </a:xfrm>
        <a:prstGeom prst="rect">
          <a:avLst/>
        </a:prstGeom>
        <a:ln w="25400">
          <a:solidFill>
            <a:schemeClr val="accent1"/>
          </a:solidFill>
        </a:ln>
      </xdr:spPr>
    </xdr:pic>
    <xdr:clientData/>
  </xdr:twoCellAnchor>
  <xdr:twoCellAnchor editAs="oneCell">
    <xdr:from>
      <xdr:col>17</xdr:col>
      <xdr:colOff>66675</xdr:colOff>
      <xdr:row>22</xdr:row>
      <xdr:rowOff>142875</xdr:rowOff>
    </xdr:from>
    <xdr:to>
      <xdr:col>22</xdr:col>
      <xdr:colOff>597656</xdr:colOff>
      <xdr:row>31</xdr:row>
      <xdr:rowOff>66675</xdr:rowOff>
    </xdr:to>
    <xdr:pic>
      <xdr:nvPicPr>
        <xdr:cNvPr id="9" name="Picture 8"/>
        <xdr:cNvPicPr>
          <a:picLocks noChangeAspect="1"/>
        </xdr:cNvPicPr>
      </xdr:nvPicPr>
      <xdr:blipFill>
        <a:blip xmlns:r="http://schemas.openxmlformats.org/officeDocument/2006/relationships" r:embed="rId6" cstate="print"/>
        <a:stretch>
          <a:fillRect/>
        </a:stretch>
      </xdr:blipFill>
      <xdr:spPr>
        <a:xfrm>
          <a:off x="10429875" y="4333875"/>
          <a:ext cx="3578981" cy="1638300"/>
        </a:xfrm>
        <a:prstGeom prst="rect">
          <a:avLst/>
        </a:prstGeom>
        <a:ln w="25400">
          <a:solidFill>
            <a:schemeClr val="accent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52028</xdr:colOff>
      <xdr:row>10</xdr:row>
      <xdr:rowOff>139374</xdr:rowOff>
    </xdr:from>
    <xdr:to>
      <xdr:col>2</xdr:col>
      <xdr:colOff>549004</xdr:colOff>
      <xdr:row>20</xdr:row>
      <xdr:rowOff>142374</xdr:rowOff>
    </xdr:to>
    <xdr:pic>
      <xdr:nvPicPr>
        <xdr:cNvPr id="190" name="Picture 189"/>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028" y="2044374"/>
          <a:ext cx="1678076" cy="1908000"/>
        </a:xfrm>
        <a:prstGeom prst="rect">
          <a:avLst/>
        </a:prstGeom>
      </xdr:spPr>
    </xdr:pic>
    <xdr:clientData/>
  </xdr:twoCellAnchor>
  <xdr:twoCellAnchor editAs="oneCell">
    <xdr:from>
      <xdr:col>3</xdr:col>
      <xdr:colOff>44343</xdr:colOff>
      <xdr:row>21</xdr:row>
      <xdr:rowOff>68755</xdr:rowOff>
    </xdr:from>
    <xdr:to>
      <xdr:col>5</xdr:col>
      <xdr:colOff>541319</xdr:colOff>
      <xdr:row>31</xdr:row>
      <xdr:rowOff>71755</xdr:rowOff>
    </xdr:to>
    <xdr:pic>
      <xdr:nvPicPr>
        <xdr:cNvPr id="191" name="Picture 190"/>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5993" y="4069255"/>
          <a:ext cx="1678076" cy="1908000"/>
        </a:xfrm>
        <a:prstGeom prst="rect">
          <a:avLst/>
        </a:prstGeom>
      </xdr:spPr>
    </xdr:pic>
    <xdr:clientData/>
  </xdr:twoCellAnchor>
  <xdr:twoCellAnchor editAs="oneCell">
    <xdr:from>
      <xdr:col>3</xdr:col>
      <xdr:colOff>75719</xdr:colOff>
      <xdr:row>31</xdr:row>
      <xdr:rowOff>140474</xdr:rowOff>
    </xdr:from>
    <xdr:to>
      <xdr:col>5</xdr:col>
      <xdr:colOff>572695</xdr:colOff>
      <xdr:row>41</xdr:row>
      <xdr:rowOff>143474</xdr:rowOff>
    </xdr:to>
    <xdr:pic>
      <xdr:nvPicPr>
        <xdr:cNvPr id="192" name="Picture 191"/>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47369" y="6045974"/>
          <a:ext cx="1678076" cy="1908000"/>
        </a:xfrm>
        <a:prstGeom prst="rect">
          <a:avLst/>
        </a:prstGeom>
      </xdr:spPr>
    </xdr:pic>
    <xdr:clientData/>
  </xdr:twoCellAnchor>
  <xdr:twoCellAnchor editAs="oneCell">
    <xdr:from>
      <xdr:col>14</xdr:col>
      <xdr:colOff>377691</xdr:colOff>
      <xdr:row>0</xdr:row>
      <xdr:rowOff>79936</xdr:rowOff>
    </xdr:from>
    <xdr:to>
      <xdr:col>17</xdr:col>
      <xdr:colOff>280755</xdr:colOff>
      <xdr:row>10</xdr:row>
      <xdr:rowOff>82936</xdr:rowOff>
    </xdr:to>
    <xdr:pic>
      <xdr:nvPicPr>
        <xdr:cNvPr id="193" name="Picture 192"/>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645391" y="79936"/>
          <a:ext cx="1674714" cy="1908000"/>
        </a:xfrm>
        <a:prstGeom prst="rect">
          <a:avLst/>
        </a:prstGeom>
      </xdr:spPr>
    </xdr:pic>
    <xdr:clientData/>
  </xdr:twoCellAnchor>
  <xdr:twoCellAnchor editAs="oneCell">
    <xdr:from>
      <xdr:col>17</xdr:col>
      <xdr:colOff>319179</xdr:colOff>
      <xdr:row>10</xdr:row>
      <xdr:rowOff>157487</xdr:rowOff>
    </xdr:from>
    <xdr:to>
      <xdr:col>20</xdr:col>
      <xdr:colOff>222244</xdr:colOff>
      <xdr:row>20</xdr:row>
      <xdr:rowOff>160487</xdr:rowOff>
    </xdr:to>
    <xdr:pic>
      <xdr:nvPicPr>
        <xdr:cNvPr id="194" name="Picture 193"/>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439492" y="2062487"/>
          <a:ext cx="1689002" cy="1908000"/>
        </a:xfrm>
        <a:prstGeom prst="rect">
          <a:avLst/>
        </a:prstGeom>
      </xdr:spPr>
    </xdr:pic>
    <xdr:clientData/>
  </xdr:twoCellAnchor>
  <xdr:twoCellAnchor editAs="oneCell">
    <xdr:from>
      <xdr:col>20</xdr:col>
      <xdr:colOff>287620</xdr:colOff>
      <xdr:row>0</xdr:row>
      <xdr:rowOff>77144</xdr:rowOff>
    </xdr:from>
    <xdr:to>
      <xdr:col>23</xdr:col>
      <xdr:colOff>190685</xdr:colOff>
      <xdr:row>10</xdr:row>
      <xdr:rowOff>80144</xdr:rowOff>
    </xdr:to>
    <xdr:pic>
      <xdr:nvPicPr>
        <xdr:cNvPr id="195" name="Picture 194"/>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193870" y="77144"/>
          <a:ext cx="1689003" cy="1908000"/>
        </a:xfrm>
        <a:prstGeom prst="rect">
          <a:avLst/>
        </a:prstGeom>
      </xdr:spPr>
    </xdr:pic>
    <xdr:clientData/>
  </xdr:twoCellAnchor>
  <xdr:twoCellAnchor editAs="oneCell">
    <xdr:from>
      <xdr:col>23</xdr:col>
      <xdr:colOff>242794</xdr:colOff>
      <xdr:row>11</xdr:row>
      <xdr:rowOff>39240</xdr:rowOff>
    </xdr:from>
    <xdr:to>
      <xdr:col>26</xdr:col>
      <xdr:colOff>145858</xdr:colOff>
      <xdr:row>21</xdr:row>
      <xdr:rowOff>42240</xdr:rowOff>
    </xdr:to>
    <xdr:pic>
      <xdr:nvPicPr>
        <xdr:cNvPr id="196" name="Picture 195"/>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934982" y="2134740"/>
          <a:ext cx="1689001" cy="1908000"/>
        </a:xfrm>
        <a:prstGeom prst="rect">
          <a:avLst/>
        </a:prstGeom>
      </xdr:spPr>
    </xdr:pic>
    <xdr:clientData/>
  </xdr:twoCellAnchor>
  <xdr:twoCellAnchor editAs="oneCell">
    <xdr:from>
      <xdr:col>23</xdr:col>
      <xdr:colOff>233572</xdr:colOff>
      <xdr:row>31</xdr:row>
      <xdr:rowOff>175819</xdr:rowOff>
    </xdr:from>
    <xdr:to>
      <xdr:col>26</xdr:col>
      <xdr:colOff>136637</xdr:colOff>
      <xdr:row>41</xdr:row>
      <xdr:rowOff>178819</xdr:rowOff>
    </xdr:to>
    <xdr:pic>
      <xdr:nvPicPr>
        <xdr:cNvPr id="197" name="Picture 196"/>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925760" y="6081319"/>
          <a:ext cx="1689002" cy="1908000"/>
        </a:xfrm>
        <a:prstGeom prst="rect">
          <a:avLst/>
        </a:prstGeom>
      </xdr:spPr>
    </xdr:pic>
    <xdr:clientData/>
  </xdr:twoCellAnchor>
  <xdr:twoCellAnchor editAs="oneCell">
    <xdr:from>
      <xdr:col>26</xdr:col>
      <xdr:colOff>327716</xdr:colOff>
      <xdr:row>0</xdr:row>
      <xdr:rowOff>68283</xdr:rowOff>
    </xdr:from>
    <xdr:to>
      <xdr:col>29</xdr:col>
      <xdr:colOff>232027</xdr:colOff>
      <xdr:row>10</xdr:row>
      <xdr:rowOff>71283</xdr:rowOff>
    </xdr:to>
    <xdr:pic>
      <xdr:nvPicPr>
        <xdr:cNvPr id="198" name="Picture 197"/>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805841" y="68283"/>
          <a:ext cx="1690249" cy="1908000"/>
        </a:xfrm>
        <a:prstGeom prst="rect">
          <a:avLst/>
        </a:prstGeom>
      </xdr:spPr>
    </xdr:pic>
    <xdr:clientData/>
  </xdr:twoCellAnchor>
  <xdr:twoCellAnchor editAs="oneCell">
    <xdr:from>
      <xdr:col>13</xdr:col>
      <xdr:colOff>149958</xdr:colOff>
      <xdr:row>10</xdr:row>
      <xdr:rowOff>120540</xdr:rowOff>
    </xdr:from>
    <xdr:to>
      <xdr:col>14</xdr:col>
      <xdr:colOff>351639</xdr:colOff>
      <xdr:row>15</xdr:row>
      <xdr:rowOff>122040</xdr:rowOff>
    </xdr:to>
    <xdr:pic>
      <xdr:nvPicPr>
        <xdr:cNvPr id="199" name="Picture 198"/>
        <xdr:cNvPicPr>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889021" y="2025540"/>
          <a:ext cx="796993" cy="954000"/>
        </a:xfrm>
        <a:prstGeom prst="rect">
          <a:avLst/>
        </a:prstGeom>
      </xdr:spPr>
    </xdr:pic>
    <xdr:clientData/>
  </xdr:twoCellAnchor>
  <xdr:twoCellAnchor editAs="oneCell">
    <xdr:from>
      <xdr:col>13</xdr:col>
      <xdr:colOff>157194</xdr:colOff>
      <xdr:row>15</xdr:row>
      <xdr:rowOff>173174</xdr:rowOff>
    </xdr:from>
    <xdr:to>
      <xdr:col>14</xdr:col>
      <xdr:colOff>357288</xdr:colOff>
      <xdr:row>20</xdr:row>
      <xdr:rowOff>174674</xdr:rowOff>
    </xdr:to>
    <xdr:pic>
      <xdr:nvPicPr>
        <xdr:cNvPr id="200" name="Picture 199"/>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896257" y="3030674"/>
          <a:ext cx="795406" cy="954000"/>
        </a:xfrm>
        <a:prstGeom prst="rect">
          <a:avLst/>
        </a:prstGeom>
      </xdr:spPr>
    </xdr:pic>
    <xdr:clientData/>
  </xdr:twoCellAnchor>
  <xdr:twoCellAnchor editAs="oneCell">
    <xdr:from>
      <xdr:col>28</xdr:col>
      <xdr:colOff>8560</xdr:colOff>
      <xdr:row>10</xdr:row>
      <xdr:rowOff>126513</xdr:rowOff>
    </xdr:from>
    <xdr:to>
      <xdr:col>29</xdr:col>
      <xdr:colOff>223777</xdr:colOff>
      <xdr:row>15</xdr:row>
      <xdr:rowOff>128013</xdr:rowOff>
    </xdr:to>
    <xdr:pic>
      <xdr:nvPicPr>
        <xdr:cNvPr id="201" name="Picture 200"/>
        <xdr:cNvPicPr>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677310" y="2031513"/>
          <a:ext cx="810530" cy="954000"/>
        </a:xfrm>
        <a:prstGeom prst="rect">
          <a:avLst/>
        </a:prstGeom>
      </xdr:spPr>
    </xdr:pic>
    <xdr:clientData/>
  </xdr:twoCellAnchor>
  <xdr:twoCellAnchor editAs="oneCell">
    <xdr:from>
      <xdr:col>26</xdr:col>
      <xdr:colOff>318441</xdr:colOff>
      <xdr:row>16</xdr:row>
      <xdr:rowOff>19376</xdr:rowOff>
    </xdr:from>
    <xdr:to>
      <xdr:col>27</xdr:col>
      <xdr:colOff>535774</xdr:colOff>
      <xdr:row>21</xdr:row>
      <xdr:rowOff>20876</xdr:rowOff>
    </xdr:to>
    <xdr:pic>
      <xdr:nvPicPr>
        <xdr:cNvPr id="202" name="Picture 201"/>
        <xdr:cNvPicPr>
          <a:picLocks/>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5796566" y="3067376"/>
          <a:ext cx="812646" cy="954000"/>
        </a:xfrm>
        <a:prstGeom prst="rect">
          <a:avLst/>
        </a:prstGeom>
      </xdr:spPr>
    </xdr:pic>
    <xdr:clientData/>
  </xdr:twoCellAnchor>
  <xdr:twoCellAnchor editAs="oneCell">
    <xdr:from>
      <xdr:col>27</xdr:col>
      <xdr:colOff>595004</xdr:colOff>
      <xdr:row>16</xdr:row>
      <xdr:rowOff>2495</xdr:rowOff>
    </xdr:from>
    <xdr:to>
      <xdr:col>29</xdr:col>
      <xdr:colOff>214909</xdr:colOff>
      <xdr:row>21</xdr:row>
      <xdr:rowOff>3995</xdr:rowOff>
    </xdr:to>
    <xdr:pic>
      <xdr:nvPicPr>
        <xdr:cNvPr id="203" name="Picture 202"/>
        <xdr:cNvPicPr>
          <a:picLocks/>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668442" y="3050495"/>
          <a:ext cx="810530" cy="954000"/>
        </a:xfrm>
        <a:prstGeom prst="rect">
          <a:avLst/>
        </a:prstGeom>
      </xdr:spPr>
    </xdr:pic>
    <xdr:clientData/>
  </xdr:twoCellAnchor>
  <xdr:twoCellAnchor editAs="oneCell">
    <xdr:from>
      <xdr:col>17</xdr:col>
      <xdr:colOff>338714</xdr:colOff>
      <xdr:row>21</xdr:row>
      <xdr:rowOff>731</xdr:rowOff>
    </xdr:from>
    <xdr:to>
      <xdr:col>18</xdr:col>
      <xdr:colOff>546354</xdr:colOff>
      <xdr:row>26</xdr:row>
      <xdr:rowOff>2231</xdr:rowOff>
    </xdr:to>
    <xdr:pic>
      <xdr:nvPicPr>
        <xdr:cNvPr id="204" name="Picture 203"/>
        <xdr:cNvPicPr>
          <a:picLocks/>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459027" y="4001231"/>
          <a:ext cx="802952" cy="954000"/>
        </a:xfrm>
        <a:prstGeom prst="rect">
          <a:avLst/>
        </a:prstGeom>
      </xdr:spPr>
    </xdr:pic>
    <xdr:clientData/>
  </xdr:twoCellAnchor>
  <xdr:twoCellAnchor editAs="oneCell">
    <xdr:from>
      <xdr:col>19</xdr:col>
      <xdr:colOff>36104</xdr:colOff>
      <xdr:row>26</xdr:row>
      <xdr:rowOff>91873</xdr:rowOff>
    </xdr:from>
    <xdr:to>
      <xdr:col>20</xdr:col>
      <xdr:colOff>243745</xdr:colOff>
      <xdr:row>31</xdr:row>
      <xdr:rowOff>93373</xdr:rowOff>
    </xdr:to>
    <xdr:pic>
      <xdr:nvPicPr>
        <xdr:cNvPr id="205" name="Picture 204"/>
        <xdr:cNvPicPr>
          <a:picLocks/>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347042" y="5044873"/>
          <a:ext cx="802953" cy="954000"/>
        </a:xfrm>
        <a:prstGeom prst="rect">
          <a:avLst/>
        </a:prstGeom>
      </xdr:spPr>
    </xdr:pic>
    <xdr:clientData/>
  </xdr:twoCellAnchor>
  <xdr:twoCellAnchor editAs="oneCell">
    <xdr:from>
      <xdr:col>17</xdr:col>
      <xdr:colOff>333948</xdr:colOff>
      <xdr:row>31</xdr:row>
      <xdr:rowOff>113099</xdr:rowOff>
    </xdr:from>
    <xdr:to>
      <xdr:col>18</xdr:col>
      <xdr:colOff>541589</xdr:colOff>
      <xdr:row>36</xdr:row>
      <xdr:rowOff>114599</xdr:rowOff>
    </xdr:to>
    <xdr:pic>
      <xdr:nvPicPr>
        <xdr:cNvPr id="206" name="Picture 205"/>
        <xdr:cNvPicPr>
          <a:picLocks/>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454261" y="6018599"/>
          <a:ext cx="802953" cy="954000"/>
        </a:xfrm>
        <a:prstGeom prst="rect">
          <a:avLst/>
        </a:prstGeom>
      </xdr:spPr>
    </xdr:pic>
    <xdr:clientData/>
  </xdr:twoCellAnchor>
  <xdr:twoCellAnchor editAs="oneCell">
    <xdr:from>
      <xdr:col>1</xdr:col>
      <xdr:colOff>353456</xdr:colOff>
      <xdr:row>5</xdr:row>
      <xdr:rowOff>95696</xdr:rowOff>
    </xdr:from>
    <xdr:to>
      <xdr:col>2</xdr:col>
      <xdr:colOff>555136</xdr:colOff>
      <xdr:row>10</xdr:row>
      <xdr:rowOff>97196</xdr:rowOff>
    </xdr:to>
    <xdr:pic>
      <xdr:nvPicPr>
        <xdr:cNvPr id="207" name="Picture 206"/>
        <xdr:cNvPicPr>
          <a:picLocks/>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44006" y="1048196"/>
          <a:ext cx="792230" cy="954000"/>
        </a:xfrm>
        <a:prstGeom prst="rect">
          <a:avLst/>
        </a:prstGeom>
      </xdr:spPr>
    </xdr:pic>
    <xdr:clientData/>
  </xdr:twoCellAnchor>
  <xdr:twoCellAnchor editAs="oneCell">
    <xdr:from>
      <xdr:col>0</xdr:col>
      <xdr:colOff>82051</xdr:colOff>
      <xdr:row>26</xdr:row>
      <xdr:rowOff>25053</xdr:rowOff>
    </xdr:from>
    <xdr:to>
      <xdr:col>1</xdr:col>
      <xdr:colOff>283731</xdr:colOff>
      <xdr:row>31</xdr:row>
      <xdr:rowOff>26553</xdr:rowOff>
    </xdr:to>
    <xdr:pic>
      <xdr:nvPicPr>
        <xdr:cNvPr id="208" name="Picture 207"/>
        <xdr:cNvPicPr preferRelativeResize="0">
          <a:picLocks/>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2051" y="4978053"/>
          <a:ext cx="792230" cy="954000"/>
        </a:xfrm>
        <a:prstGeom prst="rect">
          <a:avLst/>
        </a:prstGeom>
      </xdr:spPr>
    </xdr:pic>
    <xdr:clientData/>
  </xdr:twoCellAnchor>
  <xdr:twoCellAnchor editAs="oneCell">
    <xdr:from>
      <xdr:col>0</xdr:col>
      <xdr:colOff>76761</xdr:colOff>
      <xdr:row>36</xdr:row>
      <xdr:rowOff>120053</xdr:rowOff>
    </xdr:from>
    <xdr:to>
      <xdr:col>1</xdr:col>
      <xdr:colOff>278441</xdr:colOff>
      <xdr:row>41</xdr:row>
      <xdr:rowOff>121553</xdr:rowOff>
    </xdr:to>
    <xdr:pic>
      <xdr:nvPicPr>
        <xdr:cNvPr id="209" name="Picture 208"/>
        <xdr:cNvPicPr>
          <a:picLocks/>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6761" y="6978053"/>
          <a:ext cx="792230" cy="954000"/>
        </a:xfrm>
        <a:prstGeom prst="rect">
          <a:avLst/>
        </a:prstGeom>
      </xdr:spPr>
    </xdr:pic>
    <xdr:clientData/>
  </xdr:twoCellAnchor>
  <xdr:twoCellAnchor editAs="oneCell">
    <xdr:from>
      <xdr:col>1</xdr:col>
      <xdr:colOff>376794</xdr:colOff>
      <xdr:row>36</xdr:row>
      <xdr:rowOff>130166</xdr:rowOff>
    </xdr:from>
    <xdr:to>
      <xdr:col>2</xdr:col>
      <xdr:colOff>585679</xdr:colOff>
      <xdr:row>41</xdr:row>
      <xdr:rowOff>131666</xdr:rowOff>
    </xdr:to>
    <xdr:pic>
      <xdr:nvPicPr>
        <xdr:cNvPr id="210" name="Picture 209"/>
        <xdr:cNvPicPr>
          <a:picLocks/>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67344" y="6988166"/>
          <a:ext cx="799435" cy="954000"/>
        </a:xfrm>
        <a:prstGeom prst="rect">
          <a:avLst/>
        </a:prstGeom>
      </xdr:spPr>
    </xdr:pic>
    <xdr:clientData/>
  </xdr:twoCellAnchor>
  <xdr:twoCellAnchor editAs="oneCell">
    <xdr:from>
      <xdr:col>3</xdr:col>
      <xdr:colOff>57957</xdr:colOff>
      <xdr:row>5</xdr:row>
      <xdr:rowOff>82924</xdr:rowOff>
    </xdr:from>
    <xdr:to>
      <xdr:col>4</xdr:col>
      <xdr:colOff>259637</xdr:colOff>
      <xdr:row>10</xdr:row>
      <xdr:rowOff>84424</xdr:rowOff>
    </xdr:to>
    <xdr:pic>
      <xdr:nvPicPr>
        <xdr:cNvPr id="211" name="Picture 210"/>
        <xdr:cNvPicPr>
          <a:picLocks/>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829607" y="1035424"/>
          <a:ext cx="792230" cy="954000"/>
        </a:xfrm>
        <a:prstGeom prst="rect">
          <a:avLst/>
        </a:prstGeom>
      </xdr:spPr>
    </xdr:pic>
    <xdr:clientData/>
  </xdr:twoCellAnchor>
  <xdr:twoCellAnchor editAs="oneCell">
    <xdr:from>
      <xdr:col>3</xdr:col>
      <xdr:colOff>49153</xdr:colOff>
      <xdr:row>15</xdr:row>
      <xdr:rowOff>180255</xdr:rowOff>
    </xdr:from>
    <xdr:to>
      <xdr:col>4</xdr:col>
      <xdr:colOff>250833</xdr:colOff>
      <xdr:row>20</xdr:row>
      <xdr:rowOff>181755</xdr:rowOff>
    </xdr:to>
    <xdr:pic>
      <xdr:nvPicPr>
        <xdr:cNvPr id="212" name="Picture 211"/>
        <xdr:cNvPicPr>
          <a:picLocks/>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820803" y="3037755"/>
          <a:ext cx="792230" cy="954000"/>
        </a:xfrm>
        <a:prstGeom prst="rect">
          <a:avLst/>
        </a:prstGeom>
      </xdr:spPr>
    </xdr:pic>
    <xdr:clientData/>
  </xdr:twoCellAnchor>
  <xdr:twoCellAnchor editAs="oneCell">
    <xdr:from>
      <xdr:col>6</xdr:col>
      <xdr:colOff>12950</xdr:colOff>
      <xdr:row>0</xdr:row>
      <xdr:rowOff>55407</xdr:rowOff>
    </xdr:from>
    <xdr:to>
      <xdr:col>7</xdr:col>
      <xdr:colOff>214632</xdr:colOff>
      <xdr:row>5</xdr:row>
      <xdr:rowOff>56907</xdr:rowOff>
    </xdr:to>
    <xdr:pic>
      <xdr:nvPicPr>
        <xdr:cNvPr id="213" name="Picture 212"/>
        <xdr:cNvPicPr>
          <a:picLocks/>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556250" y="55407"/>
          <a:ext cx="792232" cy="954000"/>
        </a:xfrm>
        <a:prstGeom prst="rect">
          <a:avLst/>
        </a:prstGeom>
      </xdr:spPr>
    </xdr:pic>
    <xdr:clientData/>
  </xdr:twoCellAnchor>
  <xdr:twoCellAnchor editAs="oneCell">
    <xdr:from>
      <xdr:col>5</xdr:col>
      <xdr:colOff>577190</xdr:colOff>
      <xdr:row>25</xdr:row>
      <xdr:rowOff>164482</xdr:rowOff>
    </xdr:from>
    <xdr:to>
      <xdr:col>7</xdr:col>
      <xdr:colOff>181972</xdr:colOff>
      <xdr:row>30</xdr:row>
      <xdr:rowOff>165982</xdr:rowOff>
    </xdr:to>
    <xdr:pic>
      <xdr:nvPicPr>
        <xdr:cNvPr id="214" name="Picture 213"/>
        <xdr:cNvPicPr>
          <a:picLocks/>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3529940" y="4926982"/>
          <a:ext cx="785882" cy="954000"/>
        </a:xfrm>
        <a:prstGeom prst="rect">
          <a:avLst/>
        </a:prstGeom>
      </xdr:spPr>
    </xdr:pic>
    <xdr:clientData/>
  </xdr:twoCellAnchor>
  <xdr:twoCellAnchor editAs="oneCell">
    <xdr:from>
      <xdr:col>7</xdr:col>
      <xdr:colOff>213511</xdr:colOff>
      <xdr:row>25</xdr:row>
      <xdr:rowOff>174632</xdr:rowOff>
    </xdr:from>
    <xdr:to>
      <xdr:col>8</xdr:col>
      <xdr:colOff>421543</xdr:colOff>
      <xdr:row>30</xdr:row>
      <xdr:rowOff>176132</xdr:rowOff>
    </xdr:to>
    <xdr:pic>
      <xdr:nvPicPr>
        <xdr:cNvPr id="215" name="Picture 214"/>
        <xdr:cNvPicPr>
          <a:picLocks/>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347361" y="4937132"/>
          <a:ext cx="798582" cy="954000"/>
        </a:xfrm>
        <a:prstGeom prst="rect">
          <a:avLst/>
        </a:prstGeom>
      </xdr:spPr>
    </xdr:pic>
    <xdr:clientData/>
  </xdr:twoCellAnchor>
  <xdr:twoCellAnchor editAs="oneCell">
    <xdr:from>
      <xdr:col>6</xdr:col>
      <xdr:colOff>22312</xdr:colOff>
      <xdr:row>31</xdr:row>
      <xdr:rowOff>46697</xdr:rowOff>
    </xdr:from>
    <xdr:to>
      <xdr:col>7</xdr:col>
      <xdr:colOff>223994</xdr:colOff>
      <xdr:row>36</xdr:row>
      <xdr:rowOff>48197</xdr:rowOff>
    </xdr:to>
    <xdr:pic>
      <xdr:nvPicPr>
        <xdr:cNvPr id="216" name="Picture 215"/>
        <xdr:cNvPicPr>
          <a:picLocks/>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3565612" y="5952197"/>
          <a:ext cx="792232" cy="954000"/>
        </a:xfrm>
        <a:prstGeom prst="rect">
          <a:avLst/>
        </a:prstGeom>
      </xdr:spPr>
    </xdr:pic>
    <xdr:clientData/>
  </xdr:twoCellAnchor>
  <xdr:twoCellAnchor editAs="oneCell">
    <xdr:from>
      <xdr:col>10</xdr:col>
      <xdr:colOff>187709</xdr:colOff>
      <xdr:row>10</xdr:row>
      <xdr:rowOff>71542</xdr:rowOff>
    </xdr:from>
    <xdr:to>
      <xdr:col>11</xdr:col>
      <xdr:colOff>396593</xdr:colOff>
      <xdr:row>15</xdr:row>
      <xdr:rowOff>73042</xdr:rowOff>
    </xdr:to>
    <xdr:pic>
      <xdr:nvPicPr>
        <xdr:cNvPr id="217" name="Picture 216"/>
        <xdr:cNvPicPr>
          <a:picLocks/>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6140834" y="1976542"/>
          <a:ext cx="804197" cy="954000"/>
        </a:xfrm>
        <a:prstGeom prst="rect">
          <a:avLst/>
        </a:prstGeom>
      </xdr:spPr>
    </xdr:pic>
    <xdr:clientData/>
  </xdr:twoCellAnchor>
  <xdr:twoCellAnchor editAs="oneCell">
    <xdr:from>
      <xdr:col>8</xdr:col>
      <xdr:colOff>510582</xdr:colOff>
      <xdr:row>15</xdr:row>
      <xdr:rowOff>99947</xdr:rowOff>
    </xdr:from>
    <xdr:to>
      <xdr:col>10</xdr:col>
      <xdr:colOff>122566</xdr:colOff>
      <xdr:row>20</xdr:row>
      <xdr:rowOff>101447</xdr:rowOff>
    </xdr:to>
    <xdr:pic>
      <xdr:nvPicPr>
        <xdr:cNvPr id="218" name="Picture 217"/>
        <xdr:cNvPicPr>
          <a:picLocks/>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273082" y="2957447"/>
          <a:ext cx="802609" cy="954000"/>
        </a:xfrm>
        <a:prstGeom prst="rect">
          <a:avLst/>
        </a:prstGeom>
      </xdr:spPr>
    </xdr:pic>
    <xdr:clientData/>
  </xdr:twoCellAnchor>
  <xdr:twoCellAnchor editAs="oneCell">
    <xdr:from>
      <xdr:col>10</xdr:col>
      <xdr:colOff>172898</xdr:colOff>
      <xdr:row>15</xdr:row>
      <xdr:rowOff>101735</xdr:rowOff>
    </xdr:from>
    <xdr:to>
      <xdr:col>11</xdr:col>
      <xdr:colOff>384771</xdr:colOff>
      <xdr:row>20</xdr:row>
      <xdr:rowOff>103235</xdr:rowOff>
    </xdr:to>
    <xdr:pic>
      <xdr:nvPicPr>
        <xdr:cNvPr id="219" name="Picture 218"/>
        <xdr:cNvPicPr>
          <a:picLocks/>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6126023" y="2959235"/>
          <a:ext cx="807186" cy="954000"/>
        </a:xfrm>
        <a:prstGeom prst="rect">
          <a:avLst/>
        </a:prstGeom>
      </xdr:spPr>
    </xdr:pic>
    <xdr:clientData/>
  </xdr:twoCellAnchor>
  <xdr:twoCellAnchor editAs="oneCell">
    <xdr:from>
      <xdr:col>11</xdr:col>
      <xdr:colOff>467752</xdr:colOff>
      <xdr:row>0</xdr:row>
      <xdr:rowOff>47558</xdr:rowOff>
    </xdr:from>
    <xdr:to>
      <xdr:col>13</xdr:col>
      <xdr:colOff>76375</xdr:colOff>
      <xdr:row>5</xdr:row>
      <xdr:rowOff>49058</xdr:rowOff>
    </xdr:to>
    <xdr:pic>
      <xdr:nvPicPr>
        <xdr:cNvPr id="220" name="Picture 219"/>
        <xdr:cNvPicPr>
          <a:picLocks/>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7016190" y="47558"/>
          <a:ext cx="799248" cy="954000"/>
        </a:xfrm>
        <a:prstGeom prst="rect">
          <a:avLst/>
        </a:prstGeom>
      </xdr:spPr>
    </xdr:pic>
    <xdr:clientData/>
  </xdr:twoCellAnchor>
  <xdr:twoCellAnchor editAs="oneCell">
    <xdr:from>
      <xdr:col>13</xdr:col>
      <xdr:colOff>106736</xdr:colOff>
      <xdr:row>0</xdr:row>
      <xdr:rowOff>48212</xdr:rowOff>
    </xdr:from>
    <xdr:to>
      <xdr:col>14</xdr:col>
      <xdr:colOff>318609</xdr:colOff>
      <xdr:row>5</xdr:row>
      <xdr:rowOff>49712</xdr:rowOff>
    </xdr:to>
    <xdr:pic>
      <xdr:nvPicPr>
        <xdr:cNvPr id="221" name="Picture 220"/>
        <xdr:cNvPicPr>
          <a:picLocks/>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7845799" y="48212"/>
          <a:ext cx="807185" cy="954000"/>
        </a:xfrm>
        <a:prstGeom prst="rect">
          <a:avLst/>
        </a:prstGeom>
      </xdr:spPr>
    </xdr:pic>
    <xdr:clientData/>
  </xdr:twoCellAnchor>
  <xdr:twoCellAnchor editAs="oneCell">
    <xdr:from>
      <xdr:col>11</xdr:col>
      <xdr:colOff>456781</xdr:colOff>
      <xdr:row>10</xdr:row>
      <xdr:rowOff>106530</xdr:rowOff>
    </xdr:from>
    <xdr:to>
      <xdr:col>13</xdr:col>
      <xdr:colOff>71754</xdr:colOff>
      <xdr:row>15</xdr:row>
      <xdr:rowOff>108030</xdr:rowOff>
    </xdr:to>
    <xdr:pic>
      <xdr:nvPicPr>
        <xdr:cNvPr id="222" name="Picture 221"/>
        <xdr:cNvPicPr>
          <a:picLocks/>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005219" y="2011530"/>
          <a:ext cx="805598" cy="954000"/>
        </a:xfrm>
        <a:prstGeom prst="rect">
          <a:avLst/>
        </a:prstGeom>
      </xdr:spPr>
    </xdr:pic>
    <xdr:clientData/>
  </xdr:twoCellAnchor>
  <xdr:twoCellAnchor editAs="oneCell">
    <xdr:from>
      <xdr:col>11</xdr:col>
      <xdr:colOff>450746</xdr:colOff>
      <xdr:row>31</xdr:row>
      <xdr:rowOff>90981</xdr:rowOff>
    </xdr:from>
    <xdr:to>
      <xdr:col>13</xdr:col>
      <xdr:colOff>61877</xdr:colOff>
      <xdr:row>36</xdr:row>
      <xdr:rowOff>92481</xdr:rowOff>
    </xdr:to>
    <xdr:pic>
      <xdr:nvPicPr>
        <xdr:cNvPr id="223" name="Picture 222"/>
        <xdr:cNvPicPr>
          <a:picLocks/>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6999184" y="5996481"/>
          <a:ext cx="801756" cy="954000"/>
        </a:xfrm>
        <a:prstGeom prst="rect">
          <a:avLst/>
        </a:prstGeom>
      </xdr:spPr>
    </xdr:pic>
    <xdr:clientData/>
  </xdr:twoCellAnchor>
  <xdr:twoCellAnchor editAs="oneCell">
    <xdr:from>
      <xdr:col>13</xdr:col>
      <xdr:colOff>109245</xdr:colOff>
      <xdr:row>31</xdr:row>
      <xdr:rowOff>59279</xdr:rowOff>
    </xdr:from>
    <xdr:to>
      <xdr:col>14</xdr:col>
      <xdr:colOff>310927</xdr:colOff>
      <xdr:row>36</xdr:row>
      <xdr:rowOff>60779</xdr:rowOff>
    </xdr:to>
    <xdr:pic>
      <xdr:nvPicPr>
        <xdr:cNvPr id="224" name="Picture 223"/>
        <xdr:cNvPicPr>
          <a:picLocks/>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7848308" y="5964779"/>
          <a:ext cx="796994" cy="954000"/>
        </a:xfrm>
        <a:prstGeom prst="rect">
          <a:avLst/>
        </a:prstGeom>
      </xdr:spPr>
    </xdr:pic>
    <xdr:clientData/>
  </xdr:twoCellAnchor>
  <xdr:twoCellAnchor editAs="oneCell">
    <xdr:from>
      <xdr:col>14</xdr:col>
      <xdr:colOff>403102</xdr:colOff>
      <xdr:row>15</xdr:row>
      <xdr:rowOff>177499</xdr:rowOff>
    </xdr:from>
    <xdr:to>
      <xdr:col>16</xdr:col>
      <xdr:colOff>13311</xdr:colOff>
      <xdr:row>20</xdr:row>
      <xdr:rowOff>178999</xdr:rowOff>
    </xdr:to>
    <xdr:pic>
      <xdr:nvPicPr>
        <xdr:cNvPr id="225" name="Picture 224"/>
        <xdr:cNvPicPr>
          <a:picLocks/>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8737477" y="3034999"/>
          <a:ext cx="800834" cy="954000"/>
        </a:xfrm>
        <a:prstGeom prst="rect">
          <a:avLst/>
        </a:prstGeom>
      </xdr:spPr>
    </xdr:pic>
    <xdr:clientData/>
  </xdr:twoCellAnchor>
  <xdr:twoCellAnchor editAs="oneCell">
    <xdr:from>
      <xdr:col>16</xdr:col>
      <xdr:colOff>73289</xdr:colOff>
      <xdr:row>15</xdr:row>
      <xdr:rowOff>179238</xdr:rowOff>
    </xdr:from>
    <xdr:to>
      <xdr:col>17</xdr:col>
      <xdr:colOff>274971</xdr:colOff>
      <xdr:row>20</xdr:row>
      <xdr:rowOff>180738</xdr:rowOff>
    </xdr:to>
    <xdr:pic>
      <xdr:nvPicPr>
        <xdr:cNvPr id="226" name="Picture 225"/>
        <xdr:cNvPicPr>
          <a:picLocks/>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9598289" y="3036738"/>
          <a:ext cx="796995" cy="954000"/>
        </a:xfrm>
        <a:prstGeom prst="rect">
          <a:avLst/>
        </a:prstGeom>
      </xdr:spPr>
    </xdr:pic>
    <xdr:clientData/>
  </xdr:twoCellAnchor>
  <xdr:twoCellAnchor editAs="oneCell">
    <xdr:from>
      <xdr:col>14</xdr:col>
      <xdr:colOff>387362</xdr:colOff>
      <xdr:row>26</xdr:row>
      <xdr:rowOff>72767</xdr:rowOff>
    </xdr:from>
    <xdr:to>
      <xdr:col>16</xdr:col>
      <xdr:colOff>81</xdr:colOff>
      <xdr:row>31</xdr:row>
      <xdr:rowOff>74267</xdr:rowOff>
    </xdr:to>
    <xdr:pic>
      <xdr:nvPicPr>
        <xdr:cNvPr id="227" name="Picture 226"/>
        <xdr:cNvPicPr>
          <a:picLocks/>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8721737" y="5025767"/>
          <a:ext cx="803344" cy="954000"/>
        </a:xfrm>
        <a:prstGeom prst="rect">
          <a:avLst/>
        </a:prstGeom>
      </xdr:spPr>
    </xdr:pic>
    <xdr:clientData/>
  </xdr:twoCellAnchor>
  <xdr:twoCellAnchor editAs="oneCell">
    <xdr:from>
      <xdr:col>17</xdr:col>
      <xdr:colOff>335117</xdr:colOff>
      <xdr:row>0</xdr:row>
      <xdr:rowOff>78701</xdr:rowOff>
    </xdr:from>
    <xdr:to>
      <xdr:col>18</xdr:col>
      <xdr:colOff>541884</xdr:colOff>
      <xdr:row>5</xdr:row>
      <xdr:rowOff>80201</xdr:rowOff>
    </xdr:to>
    <xdr:pic>
      <xdr:nvPicPr>
        <xdr:cNvPr id="228" name="Picture 227"/>
        <xdr:cNvPicPr>
          <a:picLocks/>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455430" y="78701"/>
          <a:ext cx="802079" cy="954000"/>
        </a:xfrm>
        <a:prstGeom prst="rect">
          <a:avLst/>
        </a:prstGeom>
      </xdr:spPr>
    </xdr:pic>
    <xdr:clientData/>
  </xdr:twoCellAnchor>
  <xdr:twoCellAnchor editAs="oneCell">
    <xdr:from>
      <xdr:col>19</xdr:col>
      <xdr:colOff>14265</xdr:colOff>
      <xdr:row>0</xdr:row>
      <xdr:rowOff>71520</xdr:rowOff>
    </xdr:from>
    <xdr:to>
      <xdr:col>20</xdr:col>
      <xdr:colOff>228255</xdr:colOff>
      <xdr:row>5</xdr:row>
      <xdr:rowOff>73020</xdr:rowOff>
    </xdr:to>
    <xdr:pic>
      <xdr:nvPicPr>
        <xdr:cNvPr id="229" name="Picture 228"/>
        <xdr:cNvPicPr>
          <a:picLocks/>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1325203" y="71520"/>
          <a:ext cx="809302" cy="954000"/>
        </a:xfrm>
        <a:prstGeom prst="rect">
          <a:avLst/>
        </a:prstGeom>
      </xdr:spPr>
    </xdr:pic>
    <xdr:clientData/>
  </xdr:twoCellAnchor>
  <xdr:twoCellAnchor editAs="oneCell">
    <xdr:from>
      <xdr:col>17</xdr:col>
      <xdr:colOff>328264</xdr:colOff>
      <xdr:row>5</xdr:row>
      <xdr:rowOff>117092</xdr:rowOff>
    </xdr:from>
    <xdr:to>
      <xdr:col>18</xdr:col>
      <xdr:colOff>535031</xdr:colOff>
      <xdr:row>10</xdr:row>
      <xdr:rowOff>118592</xdr:rowOff>
    </xdr:to>
    <xdr:pic>
      <xdr:nvPicPr>
        <xdr:cNvPr id="230" name="Picture 229"/>
        <xdr:cNvPicPr>
          <a:picLocks/>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0448577" y="1069592"/>
          <a:ext cx="802079" cy="954000"/>
        </a:xfrm>
        <a:prstGeom prst="rect">
          <a:avLst/>
        </a:prstGeom>
      </xdr:spPr>
    </xdr:pic>
    <xdr:clientData/>
  </xdr:twoCellAnchor>
  <xdr:twoCellAnchor editAs="oneCell">
    <xdr:from>
      <xdr:col>17</xdr:col>
      <xdr:colOff>343823</xdr:colOff>
      <xdr:row>26</xdr:row>
      <xdr:rowOff>62711</xdr:rowOff>
    </xdr:from>
    <xdr:to>
      <xdr:col>18</xdr:col>
      <xdr:colOff>543389</xdr:colOff>
      <xdr:row>31</xdr:row>
      <xdr:rowOff>64211</xdr:rowOff>
    </xdr:to>
    <xdr:pic>
      <xdr:nvPicPr>
        <xdr:cNvPr id="231" name="Picture 230"/>
        <xdr:cNvPicPr>
          <a:picLocks/>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0464136" y="5015711"/>
          <a:ext cx="794878" cy="954000"/>
        </a:xfrm>
        <a:prstGeom prst="rect">
          <a:avLst/>
        </a:prstGeom>
      </xdr:spPr>
    </xdr:pic>
    <xdr:clientData/>
  </xdr:twoCellAnchor>
  <xdr:twoCellAnchor editAs="oneCell">
    <xdr:from>
      <xdr:col>19</xdr:col>
      <xdr:colOff>13989</xdr:colOff>
      <xdr:row>31</xdr:row>
      <xdr:rowOff>129538</xdr:rowOff>
    </xdr:from>
    <xdr:to>
      <xdr:col>20</xdr:col>
      <xdr:colOff>215670</xdr:colOff>
      <xdr:row>36</xdr:row>
      <xdr:rowOff>131038</xdr:rowOff>
    </xdr:to>
    <xdr:pic>
      <xdr:nvPicPr>
        <xdr:cNvPr id="232" name="Picture 231"/>
        <xdr:cNvPicPr>
          <a:picLocks/>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1324927" y="6035038"/>
          <a:ext cx="796993" cy="954000"/>
        </a:xfrm>
        <a:prstGeom prst="rect">
          <a:avLst/>
        </a:prstGeom>
      </xdr:spPr>
    </xdr:pic>
    <xdr:clientData/>
  </xdr:twoCellAnchor>
  <xdr:twoCellAnchor editAs="oneCell">
    <xdr:from>
      <xdr:col>20</xdr:col>
      <xdr:colOff>282385</xdr:colOff>
      <xdr:row>10</xdr:row>
      <xdr:rowOff>135573</xdr:rowOff>
    </xdr:from>
    <xdr:to>
      <xdr:col>21</xdr:col>
      <xdr:colOff>490415</xdr:colOff>
      <xdr:row>15</xdr:row>
      <xdr:rowOff>137073</xdr:rowOff>
    </xdr:to>
    <xdr:pic>
      <xdr:nvPicPr>
        <xdr:cNvPr id="233" name="Picture 232"/>
        <xdr:cNvPicPr>
          <a:picLocks/>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2188635" y="2040573"/>
          <a:ext cx="803343" cy="954000"/>
        </a:xfrm>
        <a:prstGeom prst="rect">
          <a:avLst/>
        </a:prstGeom>
      </xdr:spPr>
    </xdr:pic>
    <xdr:clientData/>
  </xdr:twoCellAnchor>
  <xdr:twoCellAnchor editAs="oneCell">
    <xdr:from>
      <xdr:col>21</xdr:col>
      <xdr:colOff>547886</xdr:colOff>
      <xdr:row>10</xdr:row>
      <xdr:rowOff>144022</xdr:rowOff>
    </xdr:from>
    <xdr:to>
      <xdr:col>23</xdr:col>
      <xdr:colOff>160214</xdr:colOff>
      <xdr:row>15</xdr:row>
      <xdr:rowOff>145522</xdr:rowOff>
    </xdr:to>
    <xdr:pic>
      <xdr:nvPicPr>
        <xdr:cNvPr id="234" name="Picture 233"/>
        <xdr:cNvPicPr>
          <a:picLocks/>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13049449" y="2049022"/>
          <a:ext cx="802953" cy="954000"/>
        </a:xfrm>
        <a:prstGeom prst="rect">
          <a:avLst/>
        </a:prstGeom>
      </xdr:spPr>
    </xdr:pic>
    <xdr:clientData/>
  </xdr:twoCellAnchor>
  <xdr:twoCellAnchor editAs="oneCell">
    <xdr:from>
      <xdr:col>20</xdr:col>
      <xdr:colOff>282543</xdr:colOff>
      <xdr:row>21</xdr:row>
      <xdr:rowOff>30488</xdr:rowOff>
    </xdr:from>
    <xdr:to>
      <xdr:col>21</xdr:col>
      <xdr:colOff>482635</xdr:colOff>
      <xdr:row>26</xdr:row>
      <xdr:rowOff>31988</xdr:rowOff>
    </xdr:to>
    <xdr:pic>
      <xdr:nvPicPr>
        <xdr:cNvPr id="235" name="Picture 234"/>
        <xdr:cNvPicPr>
          <a:picLocks/>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2188793" y="4030988"/>
          <a:ext cx="795405" cy="954000"/>
        </a:xfrm>
        <a:prstGeom prst="rect">
          <a:avLst/>
        </a:prstGeom>
      </xdr:spPr>
    </xdr:pic>
    <xdr:clientData/>
  </xdr:twoCellAnchor>
  <xdr:twoCellAnchor editAs="oneCell">
    <xdr:from>
      <xdr:col>20</xdr:col>
      <xdr:colOff>248267</xdr:colOff>
      <xdr:row>36</xdr:row>
      <xdr:rowOff>171424</xdr:rowOff>
    </xdr:from>
    <xdr:to>
      <xdr:col>21</xdr:col>
      <xdr:colOff>457151</xdr:colOff>
      <xdr:row>41</xdr:row>
      <xdr:rowOff>172924</xdr:rowOff>
    </xdr:to>
    <xdr:pic>
      <xdr:nvPicPr>
        <xdr:cNvPr id="236" name="Picture 235"/>
        <xdr:cNvPicPr>
          <a:picLocks/>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12154517" y="7029424"/>
          <a:ext cx="804197" cy="954000"/>
        </a:xfrm>
        <a:prstGeom prst="rect">
          <a:avLst/>
        </a:prstGeom>
      </xdr:spPr>
    </xdr:pic>
    <xdr:clientData/>
  </xdr:twoCellAnchor>
  <xdr:twoCellAnchor editAs="oneCell">
    <xdr:from>
      <xdr:col>23</xdr:col>
      <xdr:colOff>221262</xdr:colOff>
      <xdr:row>21</xdr:row>
      <xdr:rowOff>85441</xdr:rowOff>
    </xdr:from>
    <xdr:to>
      <xdr:col>24</xdr:col>
      <xdr:colOff>430147</xdr:colOff>
      <xdr:row>26</xdr:row>
      <xdr:rowOff>86941</xdr:rowOff>
    </xdr:to>
    <xdr:pic>
      <xdr:nvPicPr>
        <xdr:cNvPr id="237" name="Picture 236"/>
        <xdr:cNvPicPr>
          <a:picLocks/>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3913450" y="4085941"/>
          <a:ext cx="804197" cy="954000"/>
        </a:xfrm>
        <a:prstGeom prst="rect">
          <a:avLst/>
        </a:prstGeom>
      </xdr:spPr>
    </xdr:pic>
    <xdr:clientData/>
  </xdr:twoCellAnchor>
  <xdr:twoCellAnchor editAs="oneCell">
    <xdr:from>
      <xdr:col>28</xdr:col>
      <xdr:colOff>13397</xdr:colOff>
      <xdr:row>21</xdr:row>
      <xdr:rowOff>50498</xdr:rowOff>
    </xdr:from>
    <xdr:to>
      <xdr:col>29</xdr:col>
      <xdr:colOff>230729</xdr:colOff>
      <xdr:row>26</xdr:row>
      <xdr:rowOff>51998</xdr:rowOff>
    </xdr:to>
    <xdr:pic>
      <xdr:nvPicPr>
        <xdr:cNvPr id="238" name="Picture 237"/>
        <xdr:cNvPicPr>
          <a:picLocks/>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6682147" y="4050998"/>
          <a:ext cx="812645" cy="954000"/>
        </a:xfrm>
        <a:prstGeom prst="rect">
          <a:avLst/>
        </a:prstGeom>
      </xdr:spPr>
    </xdr:pic>
    <xdr:clientData/>
  </xdr:twoCellAnchor>
  <xdr:twoCellAnchor editAs="oneCell">
    <xdr:from>
      <xdr:col>26</xdr:col>
      <xdr:colOff>294042</xdr:colOff>
      <xdr:row>26</xdr:row>
      <xdr:rowOff>149699</xdr:rowOff>
    </xdr:from>
    <xdr:to>
      <xdr:col>27</xdr:col>
      <xdr:colOff>515608</xdr:colOff>
      <xdr:row>31</xdr:row>
      <xdr:rowOff>151199</xdr:rowOff>
    </xdr:to>
    <xdr:pic>
      <xdr:nvPicPr>
        <xdr:cNvPr id="239" name="Picture 238"/>
        <xdr:cNvPicPr>
          <a:picLocks/>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5772167" y="5102699"/>
          <a:ext cx="816879" cy="954000"/>
        </a:xfrm>
        <a:prstGeom prst="rect">
          <a:avLst/>
        </a:prstGeom>
      </xdr:spPr>
    </xdr:pic>
    <xdr:clientData/>
  </xdr:twoCellAnchor>
  <xdr:twoCellAnchor editAs="oneCell">
    <xdr:from>
      <xdr:col>27</xdr:col>
      <xdr:colOff>584210</xdr:colOff>
      <xdr:row>26</xdr:row>
      <xdr:rowOff>145924</xdr:rowOff>
    </xdr:from>
    <xdr:to>
      <xdr:col>29</xdr:col>
      <xdr:colOff>206230</xdr:colOff>
      <xdr:row>31</xdr:row>
      <xdr:rowOff>147424</xdr:rowOff>
    </xdr:to>
    <xdr:pic>
      <xdr:nvPicPr>
        <xdr:cNvPr id="240" name="Picture 239"/>
        <xdr:cNvPicPr>
          <a:picLocks/>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16657648" y="5098924"/>
          <a:ext cx="812645" cy="954000"/>
        </a:xfrm>
        <a:prstGeom prst="rect">
          <a:avLst/>
        </a:prstGeom>
      </xdr:spPr>
    </xdr:pic>
    <xdr:clientData/>
  </xdr:twoCellAnchor>
  <xdr:twoCellAnchor editAs="oneCell">
    <xdr:from>
      <xdr:col>26</xdr:col>
      <xdr:colOff>290665</xdr:colOff>
      <xdr:row>32</xdr:row>
      <xdr:rowOff>22112</xdr:rowOff>
    </xdr:from>
    <xdr:to>
      <xdr:col>27</xdr:col>
      <xdr:colOff>512761</xdr:colOff>
      <xdr:row>37</xdr:row>
      <xdr:rowOff>23612</xdr:rowOff>
    </xdr:to>
    <xdr:pic>
      <xdr:nvPicPr>
        <xdr:cNvPr id="241" name="Picture 240"/>
        <xdr:cNvPicPr>
          <a:picLocks/>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5768790" y="6118112"/>
          <a:ext cx="817409" cy="954000"/>
        </a:xfrm>
        <a:prstGeom prst="rect">
          <a:avLst/>
        </a:prstGeom>
      </xdr:spPr>
    </xdr:pic>
    <xdr:clientData/>
  </xdr:twoCellAnchor>
  <xdr:twoCellAnchor editAs="oneCell">
    <xdr:from>
      <xdr:col>27</xdr:col>
      <xdr:colOff>590892</xdr:colOff>
      <xdr:row>32</xdr:row>
      <xdr:rowOff>21946</xdr:rowOff>
    </xdr:from>
    <xdr:to>
      <xdr:col>29</xdr:col>
      <xdr:colOff>212912</xdr:colOff>
      <xdr:row>37</xdr:row>
      <xdr:rowOff>23446</xdr:rowOff>
    </xdr:to>
    <xdr:pic>
      <xdr:nvPicPr>
        <xdr:cNvPr id="242" name="Picture 241"/>
        <xdr:cNvPicPr>
          <a:picLocks/>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16664330" y="6117946"/>
          <a:ext cx="812645" cy="954000"/>
        </a:xfrm>
        <a:prstGeom prst="rect">
          <a:avLst/>
        </a:prstGeom>
      </xdr:spPr>
    </xdr:pic>
    <xdr:clientData/>
  </xdr:twoCellAnchor>
  <xdr:twoCellAnchor editAs="oneCell">
    <xdr:from>
      <xdr:col>26</xdr:col>
      <xdr:colOff>259714</xdr:colOff>
      <xdr:row>37</xdr:row>
      <xdr:rowOff>65823</xdr:rowOff>
    </xdr:from>
    <xdr:to>
      <xdr:col>27</xdr:col>
      <xdr:colOff>481810</xdr:colOff>
      <xdr:row>42</xdr:row>
      <xdr:rowOff>67323</xdr:rowOff>
    </xdr:to>
    <xdr:pic>
      <xdr:nvPicPr>
        <xdr:cNvPr id="243" name="Picture 242"/>
        <xdr:cNvPicPr>
          <a:picLocks/>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15737839" y="7114323"/>
          <a:ext cx="817409" cy="954000"/>
        </a:xfrm>
        <a:prstGeom prst="rect">
          <a:avLst/>
        </a:prstGeom>
      </xdr:spPr>
    </xdr:pic>
    <xdr:clientData/>
  </xdr:twoCellAnchor>
  <xdr:twoCellAnchor editAs="oneCell">
    <xdr:from>
      <xdr:col>26</xdr:col>
      <xdr:colOff>306313</xdr:colOff>
      <xdr:row>21</xdr:row>
      <xdr:rowOff>53827</xdr:rowOff>
    </xdr:from>
    <xdr:to>
      <xdr:col>27</xdr:col>
      <xdr:colOff>523646</xdr:colOff>
      <xdr:row>26</xdr:row>
      <xdr:rowOff>55327</xdr:rowOff>
    </xdr:to>
    <xdr:pic>
      <xdr:nvPicPr>
        <xdr:cNvPr id="244" name="Picture 243"/>
        <xdr:cNvPicPr>
          <a:picLocks/>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5784438" y="4054327"/>
          <a:ext cx="812646" cy="954000"/>
        </a:xfrm>
        <a:prstGeom prst="rect">
          <a:avLst/>
        </a:prstGeom>
      </xdr:spPr>
    </xdr:pic>
    <xdr:clientData/>
  </xdr:twoCellAnchor>
  <xdr:twoCellAnchor editAs="oneCell">
    <xdr:from>
      <xdr:col>0</xdr:col>
      <xdr:colOff>72760</xdr:colOff>
      <xdr:row>31</xdr:row>
      <xdr:rowOff>87248</xdr:rowOff>
    </xdr:from>
    <xdr:to>
      <xdr:col>2</xdr:col>
      <xdr:colOff>555336</xdr:colOff>
      <xdr:row>36</xdr:row>
      <xdr:rowOff>88748</xdr:rowOff>
    </xdr:to>
    <xdr:pic>
      <xdr:nvPicPr>
        <xdr:cNvPr id="245" name="Picture 244"/>
        <xdr:cNvPicPr>
          <a:picLocks/>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72760" y="5992748"/>
          <a:ext cx="1663676" cy="954000"/>
        </a:xfrm>
        <a:prstGeom prst="rect">
          <a:avLst/>
        </a:prstGeom>
      </xdr:spPr>
    </xdr:pic>
    <xdr:clientData/>
  </xdr:twoCellAnchor>
  <xdr:twoCellAnchor editAs="oneCell">
    <xdr:from>
      <xdr:col>3</xdr:col>
      <xdr:colOff>57231</xdr:colOff>
      <xdr:row>10</xdr:row>
      <xdr:rowOff>108537</xdr:rowOff>
    </xdr:from>
    <xdr:to>
      <xdr:col>5</xdr:col>
      <xdr:colOff>539807</xdr:colOff>
      <xdr:row>15</xdr:row>
      <xdr:rowOff>110037</xdr:rowOff>
    </xdr:to>
    <xdr:pic>
      <xdr:nvPicPr>
        <xdr:cNvPr id="246" name="Picture 245"/>
        <xdr:cNvPicPr>
          <a:picLocks/>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1828881" y="2013537"/>
          <a:ext cx="1663676" cy="954000"/>
        </a:xfrm>
        <a:prstGeom prst="rect">
          <a:avLst/>
        </a:prstGeom>
      </xdr:spPr>
    </xdr:pic>
    <xdr:clientData/>
  </xdr:twoCellAnchor>
  <xdr:twoCellAnchor editAs="oneCell">
    <xdr:from>
      <xdr:col>6</xdr:col>
      <xdr:colOff>25437</xdr:colOff>
      <xdr:row>36</xdr:row>
      <xdr:rowOff>93689</xdr:rowOff>
    </xdr:from>
    <xdr:to>
      <xdr:col>8</xdr:col>
      <xdr:colOff>506427</xdr:colOff>
      <xdr:row>41</xdr:row>
      <xdr:rowOff>95189</xdr:rowOff>
    </xdr:to>
    <xdr:pic>
      <xdr:nvPicPr>
        <xdr:cNvPr id="247" name="Picture 246"/>
        <xdr:cNvPicPr>
          <a:picLocks/>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3597312" y="6951689"/>
          <a:ext cx="1671615" cy="954000"/>
        </a:xfrm>
        <a:prstGeom prst="rect">
          <a:avLst/>
        </a:prstGeom>
      </xdr:spPr>
    </xdr:pic>
    <xdr:clientData/>
  </xdr:twoCellAnchor>
  <xdr:twoCellAnchor editAs="oneCell">
    <xdr:from>
      <xdr:col>8</xdr:col>
      <xdr:colOff>495313</xdr:colOff>
      <xdr:row>20</xdr:row>
      <xdr:rowOff>136414</xdr:rowOff>
    </xdr:from>
    <xdr:to>
      <xdr:col>11</xdr:col>
      <xdr:colOff>383976</xdr:colOff>
      <xdr:row>25</xdr:row>
      <xdr:rowOff>137914</xdr:rowOff>
    </xdr:to>
    <xdr:pic>
      <xdr:nvPicPr>
        <xdr:cNvPr id="248" name="Picture 247"/>
        <xdr:cNvPicPr>
          <a:picLocks/>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5257813" y="3946414"/>
          <a:ext cx="1674601" cy="954000"/>
        </a:xfrm>
        <a:prstGeom prst="rect">
          <a:avLst/>
        </a:prstGeom>
      </xdr:spPr>
    </xdr:pic>
    <xdr:clientData/>
  </xdr:twoCellAnchor>
  <xdr:twoCellAnchor editAs="oneCell">
    <xdr:from>
      <xdr:col>8</xdr:col>
      <xdr:colOff>491952</xdr:colOff>
      <xdr:row>26</xdr:row>
      <xdr:rowOff>13366</xdr:rowOff>
    </xdr:from>
    <xdr:to>
      <xdr:col>11</xdr:col>
      <xdr:colOff>380615</xdr:colOff>
      <xdr:row>31</xdr:row>
      <xdr:rowOff>14866</xdr:rowOff>
    </xdr:to>
    <xdr:pic>
      <xdr:nvPicPr>
        <xdr:cNvPr id="249" name="Picture 248"/>
        <xdr:cNvPicPr>
          <a:picLocks/>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5254452" y="4966366"/>
          <a:ext cx="1674601" cy="954000"/>
        </a:xfrm>
        <a:prstGeom prst="rect">
          <a:avLst/>
        </a:prstGeom>
      </xdr:spPr>
    </xdr:pic>
    <xdr:clientData/>
  </xdr:twoCellAnchor>
  <xdr:twoCellAnchor editAs="oneCell">
    <xdr:from>
      <xdr:col>11</xdr:col>
      <xdr:colOff>464811</xdr:colOff>
      <xdr:row>5</xdr:row>
      <xdr:rowOff>85005</xdr:rowOff>
    </xdr:from>
    <xdr:to>
      <xdr:col>14</xdr:col>
      <xdr:colOff>353476</xdr:colOff>
      <xdr:row>10</xdr:row>
      <xdr:rowOff>86505</xdr:rowOff>
    </xdr:to>
    <xdr:pic>
      <xdr:nvPicPr>
        <xdr:cNvPr id="250" name="Picture 249"/>
        <xdr:cNvPicPr>
          <a:picLocks/>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7013249" y="1037505"/>
          <a:ext cx="1674602" cy="954000"/>
        </a:xfrm>
        <a:prstGeom prst="rect">
          <a:avLst/>
        </a:prstGeom>
      </xdr:spPr>
    </xdr:pic>
    <xdr:clientData/>
  </xdr:twoCellAnchor>
  <xdr:twoCellAnchor editAs="oneCell">
    <xdr:from>
      <xdr:col>11</xdr:col>
      <xdr:colOff>449998</xdr:colOff>
      <xdr:row>26</xdr:row>
      <xdr:rowOff>26128</xdr:rowOff>
    </xdr:from>
    <xdr:to>
      <xdr:col>14</xdr:col>
      <xdr:colOff>338663</xdr:colOff>
      <xdr:row>31</xdr:row>
      <xdr:rowOff>27628</xdr:rowOff>
    </xdr:to>
    <xdr:pic>
      <xdr:nvPicPr>
        <xdr:cNvPr id="251" name="Picture 250"/>
        <xdr:cNvPicPr>
          <a:picLocks/>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6998436" y="4979128"/>
          <a:ext cx="1674602" cy="954000"/>
        </a:xfrm>
        <a:prstGeom prst="rect">
          <a:avLst/>
        </a:prstGeom>
      </xdr:spPr>
    </xdr:pic>
    <xdr:clientData/>
  </xdr:twoCellAnchor>
  <xdr:twoCellAnchor editAs="oneCell">
    <xdr:from>
      <xdr:col>11</xdr:col>
      <xdr:colOff>414326</xdr:colOff>
      <xdr:row>36</xdr:row>
      <xdr:rowOff>121006</xdr:rowOff>
    </xdr:from>
    <xdr:to>
      <xdr:col>14</xdr:col>
      <xdr:colOff>302991</xdr:colOff>
      <xdr:row>41</xdr:row>
      <xdr:rowOff>122506</xdr:rowOff>
    </xdr:to>
    <xdr:pic>
      <xdr:nvPicPr>
        <xdr:cNvPr id="252" name="Picture 251"/>
        <xdr:cNvPicPr>
          <a:picLocks/>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6962764" y="6979006"/>
          <a:ext cx="1674602" cy="954000"/>
        </a:xfrm>
        <a:prstGeom prst="rect">
          <a:avLst/>
        </a:prstGeom>
      </xdr:spPr>
    </xdr:pic>
    <xdr:clientData/>
  </xdr:twoCellAnchor>
  <xdr:twoCellAnchor editAs="oneCell">
    <xdr:from>
      <xdr:col>14</xdr:col>
      <xdr:colOff>376445</xdr:colOff>
      <xdr:row>10</xdr:row>
      <xdr:rowOff>135805</xdr:rowOff>
    </xdr:from>
    <xdr:to>
      <xdr:col>17</xdr:col>
      <xdr:colOff>265109</xdr:colOff>
      <xdr:row>15</xdr:row>
      <xdr:rowOff>137305</xdr:rowOff>
    </xdr:to>
    <xdr:pic>
      <xdr:nvPicPr>
        <xdr:cNvPr id="253" name="Picture 252"/>
        <xdr:cNvPicPr>
          <a:picLocks/>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8644145" y="2040805"/>
          <a:ext cx="1660314" cy="954000"/>
        </a:xfrm>
        <a:prstGeom prst="rect">
          <a:avLst/>
        </a:prstGeom>
      </xdr:spPr>
    </xdr:pic>
    <xdr:clientData/>
  </xdr:twoCellAnchor>
  <xdr:twoCellAnchor editAs="oneCell">
    <xdr:from>
      <xdr:col>14</xdr:col>
      <xdr:colOff>370176</xdr:colOff>
      <xdr:row>31</xdr:row>
      <xdr:rowOff>109675</xdr:rowOff>
    </xdr:from>
    <xdr:to>
      <xdr:col>17</xdr:col>
      <xdr:colOff>258840</xdr:colOff>
      <xdr:row>36</xdr:row>
      <xdr:rowOff>111175</xdr:rowOff>
    </xdr:to>
    <xdr:pic>
      <xdr:nvPicPr>
        <xdr:cNvPr id="254" name="Picture 253"/>
        <xdr:cNvPicPr>
          <a:picLocks/>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8704551" y="6015175"/>
          <a:ext cx="1674602" cy="954000"/>
        </a:xfrm>
        <a:prstGeom prst="rect">
          <a:avLst/>
        </a:prstGeom>
      </xdr:spPr>
    </xdr:pic>
    <xdr:clientData/>
  </xdr:twoCellAnchor>
  <xdr:twoCellAnchor editAs="oneCell">
    <xdr:from>
      <xdr:col>14</xdr:col>
      <xdr:colOff>372994</xdr:colOff>
      <xdr:row>36</xdr:row>
      <xdr:rowOff>141971</xdr:rowOff>
    </xdr:from>
    <xdr:to>
      <xdr:col>17</xdr:col>
      <xdr:colOff>265020</xdr:colOff>
      <xdr:row>41</xdr:row>
      <xdr:rowOff>143471</xdr:rowOff>
    </xdr:to>
    <xdr:pic>
      <xdr:nvPicPr>
        <xdr:cNvPr id="255" name="Picture 254"/>
        <xdr:cNvPicPr>
          <a:picLocks/>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8707369" y="6999971"/>
          <a:ext cx="1677964" cy="954000"/>
        </a:xfrm>
        <a:prstGeom prst="rect">
          <a:avLst/>
        </a:prstGeom>
      </xdr:spPr>
    </xdr:pic>
    <xdr:clientData/>
  </xdr:twoCellAnchor>
  <xdr:twoCellAnchor editAs="oneCell">
    <xdr:from>
      <xdr:col>20</xdr:col>
      <xdr:colOff>273846</xdr:colOff>
      <xdr:row>15</xdr:row>
      <xdr:rowOff>172780</xdr:rowOff>
    </xdr:from>
    <xdr:to>
      <xdr:col>23</xdr:col>
      <xdr:colOff>162511</xdr:colOff>
      <xdr:row>20</xdr:row>
      <xdr:rowOff>174280</xdr:rowOff>
    </xdr:to>
    <xdr:pic>
      <xdr:nvPicPr>
        <xdr:cNvPr id="256" name="Picture 255"/>
        <xdr:cNvPicPr>
          <a:picLocks/>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12180096" y="3030280"/>
          <a:ext cx="1674603" cy="954000"/>
        </a:xfrm>
        <a:prstGeom prst="rect">
          <a:avLst/>
        </a:prstGeom>
      </xdr:spPr>
    </xdr:pic>
    <xdr:clientData/>
  </xdr:twoCellAnchor>
  <xdr:twoCellAnchor editAs="oneCell">
    <xdr:from>
      <xdr:col>20</xdr:col>
      <xdr:colOff>272380</xdr:colOff>
      <xdr:row>26</xdr:row>
      <xdr:rowOff>94461</xdr:rowOff>
    </xdr:from>
    <xdr:to>
      <xdr:col>23</xdr:col>
      <xdr:colOff>161044</xdr:colOff>
      <xdr:row>31</xdr:row>
      <xdr:rowOff>95961</xdr:rowOff>
    </xdr:to>
    <xdr:pic>
      <xdr:nvPicPr>
        <xdr:cNvPr id="257" name="Picture 256"/>
        <xdr:cNvPicPr>
          <a:picLocks/>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12178630" y="5047461"/>
          <a:ext cx="1674602" cy="954000"/>
        </a:xfrm>
        <a:prstGeom prst="rect">
          <a:avLst/>
        </a:prstGeom>
      </xdr:spPr>
    </xdr:pic>
    <xdr:clientData/>
  </xdr:twoCellAnchor>
  <xdr:twoCellAnchor editAs="oneCell">
    <xdr:from>
      <xdr:col>20</xdr:col>
      <xdr:colOff>260362</xdr:colOff>
      <xdr:row>31</xdr:row>
      <xdr:rowOff>127699</xdr:rowOff>
    </xdr:from>
    <xdr:to>
      <xdr:col>23</xdr:col>
      <xdr:colOff>150271</xdr:colOff>
      <xdr:row>36</xdr:row>
      <xdr:rowOff>129199</xdr:rowOff>
    </xdr:to>
    <xdr:pic>
      <xdr:nvPicPr>
        <xdr:cNvPr id="258" name="Picture 257"/>
        <xdr:cNvPicPr>
          <a:picLocks/>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12166612" y="6033199"/>
          <a:ext cx="1675847" cy="954000"/>
        </a:xfrm>
        <a:prstGeom prst="rect">
          <a:avLst/>
        </a:prstGeom>
      </xdr:spPr>
    </xdr:pic>
    <xdr:clientData/>
  </xdr:twoCellAnchor>
  <xdr:twoCellAnchor editAs="oneCell">
    <xdr:from>
      <xdr:col>29</xdr:col>
      <xdr:colOff>301391</xdr:colOff>
      <xdr:row>0</xdr:row>
      <xdr:rowOff>94984</xdr:rowOff>
    </xdr:from>
    <xdr:to>
      <xdr:col>32</xdr:col>
      <xdr:colOff>191302</xdr:colOff>
      <xdr:row>5</xdr:row>
      <xdr:rowOff>96484</xdr:rowOff>
    </xdr:to>
    <xdr:pic>
      <xdr:nvPicPr>
        <xdr:cNvPr id="259" name="Picture 258"/>
        <xdr:cNvPicPr>
          <a:picLocks/>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17565454" y="94984"/>
          <a:ext cx="1675848" cy="954000"/>
        </a:xfrm>
        <a:prstGeom prst="rect">
          <a:avLst/>
        </a:prstGeom>
      </xdr:spPr>
    </xdr:pic>
    <xdr:clientData/>
  </xdr:twoCellAnchor>
  <xdr:twoCellAnchor editAs="oneCell">
    <xdr:from>
      <xdr:col>29</xdr:col>
      <xdr:colOff>304280</xdr:colOff>
      <xdr:row>5</xdr:row>
      <xdr:rowOff>126144</xdr:rowOff>
    </xdr:from>
    <xdr:to>
      <xdr:col>32</xdr:col>
      <xdr:colOff>194191</xdr:colOff>
      <xdr:row>10</xdr:row>
      <xdr:rowOff>127644</xdr:rowOff>
    </xdr:to>
    <xdr:pic>
      <xdr:nvPicPr>
        <xdr:cNvPr id="260" name="Picture 259"/>
        <xdr:cNvPicPr>
          <a:picLocks/>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17568343" y="1078644"/>
          <a:ext cx="1675848" cy="954000"/>
        </a:xfrm>
        <a:prstGeom prst="rect">
          <a:avLst/>
        </a:prstGeom>
      </xdr:spPr>
    </xdr:pic>
    <xdr:clientData/>
  </xdr:twoCellAnchor>
  <xdr:twoCellAnchor editAs="oneCell">
    <xdr:from>
      <xdr:col>29</xdr:col>
      <xdr:colOff>302295</xdr:colOff>
      <xdr:row>10</xdr:row>
      <xdr:rowOff>178420</xdr:rowOff>
    </xdr:from>
    <xdr:to>
      <xdr:col>32</xdr:col>
      <xdr:colOff>192206</xdr:colOff>
      <xdr:row>15</xdr:row>
      <xdr:rowOff>179920</xdr:rowOff>
    </xdr:to>
    <xdr:pic>
      <xdr:nvPicPr>
        <xdr:cNvPr id="261" name="Picture 260"/>
        <xdr:cNvPicPr>
          <a:picLocks/>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7566358" y="2083420"/>
          <a:ext cx="1675848" cy="954000"/>
        </a:xfrm>
        <a:prstGeom prst="rect">
          <a:avLst/>
        </a:prstGeom>
      </xdr:spPr>
    </xdr:pic>
    <xdr:clientData/>
  </xdr:twoCellAnchor>
  <xdr:twoCellAnchor editAs="oneCell">
    <xdr:from>
      <xdr:col>29</xdr:col>
      <xdr:colOff>293222</xdr:colOff>
      <xdr:row>16</xdr:row>
      <xdr:rowOff>16882</xdr:rowOff>
    </xdr:from>
    <xdr:to>
      <xdr:col>32</xdr:col>
      <xdr:colOff>181886</xdr:colOff>
      <xdr:row>21</xdr:row>
      <xdr:rowOff>18382</xdr:rowOff>
    </xdr:to>
    <xdr:pic>
      <xdr:nvPicPr>
        <xdr:cNvPr id="262" name="Picture 261"/>
        <xdr:cNvPicPr>
          <a:picLocks/>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7557285" y="3064882"/>
          <a:ext cx="1674601" cy="954000"/>
        </a:xfrm>
        <a:prstGeom prst="rect">
          <a:avLst/>
        </a:prstGeom>
      </xdr:spPr>
    </xdr:pic>
    <xdr:clientData/>
  </xdr:twoCellAnchor>
  <xdr:twoCellAnchor editAs="oneCell">
    <xdr:from>
      <xdr:col>0</xdr:col>
      <xdr:colOff>59872</xdr:colOff>
      <xdr:row>0</xdr:row>
      <xdr:rowOff>44824</xdr:rowOff>
    </xdr:from>
    <xdr:to>
      <xdr:col>2</xdr:col>
      <xdr:colOff>542448</xdr:colOff>
      <xdr:row>5</xdr:row>
      <xdr:rowOff>46324</xdr:rowOff>
    </xdr:to>
    <xdr:pic>
      <xdr:nvPicPr>
        <xdr:cNvPr id="263" name="Picture 262"/>
        <xdr:cNvPicPr>
          <a:picLocks/>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9872" y="44824"/>
          <a:ext cx="1663676" cy="954000"/>
        </a:xfrm>
        <a:prstGeom prst="rect">
          <a:avLst/>
        </a:prstGeom>
      </xdr:spPr>
    </xdr:pic>
    <xdr:clientData/>
  </xdr:twoCellAnchor>
  <xdr:twoCellAnchor editAs="oneCell">
    <xdr:from>
      <xdr:col>14</xdr:col>
      <xdr:colOff>392690</xdr:colOff>
      <xdr:row>21</xdr:row>
      <xdr:rowOff>16716</xdr:rowOff>
    </xdr:from>
    <xdr:to>
      <xdr:col>17</xdr:col>
      <xdr:colOff>285587</xdr:colOff>
      <xdr:row>26</xdr:row>
      <xdr:rowOff>18216</xdr:rowOff>
    </xdr:to>
    <xdr:pic>
      <xdr:nvPicPr>
        <xdr:cNvPr id="264" name="Picture 263"/>
        <xdr:cNvPicPr>
          <a:picLocks/>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8727065" y="4017216"/>
          <a:ext cx="1678835" cy="954000"/>
        </a:xfrm>
        <a:prstGeom prst="rect">
          <a:avLst/>
        </a:prstGeom>
      </xdr:spPr>
    </xdr:pic>
    <xdr:clientData/>
  </xdr:twoCellAnchor>
  <xdr:twoCellAnchor editAs="oneCell">
    <xdr:from>
      <xdr:col>8</xdr:col>
      <xdr:colOff>539329</xdr:colOff>
      <xdr:row>0</xdr:row>
      <xdr:rowOff>33710</xdr:rowOff>
    </xdr:from>
    <xdr:to>
      <xdr:col>11</xdr:col>
      <xdr:colOff>439406</xdr:colOff>
      <xdr:row>10</xdr:row>
      <xdr:rowOff>36710</xdr:rowOff>
    </xdr:to>
    <xdr:pic>
      <xdr:nvPicPr>
        <xdr:cNvPr id="265" name="Picture 264"/>
        <xdr:cNvPicPr>
          <a:picLocks/>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5301829" y="33710"/>
          <a:ext cx="1686015" cy="1908000"/>
        </a:xfrm>
        <a:prstGeom prst="rect">
          <a:avLst/>
        </a:prstGeom>
      </xdr:spPr>
    </xdr:pic>
    <xdr:clientData/>
  </xdr:twoCellAnchor>
  <xdr:twoCellAnchor editAs="oneCell">
    <xdr:from>
      <xdr:col>0</xdr:col>
      <xdr:colOff>95250</xdr:colOff>
      <xdr:row>5</xdr:row>
      <xdr:rowOff>85725</xdr:rowOff>
    </xdr:from>
    <xdr:to>
      <xdr:col>1</xdr:col>
      <xdr:colOff>285750</xdr:colOff>
      <xdr:row>10</xdr:row>
      <xdr:rowOff>106112</xdr:rowOff>
    </xdr:to>
    <xdr:pic>
      <xdr:nvPicPr>
        <xdr:cNvPr id="266" name="Picture 6"/>
        <xdr:cNvPicPr>
          <a:picLocks noChangeAspect="1" noChangeArrowheads="1"/>
        </xdr:cNvPicPr>
      </xdr:nvPicPr>
      <xdr:blipFill>
        <a:blip xmlns:r="http://schemas.openxmlformats.org/officeDocument/2006/relationships" r:embed="rId77" cstate="print"/>
        <a:srcRect/>
        <a:stretch>
          <a:fillRect/>
        </a:stretch>
      </xdr:blipFill>
      <xdr:spPr bwMode="auto">
        <a:xfrm>
          <a:off x="95250" y="1038225"/>
          <a:ext cx="781050" cy="972887"/>
        </a:xfrm>
        <a:prstGeom prst="rect">
          <a:avLst/>
        </a:prstGeom>
        <a:noFill/>
      </xdr:spPr>
    </xdr:pic>
    <xdr:clientData/>
  </xdr:twoCellAnchor>
  <xdr:twoCellAnchor editAs="oneCell">
    <xdr:from>
      <xdr:col>1</xdr:col>
      <xdr:colOff>381000</xdr:colOff>
      <xdr:row>26</xdr:row>
      <xdr:rowOff>71353</xdr:rowOff>
    </xdr:from>
    <xdr:to>
      <xdr:col>2</xdr:col>
      <xdr:colOff>551377</xdr:colOff>
      <xdr:row>31</xdr:row>
      <xdr:rowOff>66674</xdr:rowOff>
    </xdr:to>
    <xdr:pic>
      <xdr:nvPicPr>
        <xdr:cNvPr id="267" name="Picture 8"/>
        <xdr:cNvPicPr>
          <a:picLocks noChangeAspect="1" noChangeArrowheads="1"/>
        </xdr:cNvPicPr>
      </xdr:nvPicPr>
      <xdr:blipFill>
        <a:blip xmlns:r="http://schemas.openxmlformats.org/officeDocument/2006/relationships" r:embed="rId78" cstate="print"/>
        <a:srcRect/>
        <a:stretch>
          <a:fillRect/>
        </a:stretch>
      </xdr:blipFill>
      <xdr:spPr bwMode="auto">
        <a:xfrm>
          <a:off x="971550" y="5024353"/>
          <a:ext cx="760927" cy="947821"/>
        </a:xfrm>
        <a:prstGeom prst="rect">
          <a:avLst/>
        </a:prstGeom>
        <a:noFill/>
      </xdr:spPr>
    </xdr:pic>
    <xdr:clientData/>
  </xdr:twoCellAnchor>
  <xdr:twoCellAnchor editAs="oneCell">
    <xdr:from>
      <xdr:col>4</xdr:col>
      <xdr:colOff>333375</xdr:colOff>
      <xdr:row>5</xdr:row>
      <xdr:rowOff>85725</xdr:rowOff>
    </xdr:from>
    <xdr:to>
      <xdr:col>5</xdr:col>
      <xdr:colOff>533400</xdr:colOff>
      <xdr:row>10</xdr:row>
      <xdr:rowOff>85725</xdr:rowOff>
    </xdr:to>
    <xdr:pic>
      <xdr:nvPicPr>
        <xdr:cNvPr id="268" name="Picture 10"/>
        <xdr:cNvPicPr>
          <a:picLocks noChangeAspect="1" noChangeArrowheads="1"/>
        </xdr:cNvPicPr>
      </xdr:nvPicPr>
      <xdr:blipFill>
        <a:blip xmlns:r="http://schemas.openxmlformats.org/officeDocument/2006/relationships" r:embed="rId79" cstate="print"/>
        <a:srcRect/>
        <a:stretch>
          <a:fillRect/>
        </a:stretch>
      </xdr:blipFill>
      <xdr:spPr bwMode="auto">
        <a:xfrm>
          <a:off x="2695575" y="1038225"/>
          <a:ext cx="790575" cy="952500"/>
        </a:xfrm>
        <a:prstGeom prst="rect">
          <a:avLst/>
        </a:prstGeom>
        <a:noFill/>
      </xdr:spPr>
    </xdr:pic>
    <xdr:clientData/>
  </xdr:twoCellAnchor>
  <xdr:twoCellAnchor editAs="oneCell">
    <xdr:from>
      <xdr:col>4</xdr:col>
      <xdr:colOff>333375</xdr:colOff>
      <xdr:row>15</xdr:row>
      <xdr:rowOff>190499</xdr:rowOff>
    </xdr:from>
    <xdr:to>
      <xdr:col>5</xdr:col>
      <xdr:colOff>515154</xdr:colOff>
      <xdr:row>21</xdr:row>
      <xdr:rowOff>9524</xdr:rowOff>
    </xdr:to>
    <xdr:pic>
      <xdr:nvPicPr>
        <xdr:cNvPr id="269" name="Picture 12"/>
        <xdr:cNvPicPr>
          <a:picLocks noChangeAspect="1" noChangeArrowheads="1"/>
        </xdr:cNvPicPr>
      </xdr:nvPicPr>
      <xdr:blipFill>
        <a:blip xmlns:r="http://schemas.openxmlformats.org/officeDocument/2006/relationships" r:embed="rId80" cstate="print"/>
        <a:srcRect/>
        <a:stretch>
          <a:fillRect/>
        </a:stretch>
      </xdr:blipFill>
      <xdr:spPr bwMode="auto">
        <a:xfrm>
          <a:off x="2695575" y="3047999"/>
          <a:ext cx="772329" cy="962025"/>
        </a:xfrm>
        <a:prstGeom prst="rect">
          <a:avLst/>
        </a:prstGeom>
        <a:noFill/>
      </xdr:spPr>
    </xdr:pic>
    <xdr:clientData/>
  </xdr:twoCellAnchor>
  <xdr:twoCellAnchor editAs="oneCell">
    <xdr:from>
      <xdr:col>7</xdr:col>
      <xdr:colOff>292100</xdr:colOff>
      <xdr:row>0</xdr:row>
      <xdr:rowOff>41275</xdr:rowOff>
    </xdr:from>
    <xdr:to>
      <xdr:col>8</xdr:col>
      <xdr:colOff>501650</xdr:colOff>
      <xdr:row>5</xdr:row>
      <xdr:rowOff>41275</xdr:rowOff>
    </xdr:to>
    <xdr:pic>
      <xdr:nvPicPr>
        <xdr:cNvPr id="270" name="Picture 14"/>
        <xdr:cNvPicPr>
          <a:picLocks noChangeAspect="1" noChangeArrowheads="1"/>
        </xdr:cNvPicPr>
      </xdr:nvPicPr>
      <xdr:blipFill>
        <a:blip xmlns:r="http://schemas.openxmlformats.org/officeDocument/2006/relationships" r:embed="rId81" cstate="print"/>
        <a:srcRect/>
        <a:stretch>
          <a:fillRect/>
        </a:stretch>
      </xdr:blipFill>
      <xdr:spPr bwMode="auto">
        <a:xfrm>
          <a:off x="4425950" y="41275"/>
          <a:ext cx="800100" cy="952500"/>
        </a:xfrm>
        <a:prstGeom prst="rect">
          <a:avLst/>
        </a:prstGeom>
        <a:noFill/>
      </xdr:spPr>
    </xdr:pic>
    <xdr:clientData/>
  </xdr:twoCellAnchor>
  <xdr:twoCellAnchor editAs="oneCell">
    <xdr:from>
      <xdr:col>8</xdr:col>
      <xdr:colOff>538164</xdr:colOff>
      <xdr:row>10</xdr:row>
      <xdr:rowOff>56356</xdr:rowOff>
    </xdr:from>
    <xdr:to>
      <xdr:col>10</xdr:col>
      <xdr:colOff>107750</xdr:colOff>
      <xdr:row>15</xdr:row>
      <xdr:rowOff>46831</xdr:rowOff>
    </xdr:to>
    <xdr:pic>
      <xdr:nvPicPr>
        <xdr:cNvPr id="271" name="Picture 16"/>
        <xdr:cNvPicPr>
          <a:picLocks noChangeAspect="1" noChangeArrowheads="1"/>
        </xdr:cNvPicPr>
      </xdr:nvPicPr>
      <xdr:blipFill>
        <a:blip xmlns:r="http://schemas.openxmlformats.org/officeDocument/2006/relationships" r:embed="rId82" cstate="print"/>
        <a:srcRect/>
        <a:stretch>
          <a:fillRect/>
        </a:stretch>
      </xdr:blipFill>
      <xdr:spPr bwMode="auto">
        <a:xfrm>
          <a:off x="5300664" y="1961356"/>
          <a:ext cx="760211" cy="942975"/>
        </a:xfrm>
        <a:prstGeom prst="rect">
          <a:avLst/>
        </a:prstGeom>
        <a:noFill/>
      </xdr:spPr>
    </xdr:pic>
    <xdr:clientData/>
  </xdr:twoCellAnchor>
  <xdr:twoCellAnchor editAs="oneCell">
    <xdr:from>
      <xdr:col>11</xdr:col>
      <xdr:colOff>460374</xdr:colOff>
      <xdr:row>15</xdr:row>
      <xdr:rowOff>148431</xdr:rowOff>
    </xdr:from>
    <xdr:to>
      <xdr:col>13</xdr:col>
      <xdr:colOff>79374</xdr:colOff>
      <xdr:row>20</xdr:row>
      <xdr:rowOff>180682</xdr:rowOff>
    </xdr:to>
    <xdr:pic>
      <xdr:nvPicPr>
        <xdr:cNvPr id="272" name="Picture 18"/>
        <xdr:cNvPicPr>
          <a:picLocks noChangeAspect="1" noChangeArrowheads="1"/>
        </xdr:cNvPicPr>
      </xdr:nvPicPr>
      <xdr:blipFill>
        <a:blip xmlns:r="http://schemas.openxmlformats.org/officeDocument/2006/relationships" r:embed="rId83" cstate="print"/>
        <a:srcRect/>
        <a:stretch>
          <a:fillRect/>
        </a:stretch>
      </xdr:blipFill>
      <xdr:spPr bwMode="auto">
        <a:xfrm>
          <a:off x="7008812" y="3005931"/>
          <a:ext cx="809625" cy="984751"/>
        </a:xfrm>
        <a:prstGeom prst="rect">
          <a:avLst/>
        </a:prstGeom>
        <a:noFill/>
      </xdr:spPr>
    </xdr:pic>
    <xdr:clientData/>
  </xdr:twoCellAnchor>
  <xdr:twoCellAnchor editAs="oneCell">
    <xdr:from>
      <xdr:col>19</xdr:col>
      <xdr:colOff>3967</xdr:colOff>
      <xdr:row>20</xdr:row>
      <xdr:rowOff>187325</xdr:rowOff>
    </xdr:from>
    <xdr:to>
      <xdr:col>20</xdr:col>
      <xdr:colOff>208689</xdr:colOff>
      <xdr:row>26</xdr:row>
      <xdr:rowOff>34925</xdr:rowOff>
    </xdr:to>
    <xdr:pic>
      <xdr:nvPicPr>
        <xdr:cNvPr id="273" name="Picture 20"/>
        <xdr:cNvPicPr>
          <a:picLocks noChangeAspect="1" noChangeArrowheads="1"/>
        </xdr:cNvPicPr>
      </xdr:nvPicPr>
      <xdr:blipFill>
        <a:blip xmlns:r="http://schemas.openxmlformats.org/officeDocument/2006/relationships" r:embed="rId84" cstate="print"/>
        <a:srcRect/>
        <a:stretch>
          <a:fillRect/>
        </a:stretch>
      </xdr:blipFill>
      <xdr:spPr bwMode="auto">
        <a:xfrm>
          <a:off x="11314905" y="3997325"/>
          <a:ext cx="800034" cy="990600"/>
        </a:xfrm>
        <a:prstGeom prst="rect">
          <a:avLst/>
        </a:prstGeom>
        <a:noFill/>
      </xdr:spPr>
    </xdr:pic>
    <xdr:clientData/>
  </xdr:twoCellAnchor>
  <xdr:twoCellAnchor editAs="oneCell">
    <xdr:from>
      <xdr:col>23</xdr:col>
      <xdr:colOff>234950</xdr:colOff>
      <xdr:row>0</xdr:row>
      <xdr:rowOff>75950</xdr:rowOff>
    </xdr:from>
    <xdr:to>
      <xdr:col>24</xdr:col>
      <xdr:colOff>446244</xdr:colOff>
      <xdr:row>5</xdr:row>
      <xdr:rowOff>122238</xdr:rowOff>
    </xdr:to>
    <xdr:pic>
      <xdr:nvPicPr>
        <xdr:cNvPr id="274" name="Picture 22"/>
        <xdr:cNvPicPr>
          <a:picLocks noChangeAspect="1" noChangeArrowheads="1"/>
        </xdr:cNvPicPr>
      </xdr:nvPicPr>
      <xdr:blipFill>
        <a:blip xmlns:r="http://schemas.openxmlformats.org/officeDocument/2006/relationships" r:embed="rId85" cstate="print"/>
        <a:srcRect/>
        <a:stretch>
          <a:fillRect/>
        </a:stretch>
      </xdr:blipFill>
      <xdr:spPr bwMode="auto">
        <a:xfrm>
          <a:off x="13927138" y="75950"/>
          <a:ext cx="806606" cy="998788"/>
        </a:xfrm>
        <a:prstGeom prst="rect">
          <a:avLst/>
        </a:prstGeom>
        <a:noFill/>
      </xdr:spPr>
    </xdr:pic>
    <xdr:clientData/>
  </xdr:twoCellAnchor>
  <xdr:twoCellAnchor editAs="oneCell">
    <xdr:from>
      <xdr:col>24</xdr:col>
      <xdr:colOff>584994</xdr:colOff>
      <xdr:row>0</xdr:row>
      <xdr:rowOff>66675</xdr:rowOff>
    </xdr:from>
    <xdr:to>
      <xdr:col>26</xdr:col>
      <xdr:colOff>209695</xdr:colOff>
      <xdr:row>5</xdr:row>
      <xdr:rowOff>123825</xdr:rowOff>
    </xdr:to>
    <xdr:pic>
      <xdr:nvPicPr>
        <xdr:cNvPr id="275" name="Picture 24"/>
        <xdr:cNvPicPr>
          <a:picLocks noChangeAspect="1" noChangeArrowheads="1"/>
        </xdr:cNvPicPr>
      </xdr:nvPicPr>
      <xdr:blipFill>
        <a:blip xmlns:r="http://schemas.openxmlformats.org/officeDocument/2006/relationships" r:embed="rId86" cstate="print"/>
        <a:srcRect/>
        <a:stretch>
          <a:fillRect/>
        </a:stretch>
      </xdr:blipFill>
      <xdr:spPr bwMode="auto">
        <a:xfrm>
          <a:off x="14872494" y="66675"/>
          <a:ext cx="815326" cy="1009650"/>
        </a:xfrm>
        <a:prstGeom prst="rect">
          <a:avLst/>
        </a:prstGeom>
        <a:noFill/>
      </xdr:spPr>
    </xdr:pic>
    <xdr:clientData/>
  </xdr:twoCellAnchor>
  <xdr:twoCellAnchor editAs="oneCell">
    <xdr:from>
      <xdr:col>23</xdr:col>
      <xdr:colOff>238126</xdr:colOff>
      <xdr:row>5</xdr:row>
      <xdr:rowOff>165100</xdr:rowOff>
    </xdr:from>
    <xdr:to>
      <xdr:col>24</xdr:col>
      <xdr:colOff>435200</xdr:colOff>
      <xdr:row>11</xdr:row>
      <xdr:rowOff>3175</xdr:rowOff>
    </xdr:to>
    <xdr:pic>
      <xdr:nvPicPr>
        <xdr:cNvPr id="276" name="Picture 26"/>
        <xdr:cNvPicPr>
          <a:picLocks noChangeAspect="1" noChangeArrowheads="1"/>
        </xdr:cNvPicPr>
      </xdr:nvPicPr>
      <xdr:blipFill>
        <a:blip xmlns:r="http://schemas.openxmlformats.org/officeDocument/2006/relationships" r:embed="rId87" cstate="print"/>
        <a:srcRect/>
        <a:stretch>
          <a:fillRect/>
        </a:stretch>
      </xdr:blipFill>
      <xdr:spPr bwMode="auto">
        <a:xfrm>
          <a:off x="13930314" y="1117600"/>
          <a:ext cx="792386" cy="981075"/>
        </a:xfrm>
        <a:prstGeom prst="rect">
          <a:avLst/>
        </a:prstGeom>
        <a:noFill/>
      </xdr:spPr>
    </xdr:pic>
    <xdr:clientData/>
  </xdr:twoCellAnchor>
  <xdr:twoCellAnchor editAs="oneCell">
    <xdr:from>
      <xdr:col>0</xdr:col>
      <xdr:colOff>76200</xdr:colOff>
      <xdr:row>20</xdr:row>
      <xdr:rowOff>180975</xdr:rowOff>
    </xdr:from>
    <xdr:to>
      <xdr:col>2</xdr:col>
      <xdr:colOff>561975</xdr:colOff>
      <xdr:row>26</xdr:row>
      <xdr:rowOff>0</xdr:rowOff>
    </xdr:to>
    <xdr:pic>
      <xdr:nvPicPr>
        <xdr:cNvPr id="277" name="Picture 28"/>
        <xdr:cNvPicPr>
          <a:picLocks noChangeAspect="1" noChangeArrowheads="1"/>
        </xdr:cNvPicPr>
      </xdr:nvPicPr>
      <xdr:blipFill>
        <a:blip xmlns:r="http://schemas.openxmlformats.org/officeDocument/2006/relationships" r:embed="rId88" cstate="print"/>
        <a:srcRect/>
        <a:stretch>
          <a:fillRect/>
        </a:stretch>
      </xdr:blipFill>
      <xdr:spPr bwMode="auto">
        <a:xfrm>
          <a:off x="76200" y="3990975"/>
          <a:ext cx="1666875" cy="962025"/>
        </a:xfrm>
        <a:prstGeom prst="rect">
          <a:avLst/>
        </a:prstGeom>
        <a:noFill/>
      </xdr:spPr>
    </xdr:pic>
    <xdr:clientData/>
  </xdr:twoCellAnchor>
  <xdr:twoCellAnchor editAs="oneCell">
    <xdr:from>
      <xdr:col>3</xdr:col>
      <xdr:colOff>28575</xdr:colOff>
      <xdr:row>0</xdr:row>
      <xdr:rowOff>57150</xdr:rowOff>
    </xdr:from>
    <xdr:to>
      <xdr:col>5</xdr:col>
      <xdr:colOff>523875</xdr:colOff>
      <xdr:row>5</xdr:row>
      <xdr:rowOff>57149</xdr:rowOff>
    </xdr:to>
    <xdr:pic>
      <xdr:nvPicPr>
        <xdr:cNvPr id="278" name="Picture 30"/>
        <xdr:cNvPicPr>
          <a:picLocks noChangeAspect="1" noChangeArrowheads="1"/>
        </xdr:cNvPicPr>
      </xdr:nvPicPr>
      <xdr:blipFill>
        <a:blip xmlns:r="http://schemas.openxmlformats.org/officeDocument/2006/relationships" r:embed="rId89" cstate="print"/>
        <a:srcRect/>
        <a:stretch>
          <a:fillRect/>
        </a:stretch>
      </xdr:blipFill>
      <xdr:spPr bwMode="auto">
        <a:xfrm>
          <a:off x="1800225" y="57150"/>
          <a:ext cx="1676400" cy="952499"/>
        </a:xfrm>
        <a:prstGeom prst="rect">
          <a:avLst/>
        </a:prstGeom>
        <a:noFill/>
      </xdr:spPr>
    </xdr:pic>
    <xdr:clientData/>
  </xdr:twoCellAnchor>
  <xdr:twoCellAnchor editAs="oneCell">
    <xdr:from>
      <xdr:col>11</xdr:col>
      <xdr:colOff>429418</xdr:colOff>
      <xdr:row>21</xdr:row>
      <xdr:rowOff>11114</xdr:rowOff>
    </xdr:from>
    <xdr:to>
      <xdr:col>14</xdr:col>
      <xdr:colOff>324643</xdr:colOff>
      <xdr:row>26</xdr:row>
      <xdr:rowOff>20638</xdr:rowOff>
    </xdr:to>
    <xdr:pic>
      <xdr:nvPicPr>
        <xdr:cNvPr id="279" name="Picture 32"/>
        <xdr:cNvPicPr>
          <a:picLocks noChangeAspect="1" noChangeArrowheads="1"/>
        </xdr:cNvPicPr>
      </xdr:nvPicPr>
      <xdr:blipFill>
        <a:blip xmlns:r="http://schemas.openxmlformats.org/officeDocument/2006/relationships" r:embed="rId90" cstate="print"/>
        <a:srcRect/>
        <a:stretch>
          <a:fillRect/>
        </a:stretch>
      </xdr:blipFill>
      <xdr:spPr bwMode="auto">
        <a:xfrm>
          <a:off x="6977856" y="4011614"/>
          <a:ext cx="1681162" cy="962024"/>
        </a:xfrm>
        <a:prstGeom prst="rect">
          <a:avLst/>
        </a:prstGeom>
        <a:noFill/>
      </xdr:spPr>
    </xdr:pic>
    <xdr:clientData/>
  </xdr:twoCellAnchor>
  <xdr:twoCellAnchor editAs="oneCell">
    <xdr:from>
      <xdr:col>23</xdr:col>
      <xdr:colOff>212725</xdr:colOff>
      <xdr:row>26</xdr:row>
      <xdr:rowOff>130970</xdr:rowOff>
    </xdr:from>
    <xdr:to>
      <xdr:col>26</xdr:col>
      <xdr:colOff>117476</xdr:colOff>
      <xdr:row>31</xdr:row>
      <xdr:rowOff>130969</xdr:rowOff>
    </xdr:to>
    <xdr:pic>
      <xdr:nvPicPr>
        <xdr:cNvPr id="280" name="Picture 34"/>
        <xdr:cNvPicPr>
          <a:picLocks noChangeAspect="1" noChangeArrowheads="1"/>
        </xdr:cNvPicPr>
      </xdr:nvPicPr>
      <xdr:blipFill>
        <a:blip xmlns:r="http://schemas.openxmlformats.org/officeDocument/2006/relationships" r:embed="rId91" cstate="print"/>
        <a:srcRect/>
        <a:stretch>
          <a:fillRect/>
        </a:stretch>
      </xdr:blipFill>
      <xdr:spPr bwMode="auto">
        <a:xfrm>
          <a:off x="13904913" y="5083970"/>
          <a:ext cx="1690688" cy="952499"/>
        </a:xfrm>
        <a:prstGeom prst="rect">
          <a:avLst/>
        </a:prstGeom>
        <a:noFill/>
      </xdr:spPr>
    </xdr:pic>
    <xdr:clientData/>
  </xdr:twoCellAnchor>
  <xdr:twoCellAnchor editAs="oneCell">
    <xdr:from>
      <xdr:col>5</xdr:col>
      <xdr:colOff>593725</xdr:colOff>
      <xdr:row>5</xdr:row>
      <xdr:rowOff>76200</xdr:rowOff>
    </xdr:from>
    <xdr:to>
      <xdr:col>8</xdr:col>
      <xdr:colOff>482600</xdr:colOff>
      <xdr:row>15</xdr:row>
      <xdr:rowOff>76200</xdr:rowOff>
    </xdr:to>
    <xdr:pic>
      <xdr:nvPicPr>
        <xdr:cNvPr id="281" name="Picture 36"/>
        <xdr:cNvPicPr>
          <a:picLocks noChangeAspect="1" noChangeArrowheads="1"/>
        </xdr:cNvPicPr>
      </xdr:nvPicPr>
      <xdr:blipFill>
        <a:blip xmlns:r="http://schemas.openxmlformats.org/officeDocument/2006/relationships" r:embed="rId92" cstate="print"/>
        <a:srcRect/>
        <a:stretch>
          <a:fillRect/>
        </a:stretch>
      </xdr:blipFill>
      <xdr:spPr bwMode="auto">
        <a:xfrm>
          <a:off x="3546475" y="1028700"/>
          <a:ext cx="1660525" cy="1905000"/>
        </a:xfrm>
        <a:prstGeom prst="rect">
          <a:avLst/>
        </a:prstGeom>
        <a:noFill/>
      </xdr:spPr>
    </xdr:pic>
    <xdr:clientData/>
  </xdr:twoCellAnchor>
  <xdr:twoCellAnchor editAs="oneCell">
    <xdr:from>
      <xdr:col>8</xdr:col>
      <xdr:colOff>504824</xdr:colOff>
      <xdr:row>31</xdr:row>
      <xdr:rowOff>74612</xdr:rowOff>
    </xdr:from>
    <xdr:to>
      <xdr:col>11</xdr:col>
      <xdr:colOff>384404</xdr:colOff>
      <xdr:row>41</xdr:row>
      <xdr:rowOff>65087</xdr:rowOff>
    </xdr:to>
    <xdr:pic>
      <xdr:nvPicPr>
        <xdr:cNvPr id="282" name="Picture 38"/>
        <xdr:cNvPicPr>
          <a:picLocks noChangeAspect="1" noChangeArrowheads="1"/>
        </xdr:cNvPicPr>
      </xdr:nvPicPr>
      <xdr:blipFill>
        <a:blip xmlns:r="http://schemas.openxmlformats.org/officeDocument/2006/relationships" r:embed="rId93" cstate="print"/>
        <a:srcRect/>
        <a:stretch>
          <a:fillRect/>
        </a:stretch>
      </xdr:blipFill>
      <xdr:spPr bwMode="auto">
        <a:xfrm>
          <a:off x="5267324" y="5980112"/>
          <a:ext cx="1665518" cy="1895475"/>
        </a:xfrm>
        <a:prstGeom prst="rect">
          <a:avLst/>
        </a:prstGeom>
        <a:noFill/>
      </xdr:spPr>
    </xdr:pic>
    <xdr:clientData/>
  </xdr:twoCellAnchor>
  <xdr:twoCellAnchor editAs="oneCell">
    <xdr:from>
      <xdr:col>5</xdr:col>
      <xdr:colOff>555625</xdr:colOff>
      <xdr:row>15</xdr:row>
      <xdr:rowOff>130175</xdr:rowOff>
    </xdr:from>
    <xdr:to>
      <xdr:col>8</xdr:col>
      <xdr:colOff>450850</xdr:colOff>
      <xdr:row>25</xdr:row>
      <xdr:rowOff>120650</xdr:rowOff>
    </xdr:to>
    <xdr:pic>
      <xdr:nvPicPr>
        <xdr:cNvPr id="283" name="Picture 40"/>
        <xdr:cNvPicPr>
          <a:picLocks noChangeAspect="1" noChangeArrowheads="1"/>
        </xdr:cNvPicPr>
      </xdr:nvPicPr>
      <xdr:blipFill>
        <a:blip xmlns:r="http://schemas.openxmlformats.org/officeDocument/2006/relationships" r:embed="rId94" cstate="print"/>
        <a:srcRect/>
        <a:stretch>
          <a:fillRect/>
        </a:stretch>
      </xdr:blipFill>
      <xdr:spPr bwMode="auto">
        <a:xfrm>
          <a:off x="3508375" y="2987675"/>
          <a:ext cx="1666875" cy="1895475"/>
        </a:xfrm>
        <a:prstGeom prst="rect">
          <a:avLst/>
        </a:prstGeom>
        <a:noFill/>
      </xdr:spPr>
    </xdr:pic>
    <xdr:clientData/>
  </xdr:twoCellAnchor>
  <xdr:twoCellAnchor editAs="oneCell">
    <xdr:from>
      <xdr:col>26</xdr:col>
      <xdr:colOff>345282</xdr:colOff>
      <xdr:row>10</xdr:row>
      <xdr:rowOff>142874</xdr:rowOff>
    </xdr:from>
    <xdr:to>
      <xdr:col>27</xdr:col>
      <xdr:colOff>535781</xdr:colOff>
      <xdr:row>15</xdr:row>
      <xdr:rowOff>142875</xdr:rowOff>
    </xdr:to>
    <xdr:pic>
      <xdr:nvPicPr>
        <xdr:cNvPr id="136194" name="Picture 2"/>
        <xdr:cNvPicPr>
          <a:picLocks noChangeAspect="1" noChangeArrowheads="1"/>
        </xdr:cNvPicPr>
      </xdr:nvPicPr>
      <xdr:blipFill>
        <a:blip xmlns:r="http://schemas.openxmlformats.org/officeDocument/2006/relationships" r:embed="rId95" cstate="print"/>
        <a:srcRect/>
        <a:stretch>
          <a:fillRect/>
        </a:stretch>
      </xdr:blipFill>
      <xdr:spPr bwMode="auto">
        <a:xfrm>
          <a:off x="15823407" y="2047874"/>
          <a:ext cx="785812" cy="952501"/>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22412</xdr:colOff>
      <xdr:row>1</xdr:row>
      <xdr:rowOff>11205</xdr:rowOff>
    </xdr:from>
    <xdr:to>
      <xdr:col>13</xdr:col>
      <xdr:colOff>593912</xdr:colOff>
      <xdr:row>44</xdr:row>
      <xdr:rowOff>164505</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32012" y="201705"/>
          <a:ext cx="7886700" cy="8344800"/>
        </a:xfrm>
        <a:prstGeom prst="rect">
          <a:avLst/>
        </a:prstGeom>
        <a:ln w="25400">
          <a:solidFill>
            <a:schemeClr val="accent1"/>
          </a:solidFill>
        </a:ln>
      </xdr:spPr>
    </xdr:pic>
    <xdr:clientData/>
  </xdr:twoCellAnchor>
  <xdr:twoCellAnchor editAs="oneCell">
    <xdr:from>
      <xdr:col>15</xdr:col>
      <xdr:colOff>11205</xdr:colOff>
      <xdr:row>1</xdr:row>
      <xdr:rowOff>11206</xdr:rowOff>
    </xdr:from>
    <xdr:to>
      <xdr:col>27</xdr:col>
      <xdr:colOff>582705</xdr:colOff>
      <xdr:row>44</xdr:row>
      <xdr:rowOff>164506</xdr:rowOff>
    </xdr:to>
    <xdr:pic>
      <xdr:nvPicPr>
        <xdr:cNvPr id="3" name="Picture 2"/>
        <xdr:cNvPicPr>
          <a:picLocks noChangeAspect="1"/>
        </xdr:cNvPicPr>
      </xdr:nvPicPr>
      <xdr:blipFill>
        <a:blip xmlns:r="http://schemas.openxmlformats.org/officeDocument/2006/relationships" r:embed="rId1" cstate="print"/>
        <a:stretch>
          <a:fillRect/>
        </a:stretch>
      </xdr:blipFill>
      <xdr:spPr>
        <a:xfrm>
          <a:off x="9155205" y="201706"/>
          <a:ext cx="7886700" cy="8344800"/>
        </a:xfrm>
        <a:prstGeom prst="rect">
          <a:avLst/>
        </a:prstGeom>
        <a:ln w="25400">
          <a:solidFill>
            <a:schemeClr val="accent1"/>
          </a:solidFill>
        </a:ln>
      </xdr:spPr>
    </xdr:pic>
    <xdr:clientData/>
  </xdr:twoCellAnchor>
  <xdr:twoCellAnchor editAs="oneCell">
    <xdr:from>
      <xdr:col>29</xdr:col>
      <xdr:colOff>6723</xdr:colOff>
      <xdr:row>1</xdr:row>
      <xdr:rowOff>17930</xdr:rowOff>
    </xdr:from>
    <xdr:to>
      <xdr:col>41</xdr:col>
      <xdr:colOff>578222</xdr:colOff>
      <xdr:row>44</xdr:row>
      <xdr:rowOff>171230</xdr:rowOff>
    </xdr:to>
    <xdr:pic>
      <xdr:nvPicPr>
        <xdr:cNvPr id="4" name="Picture 3"/>
        <xdr:cNvPicPr>
          <a:picLocks noChangeAspect="1"/>
        </xdr:cNvPicPr>
      </xdr:nvPicPr>
      <xdr:blipFill>
        <a:blip xmlns:r="http://schemas.openxmlformats.org/officeDocument/2006/relationships" r:embed="rId1" cstate="print"/>
        <a:stretch>
          <a:fillRect/>
        </a:stretch>
      </xdr:blipFill>
      <xdr:spPr>
        <a:xfrm>
          <a:off x="17685123" y="208430"/>
          <a:ext cx="7886699" cy="8344800"/>
        </a:xfrm>
        <a:prstGeom prst="rect">
          <a:avLst/>
        </a:prstGeom>
        <a:ln w="25400">
          <a:solidFill>
            <a:schemeClr val="accent1"/>
          </a:solidFill>
        </a:ln>
      </xdr:spPr>
    </xdr:pic>
    <xdr:clientData/>
  </xdr:twoCellAnchor>
  <xdr:twoCellAnchor editAs="oneCell">
    <xdr:from>
      <xdr:col>1</xdr:col>
      <xdr:colOff>22412</xdr:colOff>
      <xdr:row>46</xdr:row>
      <xdr:rowOff>22412</xdr:rowOff>
    </xdr:from>
    <xdr:to>
      <xdr:col>13</xdr:col>
      <xdr:colOff>593912</xdr:colOff>
      <xdr:row>89</xdr:row>
      <xdr:rowOff>175712</xdr:rowOff>
    </xdr:to>
    <xdr:pic>
      <xdr:nvPicPr>
        <xdr:cNvPr id="5" name="Picture 4"/>
        <xdr:cNvPicPr>
          <a:picLocks noChangeAspect="1"/>
        </xdr:cNvPicPr>
      </xdr:nvPicPr>
      <xdr:blipFill>
        <a:blip xmlns:r="http://schemas.openxmlformats.org/officeDocument/2006/relationships" r:embed="rId1" cstate="print"/>
        <a:stretch>
          <a:fillRect/>
        </a:stretch>
      </xdr:blipFill>
      <xdr:spPr>
        <a:xfrm>
          <a:off x="632012" y="8785412"/>
          <a:ext cx="7886700" cy="8344800"/>
        </a:xfrm>
        <a:prstGeom prst="rect">
          <a:avLst/>
        </a:prstGeom>
        <a:ln w="25400">
          <a:solidFill>
            <a:schemeClr val="accent1"/>
          </a:solidFill>
        </a:ln>
      </xdr:spPr>
    </xdr:pic>
    <xdr:clientData/>
  </xdr:twoCellAnchor>
  <xdr:twoCellAnchor editAs="oneCell">
    <xdr:from>
      <xdr:col>15</xdr:col>
      <xdr:colOff>11205</xdr:colOff>
      <xdr:row>46</xdr:row>
      <xdr:rowOff>22413</xdr:rowOff>
    </xdr:from>
    <xdr:to>
      <xdr:col>27</xdr:col>
      <xdr:colOff>582705</xdr:colOff>
      <xdr:row>89</xdr:row>
      <xdr:rowOff>175713</xdr:rowOff>
    </xdr:to>
    <xdr:pic>
      <xdr:nvPicPr>
        <xdr:cNvPr id="6" name="Picture 5"/>
        <xdr:cNvPicPr>
          <a:picLocks noChangeAspect="1"/>
        </xdr:cNvPicPr>
      </xdr:nvPicPr>
      <xdr:blipFill>
        <a:blip xmlns:r="http://schemas.openxmlformats.org/officeDocument/2006/relationships" r:embed="rId1" cstate="print"/>
        <a:stretch>
          <a:fillRect/>
        </a:stretch>
      </xdr:blipFill>
      <xdr:spPr>
        <a:xfrm>
          <a:off x="9155205" y="8785413"/>
          <a:ext cx="7886700" cy="8344800"/>
        </a:xfrm>
        <a:prstGeom prst="rect">
          <a:avLst/>
        </a:prstGeom>
        <a:ln w="25400">
          <a:solidFill>
            <a:schemeClr val="accent1"/>
          </a:solidFill>
        </a:ln>
      </xdr:spPr>
    </xdr:pic>
    <xdr:clientData/>
  </xdr:twoCellAnchor>
  <xdr:twoCellAnchor editAs="oneCell">
    <xdr:from>
      <xdr:col>29</xdr:col>
      <xdr:colOff>6723</xdr:colOff>
      <xdr:row>46</xdr:row>
      <xdr:rowOff>29137</xdr:rowOff>
    </xdr:from>
    <xdr:to>
      <xdr:col>41</xdr:col>
      <xdr:colOff>578222</xdr:colOff>
      <xdr:row>89</xdr:row>
      <xdr:rowOff>182437</xdr:rowOff>
    </xdr:to>
    <xdr:pic>
      <xdr:nvPicPr>
        <xdr:cNvPr id="7" name="Picture 6"/>
        <xdr:cNvPicPr>
          <a:picLocks noChangeAspect="1"/>
        </xdr:cNvPicPr>
      </xdr:nvPicPr>
      <xdr:blipFill>
        <a:blip xmlns:r="http://schemas.openxmlformats.org/officeDocument/2006/relationships" r:embed="rId1" cstate="print"/>
        <a:stretch>
          <a:fillRect/>
        </a:stretch>
      </xdr:blipFill>
      <xdr:spPr>
        <a:xfrm>
          <a:off x="17685123" y="8792137"/>
          <a:ext cx="7886699" cy="8344800"/>
        </a:xfrm>
        <a:prstGeom prst="rect">
          <a:avLst/>
        </a:prstGeom>
        <a:ln w="25400">
          <a:solidFill>
            <a:schemeClr val="accent1"/>
          </a:solidFill>
        </a:ln>
      </xdr:spPr>
    </xdr:pic>
    <xdr:clientData/>
  </xdr:twoCellAnchor>
  <xdr:twoCellAnchor editAs="oneCell">
    <xdr:from>
      <xdr:col>3</xdr:col>
      <xdr:colOff>38100</xdr:colOff>
      <xdr:row>6</xdr:row>
      <xdr:rowOff>145675</xdr:rowOff>
    </xdr:from>
    <xdr:to>
      <xdr:col>4</xdr:col>
      <xdr:colOff>235935</xdr:colOff>
      <xdr:row>11</xdr:row>
      <xdr:rowOff>147175</xdr:rowOff>
    </xdr:to>
    <xdr:pic>
      <xdr:nvPicPr>
        <xdr:cNvPr id="8" name="Picture 204"/>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53453" y="1501587"/>
          <a:ext cx="802953" cy="9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22412</xdr:colOff>
      <xdr:row>1</xdr:row>
      <xdr:rowOff>22412</xdr:rowOff>
    </xdr:from>
    <xdr:to>
      <xdr:col>13</xdr:col>
      <xdr:colOff>593912</xdr:colOff>
      <xdr:row>44</xdr:row>
      <xdr:rowOff>175712</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32012" y="212912"/>
          <a:ext cx="7886700" cy="8344800"/>
        </a:xfrm>
        <a:prstGeom prst="rect">
          <a:avLst/>
        </a:prstGeom>
        <a:ln w="25400">
          <a:solidFill>
            <a:schemeClr val="accent1"/>
          </a:solidFill>
        </a:ln>
      </xdr:spPr>
    </xdr:pic>
    <xdr:clientData/>
  </xdr:twoCellAnchor>
  <xdr:twoCellAnchor editAs="oneCell">
    <xdr:from>
      <xdr:col>15</xdr:col>
      <xdr:colOff>11205</xdr:colOff>
      <xdr:row>1</xdr:row>
      <xdr:rowOff>22413</xdr:rowOff>
    </xdr:from>
    <xdr:to>
      <xdr:col>27</xdr:col>
      <xdr:colOff>582705</xdr:colOff>
      <xdr:row>44</xdr:row>
      <xdr:rowOff>175713</xdr:rowOff>
    </xdr:to>
    <xdr:pic>
      <xdr:nvPicPr>
        <xdr:cNvPr id="3" name="Picture 2"/>
        <xdr:cNvPicPr>
          <a:picLocks noChangeAspect="1"/>
        </xdr:cNvPicPr>
      </xdr:nvPicPr>
      <xdr:blipFill>
        <a:blip xmlns:r="http://schemas.openxmlformats.org/officeDocument/2006/relationships" r:embed="rId1" cstate="print"/>
        <a:stretch>
          <a:fillRect/>
        </a:stretch>
      </xdr:blipFill>
      <xdr:spPr>
        <a:xfrm>
          <a:off x="9155205" y="212913"/>
          <a:ext cx="7886700" cy="8344800"/>
        </a:xfrm>
        <a:prstGeom prst="rect">
          <a:avLst/>
        </a:prstGeom>
        <a:ln w="25400">
          <a:solidFill>
            <a:schemeClr val="accent1"/>
          </a:solidFill>
        </a:ln>
      </xdr:spPr>
    </xdr:pic>
    <xdr:clientData/>
  </xdr:twoCellAnchor>
  <xdr:twoCellAnchor editAs="oneCell">
    <xdr:from>
      <xdr:col>29</xdr:col>
      <xdr:colOff>6723</xdr:colOff>
      <xdr:row>1</xdr:row>
      <xdr:rowOff>29137</xdr:rowOff>
    </xdr:from>
    <xdr:to>
      <xdr:col>41</xdr:col>
      <xdr:colOff>578222</xdr:colOff>
      <xdr:row>44</xdr:row>
      <xdr:rowOff>182437</xdr:rowOff>
    </xdr:to>
    <xdr:pic>
      <xdr:nvPicPr>
        <xdr:cNvPr id="4" name="Picture 3"/>
        <xdr:cNvPicPr>
          <a:picLocks noChangeAspect="1"/>
        </xdr:cNvPicPr>
      </xdr:nvPicPr>
      <xdr:blipFill>
        <a:blip xmlns:r="http://schemas.openxmlformats.org/officeDocument/2006/relationships" r:embed="rId1" cstate="print"/>
        <a:stretch>
          <a:fillRect/>
        </a:stretch>
      </xdr:blipFill>
      <xdr:spPr>
        <a:xfrm>
          <a:off x="17685123" y="219637"/>
          <a:ext cx="7886699" cy="8344800"/>
        </a:xfrm>
        <a:prstGeom prst="rect">
          <a:avLst/>
        </a:prstGeom>
        <a:ln w="25400">
          <a:solidFill>
            <a:schemeClr val="accent1"/>
          </a:solidFill>
        </a:ln>
      </xdr:spPr>
    </xdr:pic>
    <xdr:clientData/>
  </xdr:twoCellAnchor>
  <xdr:twoCellAnchor editAs="oneCell">
    <xdr:from>
      <xdr:col>1</xdr:col>
      <xdr:colOff>22412</xdr:colOff>
      <xdr:row>46</xdr:row>
      <xdr:rowOff>22413</xdr:rowOff>
    </xdr:from>
    <xdr:to>
      <xdr:col>13</xdr:col>
      <xdr:colOff>593912</xdr:colOff>
      <xdr:row>89</xdr:row>
      <xdr:rowOff>175713</xdr:rowOff>
    </xdr:to>
    <xdr:pic>
      <xdr:nvPicPr>
        <xdr:cNvPr id="5" name="Picture 4"/>
        <xdr:cNvPicPr>
          <a:picLocks noChangeAspect="1"/>
        </xdr:cNvPicPr>
      </xdr:nvPicPr>
      <xdr:blipFill>
        <a:blip xmlns:r="http://schemas.openxmlformats.org/officeDocument/2006/relationships" r:embed="rId1" cstate="print"/>
        <a:stretch>
          <a:fillRect/>
        </a:stretch>
      </xdr:blipFill>
      <xdr:spPr>
        <a:xfrm>
          <a:off x="632012" y="8785413"/>
          <a:ext cx="7886700" cy="8344800"/>
        </a:xfrm>
        <a:prstGeom prst="rect">
          <a:avLst/>
        </a:prstGeom>
        <a:ln w="25400">
          <a:solidFill>
            <a:schemeClr val="accent1"/>
          </a:solidFill>
        </a:ln>
      </xdr:spPr>
    </xdr:pic>
    <xdr:clientData/>
  </xdr:twoCellAnchor>
  <xdr:twoCellAnchor editAs="oneCell">
    <xdr:from>
      <xdr:col>15</xdr:col>
      <xdr:colOff>11205</xdr:colOff>
      <xdr:row>46</xdr:row>
      <xdr:rowOff>22414</xdr:rowOff>
    </xdr:from>
    <xdr:to>
      <xdr:col>27</xdr:col>
      <xdr:colOff>582705</xdr:colOff>
      <xdr:row>89</xdr:row>
      <xdr:rowOff>175714</xdr:rowOff>
    </xdr:to>
    <xdr:pic>
      <xdr:nvPicPr>
        <xdr:cNvPr id="6" name="Picture 5"/>
        <xdr:cNvPicPr>
          <a:picLocks noChangeAspect="1"/>
        </xdr:cNvPicPr>
      </xdr:nvPicPr>
      <xdr:blipFill>
        <a:blip xmlns:r="http://schemas.openxmlformats.org/officeDocument/2006/relationships" r:embed="rId1" cstate="print"/>
        <a:stretch>
          <a:fillRect/>
        </a:stretch>
      </xdr:blipFill>
      <xdr:spPr>
        <a:xfrm>
          <a:off x="9155205" y="8785414"/>
          <a:ext cx="7886700" cy="8344800"/>
        </a:xfrm>
        <a:prstGeom prst="rect">
          <a:avLst/>
        </a:prstGeom>
        <a:ln w="25400">
          <a:solidFill>
            <a:schemeClr val="accent1"/>
          </a:solidFill>
        </a:ln>
      </xdr:spPr>
    </xdr:pic>
    <xdr:clientData/>
  </xdr:twoCellAnchor>
  <xdr:twoCellAnchor editAs="oneCell">
    <xdr:from>
      <xdr:col>29</xdr:col>
      <xdr:colOff>6723</xdr:colOff>
      <xdr:row>46</xdr:row>
      <xdr:rowOff>29138</xdr:rowOff>
    </xdr:from>
    <xdr:to>
      <xdr:col>41</xdr:col>
      <xdr:colOff>578222</xdr:colOff>
      <xdr:row>89</xdr:row>
      <xdr:rowOff>182438</xdr:rowOff>
    </xdr:to>
    <xdr:pic>
      <xdr:nvPicPr>
        <xdr:cNvPr id="7" name="Picture 6"/>
        <xdr:cNvPicPr>
          <a:picLocks noChangeAspect="1"/>
        </xdr:cNvPicPr>
      </xdr:nvPicPr>
      <xdr:blipFill>
        <a:blip xmlns:r="http://schemas.openxmlformats.org/officeDocument/2006/relationships" r:embed="rId1" cstate="print"/>
        <a:stretch>
          <a:fillRect/>
        </a:stretch>
      </xdr:blipFill>
      <xdr:spPr>
        <a:xfrm>
          <a:off x="17685123" y="8792138"/>
          <a:ext cx="7886699" cy="8344800"/>
        </a:xfrm>
        <a:prstGeom prst="rect">
          <a:avLst/>
        </a:prstGeom>
        <a:ln w="25400">
          <a:solidFill>
            <a:schemeClr val="accent1"/>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22412</xdr:colOff>
      <xdr:row>1</xdr:row>
      <xdr:rowOff>11205</xdr:rowOff>
    </xdr:from>
    <xdr:to>
      <xdr:col>13</xdr:col>
      <xdr:colOff>593912</xdr:colOff>
      <xdr:row>44</xdr:row>
      <xdr:rowOff>164505</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32012" y="411255"/>
          <a:ext cx="7886700" cy="8344800"/>
        </a:xfrm>
        <a:prstGeom prst="rect">
          <a:avLst/>
        </a:prstGeom>
        <a:ln w="25400">
          <a:solidFill>
            <a:schemeClr val="accent1"/>
          </a:solidFill>
        </a:ln>
      </xdr:spPr>
    </xdr:pic>
    <xdr:clientData/>
  </xdr:twoCellAnchor>
  <xdr:twoCellAnchor editAs="oneCell">
    <xdr:from>
      <xdr:col>15</xdr:col>
      <xdr:colOff>11205</xdr:colOff>
      <xdr:row>1</xdr:row>
      <xdr:rowOff>11206</xdr:rowOff>
    </xdr:from>
    <xdr:to>
      <xdr:col>27</xdr:col>
      <xdr:colOff>582705</xdr:colOff>
      <xdr:row>44</xdr:row>
      <xdr:rowOff>164506</xdr:rowOff>
    </xdr:to>
    <xdr:pic>
      <xdr:nvPicPr>
        <xdr:cNvPr id="3" name="Picture 2"/>
        <xdr:cNvPicPr>
          <a:picLocks noChangeAspect="1"/>
        </xdr:cNvPicPr>
      </xdr:nvPicPr>
      <xdr:blipFill>
        <a:blip xmlns:r="http://schemas.openxmlformats.org/officeDocument/2006/relationships" r:embed="rId1" cstate="print"/>
        <a:stretch>
          <a:fillRect/>
        </a:stretch>
      </xdr:blipFill>
      <xdr:spPr>
        <a:xfrm>
          <a:off x="9155205" y="411256"/>
          <a:ext cx="7886700" cy="8344800"/>
        </a:xfrm>
        <a:prstGeom prst="rect">
          <a:avLst/>
        </a:prstGeom>
        <a:ln w="25400">
          <a:solidFill>
            <a:schemeClr val="accent1"/>
          </a:solidFill>
        </a:ln>
      </xdr:spPr>
    </xdr:pic>
    <xdr:clientData/>
  </xdr:twoCellAnchor>
  <xdr:twoCellAnchor editAs="oneCell">
    <xdr:from>
      <xdr:col>29</xdr:col>
      <xdr:colOff>6723</xdr:colOff>
      <xdr:row>1</xdr:row>
      <xdr:rowOff>17930</xdr:rowOff>
    </xdr:from>
    <xdr:to>
      <xdr:col>41</xdr:col>
      <xdr:colOff>578222</xdr:colOff>
      <xdr:row>44</xdr:row>
      <xdr:rowOff>171230</xdr:rowOff>
    </xdr:to>
    <xdr:pic>
      <xdr:nvPicPr>
        <xdr:cNvPr id="4" name="Picture 3"/>
        <xdr:cNvPicPr>
          <a:picLocks noChangeAspect="1"/>
        </xdr:cNvPicPr>
      </xdr:nvPicPr>
      <xdr:blipFill>
        <a:blip xmlns:r="http://schemas.openxmlformats.org/officeDocument/2006/relationships" r:embed="rId1" cstate="print"/>
        <a:stretch>
          <a:fillRect/>
        </a:stretch>
      </xdr:blipFill>
      <xdr:spPr>
        <a:xfrm>
          <a:off x="17685123" y="417980"/>
          <a:ext cx="7886699" cy="8344800"/>
        </a:xfrm>
        <a:prstGeom prst="rect">
          <a:avLst/>
        </a:prstGeom>
        <a:ln w="25400">
          <a:solidFill>
            <a:schemeClr val="accent1"/>
          </a:solidFill>
        </a:ln>
      </xdr:spPr>
    </xdr:pic>
    <xdr:clientData/>
  </xdr:twoCellAnchor>
  <xdr:twoCellAnchor editAs="oneCell">
    <xdr:from>
      <xdr:col>1</xdr:col>
      <xdr:colOff>22412</xdr:colOff>
      <xdr:row>46</xdr:row>
      <xdr:rowOff>22412</xdr:rowOff>
    </xdr:from>
    <xdr:to>
      <xdr:col>13</xdr:col>
      <xdr:colOff>593912</xdr:colOff>
      <xdr:row>89</xdr:row>
      <xdr:rowOff>175712</xdr:rowOff>
    </xdr:to>
    <xdr:pic>
      <xdr:nvPicPr>
        <xdr:cNvPr id="5" name="Picture 4"/>
        <xdr:cNvPicPr>
          <a:picLocks noChangeAspect="1"/>
        </xdr:cNvPicPr>
      </xdr:nvPicPr>
      <xdr:blipFill>
        <a:blip xmlns:r="http://schemas.openxmlformats.org/officeDocument/2006/relationships" r:embed="rId1" cstate="print"/>
        <a:stretch>
          <a:fillRect/>
        </a:stretch>
      </xdr:blipFill>
      <xdr:spPr>
        <a:xfrm>
          <a:off x="632012" y="9185462"/>
          <a:ext cx="7886700" cy="8344800"/>
        </a:xfrm>
        <a:prstGeom prst="rect">
          <a:avLst/>
        </a:prstGeom>
        <a:ln w="25400">
          <a:solidFill>
            <a:schemeClr val="accent1"/>
          </a:solidFill>
        </a:ln>
      </xdr:spPr>
    </xdr:pic>
    <xdr:clientData/>
  </xdr:twoCellAnchor>
  <xdr:twoCellAnchor editAs="oneCell">
    <xdr:from>
      <xdr:col>15</xdr:col>
      <xdr:colOff>11205</xdr:colOff>
      <xdr:row>46</xdr:row>
      <xdr:rowOff>22413</xdr:rowOff>
    </xdr:from>
    <xdr:to>
      <xdr:col>27</xdr:col>
      <xdr:colOff>582705</xdr:colOff>
      <xdr:row>89</xdr:row>
      <xdr:rowOff>175713</xdr:rowOff>
    </xdr:to>
    <xdr:pic>
      <xdr:nvPicPr>
        <xdr:cNvPr id="6" name="Picture 5"/>
        <xdr:cNvPicPr>
          <a:picLocks noChangeAspect="1"/>
        </xdr:cNvPicPr>
      </xdr:nvPicPr>
      <xdr:blipFill>
        <a:blip xmlns:r="http://schemas.openxmlformats.org/officeDocument/2006/relationships" r:embed="rId1" cstate="print"/>
        <a:stretch>
          <a:fillRect/>
        </a:stretch>
      </xdr:blipFill>
      <xdr:spPr>
        <a:xfrm>
          <a:off x="9155205" y="9185463"/>
          <a:ext cx="7886700" cy="8344800"/>
        </a:xfrm>
        <a:prstGeom prst="rect">
          <a:avLst/>
        </a:prstGeom>
        <a:ln w="25400">
          <a:solidFill>
            <a:schemeClr val="accent1"/>
          </a:solidFill>
        </a:ln>
      </xdr:spPr>
    </xdr:pic>
    <xdr:clientData/>
  </xdr:twoCellAnchor>
  <xdr:twoCellAnchor editAs="oneCell">
    <xdr:from>
      <xdr:col>29</xdr:col>
      <xdr:colOff>6723</xdr:colOff>
      <xdr:row>46</xdr:row>
      <xdr:rowOff>29137</xdr:rowOff>
    </xdr:from>
    <xdr:to>
      <xdr:col>41</xdr:col>
      <xdr:colOff>578222</xdr:colOff>
      <xdr:row>89</xdr:row>
      <xdr:rowOff>182437</xdr:rowOff>
    </xdr:to>
    <xdr:pic>
      <xdr:nvPicPr>
        <xdr:cNvPr id="7" name="Picture 6"/>
        <xdr:cNvPicPr>
          <a:picLocks noChangeAspect="1"/>
        </xdr:cNvPicPr>
      </xdr:nvPicPr>
      <xdr:blipFill>
        <a:blip xmlns:r="http://schemas.openxmlformats.org/officeDocument/2006/relationships" r:embed="rId1" cstate="print"/>
        <a:stretch>
          <a:fillRect/>
        </a:stretch>
      </xdr:blipFill>
      <xdr:spPr>
        <a:xfrm>
          <a:off x="17685123" y="9192187"/>
          <a:ext cx="7886699" cy="8344800"/>
        </a:xfrm>
        <a:prstGeom prst="rect">
          <a:avLst/>
        </a:prstGeom>
        <a:ln w="25400">
          <a:solidFill>
            <a:schemeClr val="accent1"/>
          </a:solid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Kingdom_Build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all"/>
      <sheetName val="Kingdom"/>
      <sheetName val="Treasury"/>
      <sheetName val="Buildings_Data"/>
      <sheetName val="City"/>
      <sheetName val="City2"/>
      <sheetName val="Other_Data"/>
      <sheetName val="Other2_Data"/>
      <sheetName val="Characters_Data"/>
    </sheetNames>
    <sheetDataSet>
      <sheetData sheetId="0"/>
      <sheetData sheetId="1"/>
      <sheetData sheetId="2"/>
      <sheetData sheetId="3"/>
      <sheetData sheetId="4"/>
      <sheetData sheetId="5"/>
      <sheetData sheetId="6"/>
      <sheetData sheetId="7">
        <row r="2">
          <cell r="F2" t="str">
            <v>Loyalty</v>
          </cell>
        </row>
        <row r="3">
          <cell r="F3" t="str">
            <v>Stability</v>
          </cell>
        </row>
        <row r="4">
          <cell r="F4" t="str">
            <v>Economy</v>
          </cell>
        </row>
      </sheetData>
      <sheetData sheetId="8"/>
    </sheetDataSet>
  </externalBook>
</externalLink>
</file>

<file path=xl/tables/table1.xml><?xml version="1.0" encoding="utf-8"?>
<table xmlns="http://schemas.openxmlformats.org/spreadsheetml/2006/main" id="1" name="Table2" displayName="Table2" ref="C1:F5" totalsRowShown="0" headerRowDxfId="73">
  <autoFilter ref="C1:F5"/>
  <tableColumns count="4">
    <tableColumn id="1" name="Upkeep Phase" dataDxfId="72"/>
    <tableColumn id="2" name="Check" dataDxfId="71"/>
    <tableColumn id="3" name="Succeed or Do Task" dataDxfId="70"/>
    <tableColumn id="4" name="Failure or Do Task"/>
  </tableColumns>
  <tableStyleInfo name="TableStyleMedium9" showFirstColumn="0" showLastColumn="0" showRowStripes="1" showColumnStripes="0"/>
</table>
</file>

<file path=xl/tables/table2.xml><?xml version="1.0" encoding="utf-8"?>
<table xmlns="http://schemas.openxmlformats.org/spreadsheetml/2006/main" id="2" name="Table24" displayName="Table24" ref="C6:F12" totalsRowShown="0" headerRowDxfId="69">
  <autoFilter ref="C6:F12"/>
  <tableColumns count="4">
    <tableColumn id="1" name="Edict Phase" dataDxfId="68"/>
    <tableColumn id="2" name="Check" dataDxfId="67"/>
    <tableColumn id="3" name="Succeed or Do Task" dataDxfId="66"/>
    <tableColumn id="4" name="Failure or Do Task"/>
  </tableColumns>
  <tableStyleInfo name="TableStyleMedium9" showFirstColumn="0" showLastColumn="0" showRowStripes="1" showColumnStripes="0"/>
</table>
</file>

<file path=xl/tables/table3.xml><?xml version="1.0" encoding="utf-8"?>
<table xmlns="http://schemas.openxmlformats.org/spreadsheetml/2006/main" id="3" name="Table25" displayName="Table25" ref="C13:F17" totalsRowShown="0" headerRowDxfId="65">
  <autoFilter ref="C13:F17"/>
  <tableColumns count="4">
    <tableColumn id="1" name="Income Phase" dataDxfId="64"/>
    <tableColumn id="2" name="Check" dataDxfId="63"/>
    <tableColumn id="3" name="Succeed or Do Task" dataDxfId="62"/>
    <tableColumn id="4" name="Failure or Do Task"/>
  </tableColumns>
  <tableStyleInfo name="TableStyleMedium9" showFirstColumn="0" showLastColumn="0" showRowStripes="1" showColumnStripes="0"/>
</table>
</file>

<file path=xl/tables/table4.xml><?xml version="1.0" encoding="utf-8"?>
<table xmlns="http://schemas.openxmlformats.org/spreadsheetml/2006/main" id="4" name="Table256" displayName="Table256" ref="C18:F19" totalsRowShown="0" headerRowDxfId="61">
  <autoFilter ref="C18:F19"/>
  <tableColumns count="4">
    <tableColumn id="1" name="Event Phase" dataDxfId="60"/>
    <tableColumn id="2" name="Check" dataDxfId="59"/>
    <tableColumn id="3" name="Succeed or Do Task" dataDxfId="58"/>
    <tableColumn id="4" name="Failure or Do Task"/>
  </tableColumns>
  <tableStyleInfo name="TableStyleMedium9" showFirstColumn="0" showLastColumn="0" showRowStripes="1" showColumnStripes="0"/>
</table>
</file>

<file path=xl/tables/table5.xml><?xml version="1.0" encoding="utf-8"?>
<table xmlns="http://schemas.openxmlformats.org/spreadsheetml/2006/main" id="6" name="Table14" displayName="Table14" ref="A1:AT96" totalsRowShown="0" headerRowDxfId="57" dataDxfId="55" headerRowBorderDxfId="56" tableBorderDxfId="54" totalsRowBorderDxfId="53">
  <autoFilter ref="A1:AT96"/>
  <sortState ref="A2:AT89">
    <sortCondition ref="A1:A89"/>
  </sortState>
  <tableColumns count="46">
    <tableColumn id="1" name="Building" dataDxfId="52"/>
    <tableColumn id="2" name="BP Cost" dataDxfId="51"/>
    <tableColumn id="18" name="Population" dataDxfId="50"/>
    <tableColumn id="3" name="# of Lots" dataDxfId="49"/>
    <tableColumn id="4" name="Economy" dataDxfId="48"/>
    <tableColumn id="5" name="Loyalty" dataDxfId="47"/>
    <tableColumn id="6" name="Stability" dataDxfId="46"/>
    <tableColumn id="26" name="Economy/BP" dataDxfId="45">
      <calculatedColumnFormula>Table14[[#This Row],[Economy]]/Table14[[#This Row],[BP Cost]]</calculatedColumnFormula>
    </tableColumn>
    <tableColumn id="25" name="Loyalty/BP" dataDxfId="44">
      <calculatedColumnFormula>Table14[[#This Row],[Loyalty]]/Table14[[#This Row],[BP Cost]]</calculatedColumnFormula>
    </tableColumn>
    <tableColumn id="24" name="Stability/BP" dataDxfId="43">
      <calculatedColumnFormula>Table14[[#This Row],[Stability]]/Table14[[#This Row],[BP Cost]]</calculatedColumnFormula>
    </tableColumn>
    <tableColumn id="7" name="Unrest" dataDxfId="42"/>
    <tableColumn id="27" name="Unrest/BP" dataDxfId="41">
      <calculatedColumnFormula>Table14[[#This Row],[Unrest]]/Table14[[#This Row],[BP Cost]]</calculatedColumnFormula>
    </tableColumn>
    <tableColumn id="8" name="Fame" dataDxfId="40"/>
    <tableColumn id="9" name="infamy" dataDxfId="39"/>
    <tableColumn id="21" name="Corruption" dataDxfId="38"/>
    <tableColumn id="22" name="Crime" dataDxfId="37"/>
    <tableColumn id="19" name="Productivity" dataDxfId="36"/>
    <tableColumn id="23" name="Law" dataDxfId="35"/>
    <tableColumn id="20" name="Lore" dataDxfId="34"/>
    <tableColumn id="17" name="Society" dataDxfId="33"/>
    <tableColumn id="10" name="Discount" dataDxfId="32"/>
    <tableColumn id="11" name="Upgrade From" dataDxfId="31"/>
    <tableColumn id="12" name="Upgrade To" dataDxfId="30"/>
    <tableColumn id="13" name="Limit" dataDxfId="29"/>
    <tableColumn id="14" name="Special" dataDxfId="28"/>
    <tableColumn id="15" name="Magic Items" dataDxfId="27"/>
    <tableColumn id="16" name="Description" dataDxfId="26"/>
    <tableColumn id="28" name="Column1" dataDxfId="25"/>
    <tableColumn id="29" name="Defense" dataDxfId="24"/>
    <tableColumn id="30" name="Base Value" dataDxfId="23"/>
    <tableColumn id="31" name="Column2" dataDxfId="22"/>
    <tableColumn id="32" name="Minor Scroll/Wondrous" dataDxfId="21"/>
    <tableColumn id="33" name="Medium Scroll/Wondrous" dataDxfId="20"/>
    <tableColumn id="34" name="Minor Potion/Wondrous" dataDxfId="19"/>
    <tableColumn id="35" name="Medium Potion/Wondrous" dataDxfId="18"/>
    <tableColumn id="36" name="Minor Item" dataDxfId="17"/>
    <tableColumn id="37" name="Medium Item" dataDxfId="16"/>
    <tableColumn id="38" name="Major Item" dataDxfId="15"/>
    <tableColumn id="39" name="Minor Ring/Wand/Wondrous" dataDxfId="14"/>
    <tableColumn id="40" name="Minor Wondrous" dataDxfId="13"/>
    <tableColumn id="41" name="Medium Wondrous" dataDxfId="12"/>
    <tableColumn id="42" name="Major Wondrous" dataDxfId="11"/>
    <tableColumn id="43" name="Minor Potion/Scroll/Wondrous" dataDxfId="10"/>
    <tableColumn id="44" name="Medium Potion/Scroll/Wondrous" dataDxfId="9"/>
    <tableColumn id="45" name="Minor Armor/Shield/Weapon" dataDxfId="8"/>
    <tableColumn id="46" name="Medium Armor/Shield/Weapon" dataDxfId="7"/>
  </tableColumns>
  <tableStyleInfo name="TableStyleMedium2 2" showFirstColumn="0" showLastColumn="0" showRowStripes="1" showColumnStripes="0"/>
</table>
</file>

<file path=xl/tables/table6.xml><?xml version="1.0" encoding="utf-8"?>
<table xmlns="http://schemas.openxmlformats.org/spreadsheetml/2006/main" id="5" name="Table26" displayName="Table26" ref="A2:E14" totalsRowShown="0" headerRowDxfId="6" dataDxfId="5">
  <autoFilter ref="A2:E14"/>
  <tableColumns count="5">
    <tableColumn id="1" name="Name" dataDxfId="4"/>
    <tableColumn id="2" name="Terrain" dataDxfId="3"/>
    <tableColumn id="3" name="Effect" dataDxfId="2"/>
    <tableColumn id="4" name="Cost" dataDxfId="1"/>
    <tableColumn id="5" name="Description" dataDxfId="0"/>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7"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6.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28.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29.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9.xml.rels><?xml version="1.0" encoding="UTF-8" standalone="yes"?>
<Relationships xmlns="http://schemas.openxmlformats.org/package/2006/relationships"><Relationship Id="rId2" Type="http://schemas.openxmlformats.org/officeDocument/2006/relationships/printerSettings" Target="../printerSettings/printerSettings45.bin"/><Relationship Id="rId1" Type="http://schemas.openxmlformats.org/officeDocument/2006/relationships/hyperlink" Target="http://www.makeyourgamelegendary.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tabSelected="1" topLeftCell="A8" workbookViewId="0">
      <selection activeCell="O31" sqref="O31"/>
    </sheetView>
  </sheetViews>
  <sheetFormatPr defaultRowHeight="15" x14ac:dyDescent="0.25"/>
  <cols>
    <col min="1" max="1" width="23.7109375" style="842" customWidth="1"/>
    <col min="2" max="16384" width="9.140625" style="842"/>
  </cols>
  <sheetData>
    <row r="1" spans="1:24" x14ac:dyDescent="0.25">
      <c r="A1" s="841" t="s">
        <v>1879</v>
      </c>
      <c r="B1" s="842" t="s">
        <v>1858</v>
      </c>
      <c r="C1" s="842" t="s">
        <v>1859</v>
      </c>
      <c r="D1" s="842" t="s">
        <v>1860</v>
      </c>
      <c r="E1" s="842" t="s">
        <v>1861</v>
      </c>
      <c r="F1" s="842" t="s">
        <v>1862</v>
      </c>
      <c r="G1" s="842" t="s">
        <v>1863</v>
      </c>
      <c r="H1" s="842" t="s">
        <v>1864</v>
      </c>
      <c r="I1" s="842" t="s">
        <v>1865</v>
      </c>
      <c r="J1" s="842" t="s">
        <v>1866</v>
      </c>
      <c r="K1" s="842" t="s">
        <v>1867</v>
      </c>
      <c r="L1" s="842" t="s">
        <v>1868</v>
      </c>
      <c r="M1" s="842" t="s">
        <v>1869</v>
      </c>
      <c r="N1" s="842" t="s">
        <v>1870</v>
      </c>
      <c r="O1" s="842" t="s">
        <v>1871</v>
      </c>
      <c r="P1" s="842" t="s">
        <v>1872</v>
      </c>
      <c r="Q1" s="842" t="s">
        <v>1873</v>
      </c>
      <c r="R1" s="842" t="s">
        <v>1874</v>
      </c>
      <c r="S1" s="842" t="s">
        <v>1875</v>
      </c>
      <c r="T1" s="842" t="s">
        <v>1876</v>
      </c>
      <c r="U1" s="842" t="s">
        <v>1877</v>
      </c>
      <c r="V1" s="842" t="s">
        <v>1880</v>
      </c>
      <c r="W1" s="842" t="s">
        <v>1881</v>
      </c>
      <c r="X1" s="842" t="s">
        <v>1882</v>
      </c>
    </row>
    <row r="2" spans="1:24" x14ac:dyDescent="0.25">
      <c r="A2" s="841" t="s">
        <v>1883</v>
      </c>
    </row>
    <row r="3" spans="1:24" x14ac:dyDescent="0.25">
      <c r="A3" s="842" t="s">
        <v>1884</v>
      </c>
      <c r="B3" s="843">
        <v>6</v>
      </c>
      <c r="C3" s="843">
        <v>18</v>
      </c>
      <c r="D3" s="843">
        <v>19</v>
      </c>
      <c r="E3" s="843">
        <v>18</v>
      </c>
      <c r="F3" s="843">
        <v>12</v>
      </c>
      <c r="G3" s="843">
        <v>14</v>
      </c>
      <c r="H3" s="843"/>
      <c r="I3" s="843">
        <v>14</v>
      </c>
      <c r="J3" s="843"/>
      <c r="K3" s="843">
        <v>18</v>
      </c>
      <c r="L3" s="843">
        <v>17</v>
      </c>
      <c r="M3" s="843">
        <v>12</v>
      </c>
      <c r="N3" s="843">
        <v>19</v>
      </c>
      <c r="O3" s="843">
        <v>15</v>
      </c>
      <c r="P3" s="843">
        <v>13</v>
      </c>
      <c r="Q3" s="843">
        <v>13</v>
      </c>
      <c r="R3" s="843">
        <v>10</v>
      </c>
      <c r="S3" s="843">
        <v>11</v>
      </c>
      <c r="T3" s="843">
        <v>18</v>
      </c>
      <c r="U3" s="844">
        <v>14</v>
      </c>
      <c r="V3" s="843"/>
      <c r="W3" s="843"/>
      <c r="X3" s="843"/>
    </row>
    <row r="4" spans="1:24" x14ac:dyDescent="0.25">
      <c r="A4" s="842" t="s">
        <v>1885</v>
      </c>
      <c r="B4" s="843">
        <v>10</v>
      </c>
      <c r="C4" s="843">
        <v>24</v>
      </c>
      <c r="D4" s="843">
        <v>16</v>
      </c>
      <c r="E4" s="843">
        <v>15</v>
      </c>
      <c r="F4" s="843">
        <v>16</v>
      </c>
      <c r="G4" s="843">
        <v>17</v>
      </c>
      <c r="H4" s="843"/>
      <c r="I4" s="843">
        <v>17</v>
      </c>
      <c r="J4" s="843"/>
      <c r="K4" s="843">
        <v>14</v>
      </c>
      <c r="L4" s="843">
        <v>12</v>
      </c>
      <c r="M4" s="843">
        <v>18</v>
      </c>
      <c r="N4" s="843">
        <v>14</v>
      </c>
      <c r="O4" s="843">
        <v>16</v>
      </c>
      <c r="P4" s="843">
        <v>11</v>
      </c>
      <c r="Q4" s="843">
        <v>12</v>
      </c>
      <c r="R4" s="843">
        <v>14</v>
      </c>
      <c r="S4" s="843">
        <v>12</v>
      </c>
      <c r="T4" s="843">
        <v>14</v>
      </c>
      <c r="U4" s="844">
        <v>14</v>
      </c>
      <c r="V4" s="843"/>
      <c r="W4" s="843"/>
      <c r="X4" s="843"/>
    </row>
    <row r="5" spans="1:24" x14ac:dyDescent="0.25">
      <c r="A5" s="842" t="s">
        <v>1886</v>
      </c>
      <c r="B5" s="843">
        <v>10</v>
      </c>
      <c r="C5" s="843">
        <v>19</v>
      </c>
      <c r="D5" s="843">
        <v>15</v>
      </c>
      <c r="E5" s="843">
        <v>15</v>
      </c>
      <c r="F5" s="843">
        <v>12</v>
      </c>
      <c r="G5" s="843">
        <v>14</v>
      </c>
      <c r="H5" s="843"/>
      <c r="I5" s="843">
        <v>11</v>
      </c>
      <c r="J5" s="843"/>
      <c r="K5" s="843">
        <v>16</v>
      </c>
      <c r="L5" s="843">
        <v>17</v>
      </c>
      <c r="M5" s="843">
        <v>14</v>
      </c>
      <c r="N5" s="843">
        <v>14</v>
      </c>
      <c r="O5" s="843">
        <v>13</v>
      </c>
      <c r="P5" s="843">
        <v>15</v>
      </c>
      <c r="Q5" s="843">
        <v>14</v>
      </c>
      <c r="R5" s="843">
        <v>13</v>
      </c>
      <c r="S5" s="843">
        <v>11</v>
      </c>
      <c r="T5" s="843">
        <v>18</v>
      </c>
      <c r="U5" s="844"/>
      <c r="V5" s="843"/>
      <c r="W5" s="843"/>
      <c r="X5" s="843"/>
    </row>
    <row r="6" spans="1:24" x14ac:dyDescent="0.25">
      <c r="A6" s="842" t="s">
        <v>1887</v>
      </c>
      <c r="B6" s="843">
        <v>14</v>
      </c>
      <c r="C6" s="843">
        <v>13</v>
      </c>
      <c r="D6" s="843">
        <v>13</v>
      </c>
      <c r="E6" s="843">
        <v>13</v>
      </c>
      <c r="F6" s="843">
        <v>21</v>
      </c>
      <c r="G6" s="843">
        <v>19</v>
      </c>
      <c r="H6" s="843"/>
      <c r="I6" s="843">
        <v>17</v>
      </c>
      <c r="J6" s="843"/>
      <c r="K6" s="843">
        <v>14</v>
      </c>
      <c r="L6" s="843">
        <v>11</v>
      </c>
      <c r="M6" s="843">
        <v>14</v>
      </c>
      <c r="N6" s="843">
        <v>11</v>
      </c>
      <c r="O6" s="843">
        <v>12</v>
      </c>
      <c r="P6" s="843">
        <v>13</v>
      </c>
      <c r="Q6" s="843">
        <v>15</v>
      </c>
      <c r="R6" s="843">
        <v>16</v>
      </c>
      <c r="S6" s="843">
        <v>17</v>
      </c>
      <c r="T6" s="843">
        <v>12</v>
      </c>
      <c r="U6" s="844"/>
      <c r="V6" s="843"/>
      <c r="W6" s="843"/>
      <c r="X6" s="843"/>
    </row>
    <row r="7" spans="1:24" x14ac:dyDescent="0.25">
      <c r="A7" s="842" t="s">
        <v>1888</v>
      </c>
      <c r="B7" s="843">
        <v>14</v>
      </c>
      <c r="C7" s="843">
        <v>16</v>
      </c>
      <c r="D7" s="843">
        <v>13</v>
      </c>
      <c r="E7" s="843">
        <v>16</v>
      </c>
      <c r="F7" s="843">
        <v>10</v>
      </c>
      <c r="G7" s="843">
        <v>14</v>
      </c>
      <c r="H7" s="843"/>
      <c r="I7" s="843">
        <v>8</v>
      </c>
      <c r="J7" s="843"/>
      <c r="K7" s="843">
        <v>16</v>
      </c>
      <c r="L7" s="843">
        <v>11</v>
      </c>
      <c r="M7" s="843">
        <v>11</v>
      </c>
      <c r="N7" s="843">
        <v>18</v>
      </c>
      <c r="O7" s="843">
        <v>12</v>
      </c>
      <c r="P7" s="843">
        <v>18</v>
      </c>
      <c r="Q7" s="843">
        <v>12</v>
      </c>
      <c r="R7" s="843">
        <v>16</v>
      </c>
      <c r="S7" s="843">
        <v>14</v>
      </c>
      <c r="T7" s="843">
        <v>13</v>
      </c>
      <c r="U7" s="844"/>
      <c r="V7" s="843"/>
      <c r="W7" s="843"/>
      <c r="X7" s="843"/>
    </row>
    <row r="8" spans="1:24" x14ac:dyDescent="0.25">
      <c r="A8" s="842" t="s">
        <v>1889</v>
      </c>
      <c r="B8" s="843">
        <v>22</v>
      </c>
      <c r="C8" s="843">
        <v>6</v>
      </c>
      <c r="D8" s="843">
        <v>13</v>
      </c>
      <c r="E8" s="843">
        <v>12</v>
      </c>
      <c r="F8" s="843">
        <v>13</v>
      </c>
      <c r="G8" s="843">
        <v>9</v>
      </c>
      <c r="H8" s="843"/>
      <c r="I8" s="843">
        <v>14</v>
      </c>
      <c r="J8" s="843"/>
      <c r="K8" s="843">
        <v>13</v>
      </c>
      <c r="L8" s="843">
        <v>14</v>
      </c>
      <c r="M8" s="843">
        <v>15</v>
      </c>
      <c r="N8" s="843">
        <v>12</v>
      </c>
      <c r="O8" s="843">
        <v>8</v>
      </c>
      <c r="P8" s="843">
        <v>14</v>
      </c>
      <c r="Q8" s="843">
        <v>15</v>
      </c>
      <c r="R8" s="843">
        <v>20</v>
      </c>
      <c r="S8" s="843">
        <v>9</v>
      </c>
      <c r="T8" s="843">
        <v>16</v>
      </c>
      <c r="U8" s="844"/>
      <c r="V8" s="843"/>
      <c r="W8" s="843"/>
      <c r="X8" s="843"/>
    </row>
    <row r="9" spans="1:24" x14ac:dyDescent="0.25">
      <c r="A9" s="842" t="s">
        <v>83</v>
      </c>
    </row>
    <row r="10" spans="1:24" x14ac:dyDescent="0.25">
      <c r="A10" s="841" t="s">
        <v>1890</v>
      </c>
    </row>
    <row r="11" spans="1:24" x14ac:dyDescent="0.25">
      <c r="A11" s="842" t="s">
        <v>1065</v>
      </c>
      <c r="B11" s="843"/>
      <c r="C11" s="843"/>
      <c r="D11" s="843"/>
      <c r="E11" s="843"/>
      <c r="F11" s="843"/>
      <c r="G11" s="843"/>
      <c r="H11" s="843"/>
      <c r="I11" s="843">
        <v>3</v>
      </c>
      <c r="J11" s="843"/>
      <c r="K11" s="843">
        <v>5</v>
      </c>
      <c r="L11" s="843">
        <v>5</v>
      </c>
      <c r="M11" s="843">
        <v>5</v>
      </c>
      <c r="N11" s="843"/>
      <c r="O11" s="843"/>
      <c r="P11" s="843">
        <v>4</v>
      </c>
      <c r="Q11" s="843"/>
      <c r="R11" s="843">
        <v>3</v>
      </c>
      <c r="S11" s="843"/>
      <c r="T11" s="843">
        <v>5</v>
      </c>
      <c r="U11" s="843"/>
      <c r="V11" s="843"/>
      <c r="W11" s="843"/>
      <c r="X11" s="843"/>
    </row>
    <row r="12" spans="1:24" x14ac:dyDescent="0.25">
      <c r="A12" s="842" t="s">
        <v>1072</v>
      </c>
      <c r="B12" s="843"/>
      <c r="C12" s="843"/>
      <c r="D12" s="843"/>
      <c r="E12" s="843"/>
      <c r="F12" s="843"/>
      <c r="G12" s="843"/>
      <c r="H12" s="843"/>
      <c r="I12" s="843"/>
      <c r="J12" s="843"/>
      <c r="K12" s="843"/>
      <c r="L12" s="843">
        <v>5</v>
      </c>
      <c r="M12" s="843"/>
      <c r="N12" s="843"/>
      <c r="O12" s="843"/>
      <c r="P12" s="843"/>
      <c r="Q12" s="843"/>
      <c r="R12" s="843"/>
      <c r="S12" s="843"/>
      <c r="T12" s="843"/>
      <c r="U12" s="843">
        <v>6</v>
      </c>
      <c r="V12" s="843"/>
      <c r="W12" s="843"/>
      <c r="X12" s="843"/>
    </row>
    <row r="13" spans="1:24" x14ac:dyDescent="0.25">
      <c r="A13" s="842" t="s">
        <v>1891</v>
      </c>
      <c r="B13" s="843"/>
      <c r="C13" s="843"/>
      <c r="D13" s="843"/>
      <c r="E13" s="843"/>
      <c r="F13" s="843">
        <v>4</v>
      </c>
      <c r="G13" s="843"/>
      <c r="H13" s="843"/>
      <c r="I13" s="843"/>
      <c r="J13" s="843"/>
      <c r="K13" s="843"/>
      <c r="L13" s="843"/>
      <c r="M13" s="843"/>
      <c r="N13" s="843"/>
      <c r="O13" s="843"/>
      <c r="P13" s="843"/>
      <c r="Q13" s="843"/>
      <c r="R13" s="843"/>
      <c r="S13" s="843">
        <v>5</v>
      </c>
      <c r="T13" s="843"/>
      <c r="U13" s="843"/>
      <c r="V13" s="843"/>
      <c r="W13" s="843"/>
      <c r="X13" s="843"/>
    </row>
    <row r="14" spans="1:24" x14ac:dyDescent="0.25">
      <c r="A14" s="842" t="s">
        <v>1892</v>
      </c>
      <c r="B14" s="843"/>
      <c r="C14" s="843"/>
      <c r="D14" s="843">
        <v>5</v>
      </c>
      <c r="E14" s="843"/>
      <c r="F14" s="843"/>
      <c r="G14" s="843"/>
      <c r="H14" s="843"/>
      <c r="I14" s="843"/>
      <c r="J14" s="843"/>
      <c r="K14" s="843">
        <v>5</v>
      </c>
      <c r="L14" s="843"/>
      <c r="M14" s="843"/>
      <c r="N14" s="843"/>
      <c r="O14" s="843"/>
      <c r="P14" s="843"/>
      <c r="Q14" s="843"/>
      <c r="R14" s="843"/>
      <c r="S14" s="843"/>
      <c r="T14" s="843">
        <v>7</v>
      </c>
      <c r="U14" s="843"/>
      <c r="V14" s="843"/>
      <c r="W14" s="843"/>
      <c r="X14" s="843"/>
    </row>
    <row r="15" spans="1:24" x14ac:dyDescent="0.25">
      <c r="A15" s="842" t="s">
        <v>1893</v>
      </c>
      <c r="B15" s="843"/>
      <c r="C15" s="843"/>
      <c r="D15" s="843"/>
      <c r="E15" s="843"/>
      <c r="F15" s="843"/>
      <c r="G15" s="843"/>
      <c r="H15" s="843"/>
      <c r="I15" s="843"/>
      <c r="J15" s="843"/>
      <c r="K15" s="843">
        <v>5</v>
      </c>
      <c r="L15" s="843"/>
      <c r="M15" s="843"/>
      <c r="N15" s="843"/>
      <c r="O15" s="843"/>
      <c r="P15" s="843"/>
      <c r="Q15" s="843"/>
      <c r="R15" s="843"/>
      <c r="S15" s="843"/>
      <c r="T15" s="843"/>
      <c r="U15" s="843"/>
      <c r="V15" s="843"/>
      <c r="W15" s="843"/>
      <c r="X15" s="843"/>
    </row>
    <row r="16" spans="1:24" x14ac:dyDescent="0.25">
      <c r="A16" s="842" t="s">
        <v>1894</v>
      </c>
      <c r="B16" s="843"/>
      <c r="C16" s="843"/>
      <c r="D16" s="843"/>
      <c r="E16" s="843">
        <v>1</v>
      </c>
      <c r="F16" s="843"/>
      <c r="G16" s="843"/>
      <c r="H16" s="843"/>
      <c r="I16" s="843"/>
      <c r="J16" s="843"/>
      <c r="K16" s="843"/>
      <c r="L16" s="843"/>
      <c r="M16" s="843">
        <v>5</v>
      </c>
      <c r="N16" s="843"/>
      <c r="O16" s="843"/>
      <c r="P16" s="843"/>
      <c r="Q16" s="843">
        <v>3</v>
      </c>
      <c r="R16" s="843">
        <v>3</v>
      </c>
      <c r="S16" s="843">
        <v>5</v>
      </c>
      <c r="T16" s="843"/>
      <c r="U16" s="843"/>
      <c r="V16" s="843"/>
      <c r="W16" s="843"/>
      <c r="X16" s="843"/>
    </row>
    <row r="17" spans="1:28" x14ac:dyDescent="0.25">
      <c r="A17" s="842" t="s">
        <v>1895</v>
      </c>
      <c r="B17" s="843">
        <v>3</v>
      </c>
      <c r="C17" s="843"/>
      <c r="D17" s="843"/>
      <c r="E17" s="843"/>
      <c r="F17" s="843"/>
      <c r="G17" s="843"/>
      <c r="H17" s="843"/>
      <c r="I17" s="843"/>
      <c r="J17" s="843"/>
      <c r="K17" s="843">
        <v>5</v>
      </c>
      <c r="L17" s="843">
        <v>5</v>
      </c>
      <c r="M17" s="843"/>
      <c r="N17" s="843"/>
      <c r="O17" s="843"/>
      <c r="P17" s="843"/>
      <c r="Q17" s="843"/>
      <c r="R17" s="843"/>
      <c r="S17" s="843"/>
      <c r="T17" s="843">
        <v>7</v>
      </c>
      <c r="U17" s="843"/>
      <c r="V17" s="843"/>
      <c r="W17" s="843"/>
      <c r="X17" s="843"/>
    </row>
    <row r="18" spans="1:28" x14ac:dyDescent="0.25">
      <c r="A18" s="842" t="s">
        <v>1896</v>
      </c>
      <c r="B18" s="843"/>
      <c r="C18" s="843"/>
      <c r="D18" s="843"/>
      <c r="E18" s="843"/>
      <c r="F18" s="843">
        <v>2</v>
      </c>
      <c r="G18" s="843"/>
      <c r="H18" s="843"/>
      <c r="I18" s="843"/>
      <c r="J18" s="843"/>
      <c r="K18" s="843"/>
      <c r="L18" s="843">
        <v>4</v>
      </c>
      <c r="M18" s="843"/>
      <c r="N18" s="843">
        <v>5</v>
      </c>
      <c r="O18" s="843"/>
      <c r="P18" s="843">
        <v>4</v>
      </c>
      <c r="Q18" s="843"/>
      <c r="R18" s="843"/>
      <c r="S18" s="843"/>
      <c r="T18" s="843"/>
      <c r="U18" s="843"/>
      <c r="V18" s="843"/>
      <c r="W18" s="843"/>
      <c r="X18" s="843"/>
    </row>
    <row r="19" spans="1:28" x14ac:dyDescent="0.25">
      <c r="A19" s="842" t="s">
        <v>1897</v>
      </c>
      <c r="B19" s="843"/>
      <c r="C19" s="843"/>
      <c r="D19" s="843"/>
      <c r="E19" s="843"/>
      <c r="F19" s="843"/>
      <c r="G19" s="843"/>
      <c r="H19" s="843"/>
      <c r="I19" s="843"/>
      <c r="J19" s="843"/>
      <c r="K19" s="843"/>
      <c r="L19" s="843"/>
      <c r="M19" s="843"/>
      <c r="N19" s="843"/>
      <c r="O19" s="843"/>
      <c r="P19" s="843"/>
      <c r="Q19" s="843">
        <v>6</v>
      </c>
      <c r="R19" s="843">
        <v>3</v>
      </c>
      <c r="S19" s="843"/>
      <c r="T19" s="843"/>
      <c r="U19" s="843"/>
      <c r="V19" s="843"/>
      <c r="W19" s="843"/>
      <c r="X19" s="843"/>
    </row>
    <row r="20" spans="1:28" x14ac:dyDescent="0.25">
      <c r="A20" s="842" t="s">
        <v>1898</v>
      </c>
      <c r="B20" s="843"/>
      <c r="C20" s="843"/>
      <c r="D20" s="843"/>
      <c r="E20" s="843"/>
      <c r="F20" s="843"/>
      <c r="G20" s="843"/>
      <c r="H20" s="843"/>
      <c r="I20" s="843"/>
      <c r="J20" s="843"/>
      <c r="K20" s="843">
        <v>5</v>
      </c>
      <c r="L20" s="843"/>
      <c r="M20" s="843"/>
      <c r="N20" s="843"/>
      <c r="O20" s="843">
        <v>2</v>
      </c>
      <c r="P20" s="843"/>
      <c r="Q20" s="843"/>
      <c r="R20" s="843"/>
      <c r="S20" s="843"/>
      <c r="T20" s="843"/>
      <c r="U20" s="843"/>
      <c r="V20" s="843"/>
      <c r="W20" s="843"/>
      <c r="X20" s="843"/>
    </row>
    <row r="21" spans="1:28" x14ac:dyDescent="0.25">
      <c r="A21" s="842" t="s">
        <v>1073</v>
      </c>
      <c r="B21" s="843"/>
      <c r="C21" s="843">
        <v>1</v>
      </c>
      <c r="D21" s="843"/>
      <c r="E21" s="843"/>
      <c r="F21" s="843"/>
      <c r="G21" s="843"/>
      <c r="H21" s="843"/>
      <c r="I21" s="843"/>
      <c r="J21" s="843"/>
      <c r="K21" s="843"/>
      <c r="L21" s="843">
        <v>5</v>
      </c>
      <c r="M21" s="843">
        <v>5</v>
      </c>
      <c r="N21" s="843">
        <v>5</v>
      </c>
      <c r="O21" s="843"/>
      <c r="P21" s="843">
        <v>4</v>
      </c>
      <c r="Q21" s="843"/>
      <c r="R21" s="843"/>
      <c r="S21" s="843">
        <v>5</v>
      </c>
      <c r="T21" s="843"/>
      <c r="U21" s="843"/>
      <c r="V21" s="843"/>
      <c r="W21" s="843"/>
      <c r="X21" s="843"/>
    </row>
    <row r="22" spans="1:28" x14ac:dyDescent="0.25">
      <c r="A22" s="842" t="s">
        <v>1071</v>
      </c>
      <c r="B22" s="843"/>
      <c r="C22" s="843"/>
      <c r="D22" s="843"/>
      <c r="E22" s="843"/>
      <c r="F22" s="843"/>
      <c r="G22" s="843"/>
      <c r="H22" s="843"/>
      <c r="I22" s="843"/>
      <c r="J22" s="843"/>
      <c r="K22" s="843"/>
      <c r="L22" s="843"/>
      <c r="M22" s="843"/>
      <c r="N22" s="843"/>
      <c r="O22" s="843"/>
      <c r="P22" s="843"/>
      <c r="Q22" s="843"/>
      <c r="R22" s="843"/>
      <c r="S22" s="843"/>
      <c r="T22" s="843">
        <v>7</v>
      </c>
      <c r="U22" s="843"/>
      <c r="V22" s="843"/>
      <c r="W22" s="843"/>
      <c r="X22" s="843"/>
    </row>
    <row r="23" spans="1:28" x14ac:dyDescent="0.25">
      <c r="A23" s="841" t="s">
        <v>1899</v>
      </c>
    </row>
    <row r="24" spans="1:28" x14ac:dyDescent="0.25">
      <c r="A24" s="841" t="s">
        <v>55</v>
      </c>
    </row>
    <row r="29" spans="1:28" x14ac:dyDescent="0.25">
      <c r="A29" s="842" t="s">
        <v>1858</v>
      </c>
      <c r="B29" s="843">
        <v>6</v>
      </c>
      <c r="C29" s="843">
        <v>10</v>
      </c>
      <c r="D29" s="843">
        <v>10</v>
      </c>
      <c r="E29" s="843">
        <v>14</v>
      </c>
      <c r="F29" s="843">
        <v>14</v>
      </c>
      <c r="G29" s="843">
        <v>22</v>
      </c>
      <c r="I29" s="843"/>
      <c r="J29" s="843">
        <v>3</v>
      </c>
      <c r="K29" s="843"/>
      <c r="L29" s="843"/>
      <c r="M29" s="843"/>
      <c r="N29" s="843"/>
      <c r="O29" s="843"/>
      <c r="P29" s="843"/>
      <c r="Q29" s="843"/>
      <c r="R29" s="843"/>
      <c r="S29" s="843"/>
      <c r="T29" s="843"/>
      <c r="AB29" s="842">
        <v>7</v>
      </c>
    </row>
    <row r="30" spans="1:28" x14ac:dyDescent="0.25">
      <c r="A30" s="842" t="s">
        <v>1859</v>
      </c>
      <c r="B30" s="843">
        <v>18</v>
      </c>
      <c r="C30" s="843">
        <v>24</v>
      </c>
      <c r="D30" s="843">
        <v>19</v>
      </c>
      <c r="E30" s="843">
        <v>13</v>
      </c>
      <c r="F30" s="843">
        <v>16</v>
      </c>
      <c r="G30" s="843">
        <v>6</v>
      </c>
      <c r="I30" s="843"/>
      <c r="J30" s="843"/>
      <c r="K30" s="843"/>
      <c r="L30" s="843"/>
      <c r="M30" s="843"/>
      <c r="N30" s="843"/>
      <c r="O30" s="843"/>
      <c r="P30" s="843"/>
      <c r="Q30" s="843">
        <v>1</v>
      </c>
      <c r="R30" s="843"/>
      <c r="S30" s="843"/>
      <c r="T30" s="843"/>
    </row>
    <row r="31" spans="1:28" x14ac:dyDescent="0.25">
      <c r="A31" s="842" t="s">
        <v>1860</v>
      </c>
      <c r="B31" s="843">
        <v>19</v>
      </c>
      <c r="C31" s="843">
        <v>16</v>
      </c>
      <c r="D31" s="843">
        <v>15</v>
      </c>
      <c r="E31" s="843">
        <v>13</v>
      </c>
      <c r="F31" s="843">
        <v>13</v>
      </c>
      <c r="G31" s="843">
        <v>13</v>
      </c>
      <c r="I31" s="843"/>
      <c r="J31" s="843"/>
      <c r="K31" s="843"/>
      <c r="L31" s="843"/>
      <c r="M31" s="843"/>
      <c r="N31" s="843">
        <v>5</v>
      </c>
      <c r="O31" s="843"/>
      <c r="P31" s="843"/>
      <c r="Q31" s="843"/>
      <c r="R31" s="843"/>
      <c r="S31" s="843"/>
      <c r="T31" s="843">
        <v>5</v>
      </c>
    </row>
    <row r="32" spans="1:28" x14ac:dyDescent="0.25">
      <c r="A32" s="842" t="s">
        <v>1861</v>
      </c>
      <c r="B32" s="843">
        <v>18</v>
      </c>
      <c r="C32" s="843">
        <v>15</v>
      </c>
      <c r="D32" s="843">
        <v>15</v>
      </c>
      <c r="E32" s="843">
        <v>13</v>
      </c>
      <c r="F32" s="843">
        <v>16</v>
      </c>
      <c r="G32" s="843">
        <v>12</v>
      </c>
      <c r="I32" s="843"/>
      <c r="J32" s="843"/>
      <c r="K32" s="843">
        <v>1</v>
      </c>
      <c r="L32" s="843"/>
      <c r="M32" s="843"/>
      <c r="N32" s="843"/>
      <c r="O32" s="843"/>
      <c r="P32" s="843"/>
      <c r="Q32" s="843"/>
      <c r="R32" s="843"/>
      <c r="S32" s="843"/>
      <c r="T32" s="843"/>
    </row>
    <row r="33" spans="1:20" x14ac:dyDescent="0.25">
      <c r="A33" s="842" t="s">
        <v>1862</v>
      </c>
      <c r="B33" s="843">
        <v>12</v>
      </c>
      <c r="C33" s="843">
        <v>16</v>
      </c>
      <c r="D33" s="843">
        <v>12</v>
      </c>
      <c r="E33" s="843">
        <v>21</v>
      </c>
      <c r="F33" s="843">
        <v>10</v>
      </c>
      <c r="G33" s="843">
        <v>13</v>
      </c>
      <c r="I33" s="843"/>
      <c r="J33" s="843"/>
      <c r="K33" s="843"/>
      <c r="L33" s="843"/>
      <c r="M33" s="843">
        <v>2</v>
      </c>
      <c r="N33" s="843"/>
      <c r="O33" s="843"/>
      <c r="P33" s="843"/>
      <c r="Q33" s="843"/>
      <c r="R33" s="843"/>
      <c r="S33" s="843"/>
      <c r="T33" s="843"/>
    </row>
    <row r="34" spans="1:20" x14ac:dyDescent="0.25">
      <c r="A34" s="842" t="s">
        <v>1863</v>
      </c>
      <c r="B34" s="843">
        <v>14</v>
      </c>
      <c r="C34" s="843">
        <v>17</v>
      </c>
      <c r="D34" s="843">
        <v>14</v>
      </c>
      <c r="E34" s="843">
        <v>19</v>
      </c>
      <c r="F34" s="843">
        <v>14</v>
      </c>
      <c r="G34" s="843">
        <v>9</v>
      </c>
      <c r="I34" s="843"/>
      <c r="J34" s="843"/>
      <c r="K34" s="843"/>
      <c r="L34" s="843"/>
      <c r="M34" s="843"/>
      <c r="N34" s="843"/>
      <c r="O34" s="843"/>
      <c r="P34" s="843"/>
      <c r="Q34" s="843"/>
      <c r="R34" s="843"/>
      <c r="S34" s="843"/>
      <c r="T34" s="843"/>
    </row>
    <row r="35" spans="1:20" x14ac:dyDescent="0.25">
      <c r="A35" s="842" t="s">
        <v>1864</v>
      </c>
      <c r="B35" s="843"/>
      <c r="C35" s="843"/>
      <c r="D35" s="843"/>
      <c r="E35" s="843"/>
      <c r="F35" s="843"/>
      <c r="G35" s="843"/>
      <c r="I35" s="843"/>
      <c r="J35" s="843"/>
      <c r="K35" s="843"/>
      <c r="L35" s="843"/>
      <c r="M35" s="843"/>
      <c r="N35" s="843"/>
      <c r="O35" s="843"/>
      <c r="P35" s="843"/>
      <c r="Q35" s="843"/>
      <c r="R35" s="843"/>
      <c r="S35" s="843"/>
      <c r="T35" s="843"/>
    </row>
    <row r="36" spans="1:20" x14ac:dyDescent="0.25">
      <c r="A36" s="842" t="s">
        <v>1865</v>
      </c>
      <c r="B36" s="843">
        <v>14</v>
      </c>
      <c r="C36" s="843">
        <v>17</v>
      </c>
      <c r="D36" s="843">
        <v>11</v>
      </c>
      <c r="E36" s="843">
        <v>17</v>
      </c>
      <c r="F36" s="843">
        <v>8</v>
      </c>
      <c r="G36" s="843">
        <v>14</v>
      </c>
      <c r="I36" s="843">
        <v>3</v>
      </c>
      <c r="J36" s="843"/>
      <c r="K36" s="843"/>
      <c r="L36" s="843"/>
      <c r="M36" s="843"/>
      <c r="N36" s="843"/>
      <c r="O36" s="843"/>
      <c r="P36" s="843"/>
      <c r="Q36" s="843"/>
      <c r="R36" s="843"/>
      <c r="S36" s="843"/>
      <c r="T36" s="843"/>
    </row>
    <row r="37" spans="1:20" x14ac:dyDescent="0.25">
      <c r="A37" s="842" t="s">
        <v>1866</v>
      </c>
      <c r="B37" s="843"/>
      <c r="C37" s="843"/>
      <c r="D37" s="843"/>
      <c r="E37" s="843"/>
      <c r="F37" s="843"/>
      <c r="G37" s="843"/>
      <c r="I37" s="843"/>
      <c r="J37" s="843"/>
      <c r="K37" s="843"/>
      <c r="L37" s="843"/>
      <c r="M37" s="843"/>
      <c r="N37" s="843"/>
      <c r="O37" s="843"/>
      <c r="P37" s="843"/>
      <c r="Q37" s="843"/>
      <c r="R37" s="843"/>
      <c r="S37" s="843"/>
      <c r="T37" s="843"/>
    </row>
    <row r="38" spans="1:20" x14ac:dyDescent="0.25">
      <c r="A38" s="842" t="s">
        <v>1867</v>
      </c>
      <c r="B38" s="843">
        <v>18</v>
      </c>
      <c r="C38" s="843">
        <v>14</v>
      </c>
      <c r="D38" s="843">
        <v>16</v>
      </c>
      <c r="E38" s="843">
        <v>14</v>
      </c>
      <c r="F38" s="843">
        <v>16</v>
      </c>
      <c r="G38" s="843">
        <v>13</v>
      </c>
      <c r="I38" s="843">
        <v>5</v>
      </c>
      <c r="J38" s="843">
        <v>5</v>
      </c>
      <c r="K38" s="843"/>
      <c r="L38" s="843">
        <v>5</v>
      </c>
      <c r="M38" s="843"/>
      <c r="N38" s="843">
        <v>5</v>
      </c>
      <c r="O38" s="843"/>
      <c r="P38" s="843"/>
      <c r="Q38" s="843"/>
      <c r="R38" s="843"/>
      <c r="S38" s="843">
        <v>5</v>
      </c>
      <c r="T38" s="843">
        <v>5</v>
      </c>
    </row>
    <row r="39" spans="1:20" x14ac:dyDescent="0.25">
      <c r="A39" s="842" t="s">
        <v>1868</v>
      </c>
      <c r="B39" s="843">
        <v>17</v>
      </c>
      <c r="C39" s="843">
        <v>12</v>
      </c>
      <c r="D39" s="843">
        <v>17</v>
      </c>
      <c r="E39" s="843">
        <v>11</v>
      </c>
      <c r="F39" s="843">
        <v>11</v>
      </c>
      <c r="G39" s="843">
        <v>14</v>
      </c>
      <c r="I39" s="843">
        <v>5</v>
      </c>
      <c r="J39" s="843">
        <v>5</v>
      </c>
      <c r="K39" s="843"/>
      <c r="L39" s="843"/>
      <c r="M39" s="843">
        <v>4</v>
      </c>
      <c r="N39" s="843"/>
      <c r="O39" s="843"/>
      <c r="P39" s="843">
        <v>5</v>
      </c>
      <c r="Q39" s="843">
        <v>5</v>
      </c>
      <c r="R39" s="843"/>
      <c r="S39" s="843"/>
      <c r="T39" s="843"/>
    </row>
    <row r="40" spans="1:20" x14ac:dyDescent="0.25">
      <c r="A40" s="842" t="s">
        <v>1869</v>
      </c>
      <c r="B40" s="843">
        <v>12</v>
      </c>
      <c r="C40" s="843">
        <v>18</v>
      </c>
      <c r="D40" s="843">
        <v>14</v>
      </c>
      <c r="E40" s="843">
        <v>14</v>
      </c>
      <c r="F40" s="843">
        <v>11</v>
      </c>
      <c r="G40" s="843">
        <v>15</v>
      </c>
      <c r="I40" s="843">
        <v>5</v>
      </c>
      <c r="J40" s="843"/>
      <c r="K40" s="843">
        <v>5</v>
      </c>
      <c r="L40" s="843"/>
      <c r="M40" s="843"/>
      <c r="N40" s="843"/>
      <c r="O40" s="843"/>
      <c r="P40" s="843"/>
      <c r="Q40" s="843">
        <v>5</v>
      </c>
      <c r="R40" s="843"/>
      <c r="S40" s="843"/>
      <c r="T40" s="843"/>
    </row>
    <row r="41" spans="1:20" x14ac:dyDescent="0.25">
      <c r="A41" s="842" t="s">
        <v>1870</v>
      </c>
      <c r="B41" s="843">
        <v>19</v>
      </c>
      <c r="C41" s="843">
        <v>14</v>
      </c>
      <c r="D41" s="843">
        <v>14</v>
      </c>
      <c r="E41" s="843">
        <v>11</v>
      </c>
      <c r="F41" s="843">
        <v>18</v>
      </c>
      <c r="G41" s="843">
        <v>12</v>
      </c>
      <c r="I41" s="843"/>
      <c r="J41" s="843"/>
      <c r="K41" s="843"/>
      <c r="L41" s="843"/>
      <c r="M41" s="843">
        <v>5</v>
      </c>
      <c r="N41" s="843"/>
      <c r="O41" s="843"/>
      <c r="P41" s="843"/>
      <c r="Q41" s="843">
        <v>5</v>
      </c>
      <c r="R41" s="843"/>
      <c r="S41" s="843"/>
      <c r="T41" s="843"/>
    </row>
    <row r="42" spans="1:20" x14ac:dyDescent="0.25">
      <c r="A42" s="842" t="s">
        <v>1871</v>
      </c>
      <c r="B42" s="843">
        <v>15</v>
      </c>
      <c r="C42" s="843">
        <v>16</v>
      </c>
      <c r="D42" s="843">
        <v>13</v>
      </c>
      <c r="E42" s="843">
        <v>12</v>
      </c>
      <c r="F42" s="843">
        <v>12</v>
      </c>
      <c r="G42" s="843">
        <v>8</v>
      </c>
      <c r="I42" s="843"/>
      <c r="J42" s="843"/>
      <c r="K42" s="843"/>
      <c r="L42" s="843">
        <v>2</v>
      </c>
      <c r="M42" s="843"/>
      <c r="N42" s="843"/>
      <c r="O42" s="843"/>
      <c r="P42" s="843"/>
      <c r="Q42" s="843"/>
      <c r="R42" s="843"/>
      <c r="S42" s="843"/>
      <c r="T42" s="843"/>
    </row>
    <row r="43" spans="1:20" x14ac:dyDescent="0.25">
      <c r="A43" s="842" t="s">
        <v>1872</v>
      </c>
      <c r="B43" s="843">
        <v>13</v>
      </c>
      <c r="C43" s="843">
        <v>11</v>
      </c>
      <c r="D43" s="843">
        <v>15</v>
      </c>
      <c r="E43" s="843">
        <v>13</v>
      </c>
      <c r="F43" s="843">
        <v>18</v>
      </c>
      <c r="G43" s="843">
        <v>14</v>
      </c>
      <c r="I43" s="843">
        <v>4</v>
      </c>
      <c r="J43" s="843"/>
      <c r="K43" s="843"/>
      <c r="L43" s="843"/>
      <c r="M43" s="843">
        <v>4</v>
      </c>
      <c r="N43" s="843"/>
      <c r="O43" s="843"/>
      <c r="P43" s="843"/>
      <c r="Q43" s="843">
        <v>4</v>
      </c>
      <c r="R43" s="843"/>
      <c r="S43" s="843"/>
      <c r="T43" s="843"/>
    </row>
    <row r="44" spans="1:20" x14ac:dyDescent="0.25">
      <c r="A44" s="842" t="s">
        <v>1873</v>
      </c>
      <c r="B44" s="843">
        <v>13</v>
      </c>
      <c r="C44" s="843">
        <v>12</v>
      </c>
      <c r="D44" s="843">
        <v>14</v>
      </c>
      <c r="E44" s="843">
        <v>15</v>
      </c>
      <c r="F44" s="843">
        <v>12</v>
      </c>
      <c r="G44" s="843">
        <v>15</v>
      </c>
      <c r="I44" s="843"/>
      <c r="J44" s="843"/>
      <c r="K44" s="843">
        <v>3</v>
      </c>
      <c r="L44" s="843"/>
      <c r="M44" s="843"/>
      <c r="N44" s="843"/>
      <c r="O44" s="843"/>
      <c r="P44" s="843"/>
      <c r="Q44" s="843"/>
      <c r="R44" s="843">
        <v>6</v>
      </c>
      <c r="S44" s="843"/>
      <c r="T44" s="843"/>
    </row>
    <row r="45" spans="1:20" x14ac:dyDescent="0.25">
      <c r="A45" s="842" t="s">
        <v>1874</v>
      </c>
      <c r="B45" s="843">
        <v>10</v>
      </c>
      <c r="C45" s="843">
        <v>14</v>
      </c>
      <c r="D45" s="843">
        <v>13</v>
      </c>
      <c r="E45" s="843">
        <v>16</v>
      </c>
      <c r="F45" s="843">
        <v>16</v>
      </c>
      <c r="G45" s="843">
        <v>20</v>
      </c>
      <c r="I45" s="843">
        <v>3</v>
      </c>
      <c r="J45" s="843"/>
      <c r="K45" s="843">
        <v>3</v>
      </c>
      <c r="L45" s="843"/>
      <c r="M45" s="843"/>
      <c r="N45" s="843"/>
      <c r="O45" s="843"/>
      <c r="P45" s="843"/>
      <c r="Q45" s="843"/>
      <c r="R45" s="843">
        <v>3</v>
      </c>
      <c r="S45" s="843"/>
      <c r="T45" s="843"/>
    </row>
    <row r="46" spans="1:20" x14ac:dyDescent="0.25">
      <c r="A46" s="842" t="s">
        <v>1875</v>
      </c>
      <c r="B46" s="843">
        <v>11</v>
      </c>
      <c r="C46" s="843">
        <v>12</v>
      </c>
      <c r="D46" s="843">
        <v>11</v>
      </c>
      <c r="E46" s="843">
        <v>17</v>
      </c>
      <c r="F46" s="843">
        <v>14</v>
      </c>
      <c r="G46" s="843">
        <v>9</v>
      </c>
      <c r="I46" s="843"/>
      <c r="J46" s="843"/>
      <c r="K46" s="843">
        <v>5</v>
      </c>
      <c r="L46" s="843"/>
      <c r="M46" s="843"/>
      <c r="N46" s="843"/>
      <c r="O46" s="843"/>
      <c r="P46" s="843"/>
      <c r="Q46" s="843">
        <v>5</v>
      </c>
      <c r="R46" s="843"/>
      <c r="S46" s="843"/>
      <c r="T46" s="843"/>
    </row>
    <row r="47" spans="1:20" x14ac:dyDescent="0.25">
      <c r="A47" s="842" t="s">
        <v>1876</v>
      </c>
      <c r="B47" s="843">
        <v>18</v>
      </c>
      <c r="C47" s="843">
        <v>14</v>
      </c>
      <c r="D47" s="843">
        <v>18</v>
      </c>
      <c r="E47" s="843">
        <v>12</v>
      </c>
      <c r="F47" s="843">
        <v>13</v>
      </c>
      <c r="G47" s="843">
        <v>16</v>
      </c>
      <c r="I47" s="843">
        <v>5</v>
      </c>
      <c r="J47" s="843">
        <v>7</v>
      </c>
      <c r="K47" s="843"/>
      <c r="L47" s="843"/>
      <c r="M47" s="843"/>
      <c r="N47" s="843">
        <v>7</v>
      </c>
      <c r="O47" s="843">
        <v>7</v>
      </c>
      <c r="P47" s="843"/>
      <c r="Q47" s="843"/>
      <c r="R47" s="843"/>
      <c r="S47" s="843"/>
      <c r="T47" s="843">
        <v>7</v>
      </c>
    </row>
    <row r="48" spans="1:20" x14ac:dyDescent="0.25">
      <c r="A48" s="842" t="s">
        <v>1877</v>
      </c>
      <c r="B48" s="844">
        <v>14</v>
      </c>
      <c r="C48" s="844">
        <v>14</v>
      </c>
      <c r="D48" s="844"/>
      <c r="E48" s="844"/>
      <c r="F48" s="844"/>
      <c r="G48" s="844"/>
      <c r="I48" s="843"/>
      <c r="J48" s="843"/>
      <c r="K48" s="843"/>
      <c r="L48" s="843"/>
      <c r="M48" s="843"/>
      <c r="N48" s="843"/>
      <c r="O48" s="843"/>
      <c r="P48" s="843">
        <v>6</v>
      </c>
      <c r="Q48" s="843"/>
      <c r="R48" s="843"/>
      <c r="S48" s="843"/>
      <c r="T48" s="843"/>
    </row>
    <row r="49" spans="10:20" x14ac:dyDescent="0.25">
      <c r="J49" s="843"/>
      <c r="K49" s="843"/>
      <c r="L49" s="843"/>
      <c r="M49" s="843"/>
      <c r="N49" s="843"/>
      <c r="O49" s="843"/>
      <c r="P49" s="843"/>
      <c r="Q49" s="843"/>
      <c r="R49" s="843"/>
      <c r="S49" s="843"/>
      <c r="T49" s="843"/>
    </row>
    <row r="50" spans="10:20" x14ac:dyDescent="0.25">
      <c r="J50" s="843"/>
      <c r="K50" s="843"/>
      <c r="L50" s="843"/>
      <c r="M50" s="843"/>
      <c r="N50" s="843"/>
      <c r="O50" s="843"/>
      <c r="P50" s="843"/>
      <c r="Q50" s="843"/>
      <c r="R50" s="843"/>
      <c r="S50" s="843"/>
      <c r="T50" s="843"/>
    </row>
    <row r="51" spans="10:20" x14ac:dyDescent="0.25">
      <c r="J51" s="843"/>
      <c r="K51" s="843"/>
      <c r="L51" s="843"/>
      <c r="M51" s="843"/>
      <c r="N51" s="843"/>
      <c r="O51" s="843"/>
      <c r="P51" s="843"/>
      <c r="Q51" s="843"/>
      <c r="R51" s="843"/>
      <c r="S51" s="843"/>
      <c r="T51" s="84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DL55"/>
  <sheetViews>
    <sheetView workbookViewId="0">
      <selection activeCell="F2" sqref="F2:G2"/>
    </sheetView>
  </sheetViews>
  <sheetFormatPr defaultRowHeight="15" x14ac:dyDescent="0.25"/>
  <cols>
    <col min="1" max="1" width="9.140625" style="61"/>
    <col min="2" max="4" width="15.42578125" style="61" customWidth="1"/>
    <col min="5" max="5" width="23.7109375" style="61" customWidth="1"/>
    <col min="6" max="6" width="15.42578125" style="61" customWidth="1"/>
    <col min="7" max="7" width="23.7109375" style="61" customWidth="1"/>
    <col min="8" max="8" width="4.42578125" style="61" customWidth="1"/>
    <col min="9" max="10" width="4.85546875" style="61" customWidth="1"/>
    <col min="11" max="11" width="4.140625" style="61" customWidth="1"/>
    <col min="12" max="12" width="4.5703125" style="61" customWidth="1"/>
    <col min="13" max="13" width="4.7109375" style="61" customWidth="1"/>
    <col min="14" max="15" width="11.7109375" style="61" customWidth="1"/>
    <col min="16" max="16" width="10.28515625" style="61" customWidth="1"/>
    <col min="17" max="17" width="11.5703125" style="61" bestFit="1" customWidth="1"/>
    <col min="18" max="18" width="10.7109375" style="61" bestFit="1" customWidth="1"/>
    <col min="19" max="19" width="12.85546875" style="61" bestFit="1" customWidth="1"/>
    <col min="20" max="21" width="10.7109375" style="61" bestFit="1" customWidth="1"/>
    <col min="22" max="22" width="8" style="61" bestFit="1" customWidth="1"/>
    <col min="23" max="23" width="10.28515625" style="61" bestFit="1" customWidth="1"/>
    <col min="24" max="24" width="13.28515625" style="61" bestFit="1" customWidth="1"/>
    <col min="25" max="25" width="15.28515625" style="61" bestFit="1" customWidth="1"/>
    <col min="26" max="26" width="11.5703125" style="61" bestFit="1" customWidth="1"/>
    <col min="27" max="27" width="11" style="61" bestFit="1" customWidth="1"/>
    <col min="28" max="28" width="69.28515625" style="493" customWidth="1"/>
    <col min="29" max="29" width="9.140625" style="61" customWidth="1"/>
    <col min="30" max="48" width="9.140625" style="61" hidden="1" customWidth="1"/>
    <col min="49" max="51" width="0" style="61" hidden="1" customWidth="1"/>
    <col min="52" max="52" width="10.28515625" style="61" hidden="1" customWidth="1"/>
    <col min="53" max="53" width="11.5703125" style="61" hidden="1" customWidth="1"/>
    <col min="54" max="54" width="10.7109375" style="61" hidden="1" customWidth="1"/>
    <col min="55" max="55" width="12.85546875" style="61" hidden="1" customWidth="1"/>
    <col min="56" max="57" width="10.7109375" style="61" hidden="1" customWidth="1"/>
    <col min="58" max="58" width="8" style="61" hidden="1" customWidth="1"/>
    <col min="59" max="59" width="10.28515625" style="61" hidden="1" customWidth="1"/>
    <col min="60" max="60" width="13.28515625" style="61" hidden="1" customWidth="1"/>
    <col min="61" max="61" width="15.28515625" style="61" hidden="1" customWidth="1"/>
    <col min="62" max="62" width="11.5703125" style="61" hidden="1" customWidth="1"/>
    <col min="63" max="63" width="11" style="61" hidden="1" customWidth="1"/>
    <col min="64" max="65" width="0" style="61" hidden="1" customWidth="1"/>
    <col min="66" max="66" width="10.28515625" style="61" hidden="1" customWidth="1"/>
    <col min="67" max="67" width="11.5703125" style="61" hidden="1" customWidth="1"/>
    <col min="68" max="68" width="10.7109375" style="61" hidden="1" customWidth="1"/>
    <col min="69" max="69" width="12.85546875" style="61" hidden="1" customWidth="1"/>
    <col min="70" max="71" width="10.7109375" style="61" hidden="1" customWidth="1"/>
    <col min="72" max="72" width="8" style="61" hidden="1" customWidth="1"/>
    <col min="73" max="73" width="10.28515625" style="61" hidden="1" customWidth="1"/>
    <col min="74" max="74" width="13.28515625" style="61" hidden="1" customWidth="1"/>
    <col min="75" max="75" width="15.28515625" style="61" hidden="1" customWidth="1"/>
    <col min="76" max="76" width="11.5703125" style="61" hidden="1" customWidth="1"/>
    <col min="77" max="77" width="11" style="61" hidden="1" customWidth="1"/>
    <col min="78" max="88" width="0" style="61" hidden="1" customWidth="1"/>
    <col min="89" max="89" width="10.28515625" style="61" hidden="1" customWidth="1"/>
    <col min="90" max="90" width="11.5703125" style="61" hidden="1" customWidth="1"/>
    <col min="91" max="91" width="10.7109375" style="61" hidden="1" customWidth="1"/>
    <col min="92" max="92" width="12.85546875" style="61" hidden="1" customWidth="1"/>
    <col min="93" max="94" width="10.7109375" style="61" hidden="1" customWidth="1"/>
    <col min="95" max="95" width="8" style="61" hidden="1" customWidth="1"/>
    <col min="96" max="96" width="10.28515625" style="61" hidden="1" customWidth="1"/>
    <col min="97" max="97" width="13.28515625" style="61" hidden="1" customWidth="1"/>
    <col min="98" max="98" width="15.28515625" style="61" hidden="1" customWidth="1"/>
    <col min="99" max="99" width="11.5703125" style="61" hidden="1" customWidth="1"/>
    <col min="100" max="100" width="11" style="61" hidden="1" customWidth="1"/>
    <col min="101" max="116" width="0" style="61" hidden="1" customWidth="1"/>
    <col min="117" max="16384" width="9.140625" style="61"/>
  </cols>
  <sheetData>
    <row r="1" spans="1:116" ht="15.75" thickBot="1" x14ac:dyDescent="0.3">
      <c r="F1" s="674" t="s">
        <v>1600</v>
      </c>
      <c r="G1" s="675"/>
      <c r="AH1" s="61" t="s">
        <v>1616</v>
      </c>
      <c r="BD1" s="61" t="s">
        <v>1599</v>
      </c>
      <c r="BR1" s="61" t="s">
        <v>1600</v>
      </c>
      <c r="CK1" s="61">
        <f>IF(F1="Ultimate Campaign Core",1,IF(F1="Ultimate Campaign Optional",2,IF(F1="Ultimate Rulership Optional",3,IF(F1="Tarondor Variant",4,0))))</f>
        <v>3</v>
      </c>
    </row>
    <row r="2" spans="1:116" ht="15.75" thickBot="1" x14ac:dyDescent="0.3">
      <c r="F2" s="676" t="str">
        <f>VLOOKUP(F1,'Drop Down'!$W$79:$Z$82,4,FALSE)</f>
        <v>Flat bonus plus 1/3 skill ranks</v>
      </c>
      <c r="G2" s="677"/>
    </row>
    <row r="3" spans="1:116" ht="15.75" thickBot="1" x14ac:dyDescent="0.3">
      <c r="A3" s="483" t="s">
        <v>1058</v>
      </c>
      <c r="B3" s="484" t="s">
        <v>78</v>
      </c>
      <c r="C3" s="484" t="s">
        <v>1420</v>
      </c>
      <c r="D3" s="484" t="s">
        <v>425</v>
      </c>
      <c r="E3" s="484" t="s">
        <v>1419</v>
      </c>
      <c r="F3" s="484" t="s">
        <v>1501</v>
      </c>
      <c r="G3" s="484" t="s">
        <v>1502</v>
      </c>
      <c r="H3" s="484" t="s">
        <v>1059</v>
      </c>
      <c r="I3" s="484" t="s">
        <v>1060</v>
      </c>
      <c r="J3" s="484" t="s">
        <v>1061</v>
      </c>
      <c r="K3" s="484" t="s">
        <v>1062</v>
      </c>
      <c r="L3" s="484" t="s">
        <v>1063</v>
      </c>
      <c r="M3" s="484" t="s">
        <v>216</v>
      </c>
      <c r="N3" s="485" t="s">
        <v>1064</v>
      </c>
      <c r="O3" s="485" t="s">
        <v>1606</v>
      </c>
      <c r="P3" s="485" t="s">
        <v>1065</v>
      </c>
      <c r="Q3" s="485" t="s">
        <v>1066</v>
      </c>
      <c r="R3" s="485" t="s">
        <v>1067</v>
      </c>
      <c r="S3" s="485" t="s">
        <v>1068</v>
      </c>
      <c r="T3" s="485" t="s">
        <v>1069</v>
      </c>
      <c r="U3" s="485" t="s">
        <v>1070</v>
      </c>
      <c r="V3" s="485" t="s">
        <v>1071</v>
      </c>
      <c r="W3" s="485" t="s">
        <v>1072</v>
      </c>
      <c r="X3" s="485" t="s">
        <v>1073</v>
      </c>
      <c r="Y3" s="485" t="s">
        <v>1074</v>
      </c>
      <c r="Z3" s="485" t="s">
        <v>1075</v>
      </c>
      <c r="AA3" s="485" t="s">
        <v>1076</v>
      </c>
      <c r="AB3" s="486" t="s">
        <v>480</v>
      </c>
      <c r="AE3" s="487" t="s">
        <v>1077</v>
      </c>
      <c r="AF3" s="487" t="s">
        <v>1078</v>
      </c>
      <c r="AG3" s="487" t="s">
        <v>1079</v>
      </c>
      <c r="AH3" s="487" t="s">
        <v>1080</v>
      </c>
      <c r="AI3" s="487" t="s">
        <v>1081</v>
      </c>
      <c r="AJ3" s="487" t="s">
        <v>1082</v>
      </c>
      <c r="AK3" s="487" t="s">
        <v>1083</v>
      </c>
      <c r="AL3" s="487" t="s">
        <v>1084</v>
      </c>
      <c r="AO3" s="487" t="s">
        <v>216</v>
      </c>
      <c r="AP3" s="487" t="s">
        <v>1077</v>
      </c>
      <c r="AQ3" s="487" t="s">
        <v>1078</v>
      </c>
      <c r="AR3" s="487" t="s">
        <v>1079</v>
      </c>
      <c r="AS3" s="487" t="s">
        <v>1080</v>
      </c>
      <c r="AT3" s="487" t="s">
        <v>1081</v>
      </c>
      <c r="AU3" s="487" t="s">
        <v>1082</v>
      </c>
      <c r="AV3" s="487" t="s">
        <v>1083</v>
      </c>
      <c r="AW3" s="487" t="s">
        <v>1084</v>
      </c>
      <c r="AX3"/>
      <c r="AY3"/>
      <c r="AZ3" s="485" t="s">
        <v>1065</v>
      </c>
      <c r="BA3" s="485" t="s">
        <v>1066</v>
      </c>
      <c r="BB3" s="485" t="s">
        <v>1067</v>
      </c>
      <c r="BC3" s="485" t="s">
        <v>1068</v>
      </c>
      <c r="BD3" s="485" t="s">
        <v>1069</v>
      </c>
      <c r="BE3" s="485" t="s">
        <v>1070</v>
      </c>
      <c r="BF3" s="485" t="s">
        <v>1071</v>
      </c>
      <c r="BG3" s="485" t="s">
        <v>1072</v>
      </c>
      <c r="BH3" s="485" t="s">
        <v>1073</v>
      </c>
      <c r="BI3" s="485" t="s">
        <v>1074</v>
      </c>
      <c r="BJ3" s="485" t="s">
        <v>1075</v>
      </c>
      <c r="BK3" s="485" t="s">
        <v>1076</v>
      </c>
      <c r="BN3" s="485" t="s">
        <v>1065</v>
      </c>
      <c r="BO3" s="485" t="s">
        <v>1066</v>
      </c>
      <c r="BP3" s="485" t="s">
        <v>1067</v>
      </c>
      <c r="BQ3" s="485" t="s">
        <v>1068</v>
      </c>
      <c r="BR3" s="485" t="s">
        <v>1069</v>
      </c>
      <c r="BS3" s="485" t="s">
        <v>1070</v>
      </c>
      <c r="BT3" s="485" t="s">
        <v>1071</v>
      </c>
      <c r="BU3" s="485" t="s">
        <v>1072</v>
      </c>
      <c r="BV3" s="485" t="s">
        <v>1073</v>
      </c>
      <c r="BW3" s="485" t="s">
        <v>1074</v>
      </c>
      <c r="BX3" s="485" t="s">
        <v>1075</v>
      </c>
      <c r="BY3" s="485" t="s">
        <v>1076</v>
      </c>
      <c r="CB3" s="487" t="s">
        <v>216</v>
      </c>
      <c r="CC3" s="487" t="s">
        <v>1077</v>
      </c>
      <c r="CD3" s="487" t="s">
        <v>1078</v>
      </c>
      <c r="CE3" s="487" t="s">
        <v>1079</v>
      </c>
      <c r="CF3" s="487" t="s">
        <v>1080</v>
      </c>
      <c r="CG3" s="487" t="s">
        <v>1081</v>
      </c>
      <c r="CH3" s="487" t="s">
        <v>1082</v>
      </c>
      <c r="CI3" s="487" t="s">
        <v>1083</v>
      </c>
      <c r="CJ3" s="487" t="s">
        <v>1084</v>
      </c>
      <c r="CK3" s="485" t="s">
        <v>1065</v>
      </c>
      <c r="CL3" s="485" t="s">
        <v>1066</v>
      </c>
      <c r="CM3" s="485" t="s">
        <v>1067</v>
      </c>
      <c r="CN3" s="485" t="s">
        <v>1068</v>
      </c>
      <c r="CO3" s="485" t="s">
        <v>1069</v>
      </c>
      <c r="CP3" s="485" t="s">
        <v>1070</v>
      </c>
      <c r="CQ3" s="485" t="s">
        <v>1071</v>
      </c>
      <c r="CR3" s="485" t="s">
        <v>1072</v>
      </c>
      <c r="CS3" s="485" t="s">
        <v>1073</v>
      </c>
      <c r="CT3" s="485" t="s">
        <v>1074</v>
      </c>
      <c r="CU3" s="485" t="s">
        <v>1075</v>
      </c>
      <c r="CV3" s="485" t="s">
        <v>1076</v>
      </c>
      <c r="CY3" s="487" t="s">
        <v>67</v>
      </c>
      <c r="CZ3" s="487" t="s">
        <v>309</v>
      </c>
      <c r="DA3" s="487" t="s">
        <v>68</v>
      </c>
      <c r="DB3" s="487" t="s">
        <v>69</v>
      </c>
      <c r="DC3" s="487" t="s">
        <v>70</v>
      </c>
      <c r="DD3" s="487" t="s">
        <v>310</v>
      </c>
      <c r="DE3" s="487" t="s">
        <v>71</v>
      </c>
      <c r="DF3" s="487" t="s">
        <v>72</v>
      </c>
      <c r="DG3" s="487" t="s">
        <v>73</v>
      </c>
      <c r="DH3" s="487" t="s">
        <v>308</v>
      </c>
      <c r="DI3" s="487" t="s">
        <v>74</v>
      </c>
      <c r="DJ3" s="487" t="s">
        <v>75</v>
      </c>
      <c r="DK3" s="487" t="s">
        <v>612</v>
      </c>
      <c r="DL3" s="487" t="s">
        <v>76</v>
      </c>
    </row>
    <row r="4" spans="1:116" hidden="1" x14ac:dyDescent="0.25">
      <c r="A4" s="488" t="s">
        <v>1085</v>
      </c>
      <c r="B4" s="489"/>
      <c r="C4" s="489"/>
      <c r="D4" s="489"/>
      <c r="E4" s="489"/>
      <c r="F4" s="489"/>
      <c r="G4" s="489"/>
      <c r="H4" s="489"/>
      <c r="I4" s="489"/>
      <c r="J4" s="489"/>
      <c r="K4" s="489"/>
      <c r="L4" s="489"/>
      <c r="M4" s="489"/>
      <c r="N4" s="490"/>
      <c r="O4" s="490"/>
      <c r="P4" s="490"/>
      <c r="Q4" s="490"/>
      <c r="R4" s="490"/>
      <c r="S4" s="490"/>
      <c r="T4" s="490"/>
      <c r="U4" s="490"/>
      <c r="V4" s="490"/>
      <c r="W4" s="490"/>
      <c r="X4" s="490"/>
      <c r="Y4" s="490"/>
      <c r="Z4" s="490"/>
      <c r="AA4" s="490"/>
      <c r="AB4" s="491"/>
      <c r="AD4" s="61">
        <f>IF(N4="Yes",1,0)</f>
        <v>0</v>
      </c>
      <c r="AE4" s="61">
        <f t="shared" ref="AE4:AE35" si="0">IF(ISBLANK(B4),0,(IF(L4&gt;=M4,L4,M4)))</f>
        <v>0</v>
      </c>
      <c r="AF4" s="61">
        <f t="shared" ref="AF4:AF35" si="1">IF(ISBLANK(B4),0,IF(H4&gt;=M4,H4,M4))</f>
        <v>0</v>
      </c>
      <c r="AG4" s="61">
        <f t="shared" ref="AG4:AG35" si="2">IF(ISBLANK(B4),0,IF(K4&gt;=M4,K4,M4))</f>
        <v>0</v>
      </c>
      <c r="AH4" s="61">
        <f t="shared" ref="AH4:AH35" si="3">IF(ISBLANK(B4),0,IF(I4&gt;=L4,I4,L4))</f>
        <v>0</v>
      </c>
      <c r="AI4" s="61">
        <f t="shared" ref="AI4:AI35" si="4">IF(ISBLANK(B4),0,IF(H4&gt;=I4,H4,I4))</f>
        <v>0</v>
      </c>
      <c r="AJ4" s="61">
        <f t="shared" ref="AJ4:AJ35" si="5">IF(ISBLANK(B4),0,IF(I4&gt;=K4,I4,K4))</f>
        <v>0</v>
      </c>
      <c r="AK4" s="61">
        <f t="shared" ref="AK4:AK35" si="6">IF(ISBLANK(B4),0,IF(K4&gt;=L4,K4,L4))</f>
        <v>0</v>
      </c>
      <c r="AL4" s="61">
        <f t="shared" ref="AL4:AL35" si="7">IF(ISBLANK(B4),0,IF(H4&gt;=J4,H4,J4))</f>
        <v>0</v>
      </c>
      <c r="AO4" s="61">
        <f>INT((M4-10)/2)</f>
        <v>-5</v>
      </c>
      <c r="AP4" s="61">
        <f>INT((AE4-10)/2)</f>
        <v>-5</v>
      </c>
      <c r="AQ4" s="61">
        <f t="shared" ref="AQ4:AW19" si="8">INT((AF4-10)/2)</f>
        <v>-5</v>
      </c>
      <c r="AR4" s="61">
        <f t="shared" si="8"/>
        <v>-5</v>
      </c>
      <c r="AS4" s="61">
        <f t="shared" si="8"/>
        <v>-5</v>
      </c>
      <c r="AT4" s="61">
        <f t="shared" si="8"/>
        <v>-5</v>
      </c>
      <c r="AU4" s="61">
        <f t="shared" si="8"/>
        <v>-5</v>
      </c>
      <c r="AV4" s="61">
        <f t="shared" si="8"/>
        <v>-5</v>
      </c>
      <c r="AW4" s="61">
        <f t="shared" si="8"/>
        <v>-5</v>
      </c>
      <c r="AZ4" s="61">
        <f>IF($B4&lt;&gt;"",INT(P4/5),0)</f>
        <v>0</v>
      </c>
      <c r="BA4" s="61">
        <f t="shared" ref="BA4:BK4" si="9">IF($B4&lt;&gt;"",INT(Q4/5),0)</f>
        <v>0</v>
      </c>
      <c r="BB4" s="61">
        <f t="shared" si="9"/>
        <v>0</v>
      </c>
      <c r="BC4" s="61">
        <f t="shared" si="9"/>
        <v>0</v>
      </c>
      <c r="BD4" s="61">
        <f t="shared" si="9"/>
        <v>0</v>
      </c>
      <c r="BE4" s="61">
        <f t="shared" si="9"/>
        <v>0</v>
      </c>
      <c r="BF4" s="61">
        <f t="shared" si="9"/>
        <v>0</v>
      </c>
      <c r="BG4" s="61">
        <f t="shared" si="9"/>
        <v>0</v>
      </c>
      <c r="BH4" s="61">
        <f t="shared" si="9"/>
        <v>0</v>
      </c>
      <c r="BI4" s="61">
        <f t="shared" si="9"/>
        <v>0</v>
      </c>
      <c r="BJ4" s="61">
        <f t="shared" si="9"/>
        <v>0</v>
      </c>
      <c r="BK4" s="61">
        <f t="shared" si="9"/>
        <v>0</v>
      </c>
      <c r="BN4" s="61">
        <f>IF($B4&lt;&gt;"",INT(2+(P4/3)),0)</f>
        <v>0</v>
      </c>
      <c r="BO4" s="61">
        <f t="shared" ref="BO4:BY4" si="10">IF($B4&lt;&gt;"",INT(2+(Q4/3)),0)</f>
        <v>0</v>
      </c>
      <c r="BP4" s="61">
        <f t="shared" si="10"/>
        <v>0</v>
      </c>
      <c r="BQ4" s="61">
        <f t="shared" si="10"/>
        <v>0</v>
      </c>
      <c r="BR4" s="61">
        <f t="shared" si="10"/>
        <v>0</v>
      </c>
      <c r="BS4" s="61">
        <f t="shared" si="10"/>
        <v>0</v>
      </c>
      <c r="BT4" s="61">
        <f t="shared" si="10"/>
        <v>0</v>
      </c>
      <c r="BU4" s="61">
        <f t="shared" si="10"/>
        <v>0</v>
      </c>
      <c r="BV4" s="61">
        <f t="shared" si="10"/>
        <v>0</v>
      </c>
      <c r="BW4" s="61">
        <f t="shared" si="10"/>
        <v>0</v>
      </c>
      <c r="BX4" s="61">
        <f t="shared" si="10"/>
        <v>0</v>
      </c>
      <c r="BY4" s="61">
        <f t="shared" si="10"/>
        <v>0</v>
      </c>
      <c r="CB4" s="61">
        <f>IF($CK$1=3,0,AO4)</f>
        <v>0</v>
      </c>
      <c r="CC4" s="61">
        <f t="shared" ref="CC4:CJ4" si="11">IF($CK$1=3,0,IF($CK$1=1,AP4,IF($CK$1=2,AP4,IF($CK$1=4,AP4,0))))</f>
        <v>0</v>
      </c>
      <c r="CD4" s="61">
        <f t="shared" si="11"/>
        <v>0</v>
      </c>
      <c r="CE4" s="61">
        <f t="shared" si="11"/>
        <v>0</v>
      </c>
      <c r="CF4" s="61">
        <f t="shared" si="11"/>
        <v>0</v>
      </c>
      <c r="CG4" s="61">
        <f t="shared" si="11"/>
        <v>0</v>
      </c>
      <c r="CH4" s="61">
        <f t="shared" si="11"/>
        <v>0</v>
      </c>
      <c r="CI4" s="61">
        <f t="shared" si="11"/>
        <v>0</v>
      </c>
      <c r="CJ4" s="61">
        <f t="shared" si="11"/>
        <v>0</v>
      </c>
      <c r="CK4" s="61">
        <f>IF($CK$1=1,0,IF($CK$1=3,BN4,IF($CK$1=4,BN4,IF($CK$1=2,AZ4,0))))</f>
        <v>0</v>
      </c>
      <c r="CL4" s="61">
        <f t="shared" ref="CL4:CV4" si="12">IF($CK$1=1,0,IF($CK$1=3,BO4,IF($CK$1=4,BO4,IF($CK$1=2,BA4,0))))</f>
        <v>0</v>
      </c>
      <c r="CM4" s="61">
        <f t="shared" si="12"/>
        <v>0</v>
      </c>
      <c r="CN4" s="61">
        <f t="shared" si="12"/>
        <v>0</v>
      </c>
      <c r="CO4" s="61">
        <f t="shared" si="12"/>
        <v>0</v>
      </c>
      <c r="CP4" s="61">
        <f t="shared" si="12"/>
        <v>0</v>
      </c>
      <c r="CQ4" s="61">
        <f t="shared" si="12"/>
        <v>0</v>
      </c>
      <c r="CR4" s="61">
        <f t="shared" si="12"/>
        <v>0</v>
      </c>
      <c r="CS4" s="61">
        <f t="shared" si="12"/>
        <v>0</v>
      </c>
      <c r="CT4" s="61">
        <f t="shared" si="12"/>
        <v>0</v>
      </c>
      <c r="CU4" s="61">
        <f t="shared" si="12"/>
        <v>0</v>
      </c>
      <c r="CV4" s="61">
        <f t="shared" si="12"/>
        <v>0</v>
      </c>
      <c r="CY4" s="61">
        <f>IF($CK$1=4,IF(CL4&gt;CB4,CL4,CB4),CL4+CB4)+IF(O4="Knowledge (Nobility)",1,0)+IF(N4="Yes",1,0)</f>
        <v>0</v>
      </c>
      <c r="CZ4" s="61">
        <f>IF($CK$1=4,IF(CL4&gt;INT(0.5*CB4),CL4,INT(0.5*CB4)),CL4+INT(0.5*CB4))+IF(O4="Knowledge (Nobility)",1,0)+IF(N4="Yes",1,0)</f>
        <v>0</v>
      </c>
      <c r="DA4" s="61">
        <f>IF($CK$1=4,IF(CM4&gt;CC4,CM4,CC4),CM4+CC4)+IF(O4="Knowledge (Local)",1,0)+IF(N4="Yes",1,0)</f>
        <v>0</v>
      </c>
      <c r="DB4" s="61">
        <f>IF($CK$1=4,IF(CN4&gt;CD4,CN4,CD4),CN4+CD4)+IF(O4="Profession (Soldier)",1,0)+IF(N4="Yes",1,0)</f>
        <v>0</v>
      </c>
      <c r="DC4" s="61">
        <f>IF($CK$1=4,IF(CK4&gt;CE4,CK4,CE4),CK4+CE4)+IF(O4="Diplomacy",1,0)+IF(N4="Yes",1,0)</f>
        <v>0</v>
      </c>
      <c r="DD4" s="61">
        <f>IF($CK$1=4,IF(CL4&gt;INT(0.5*CB4),CL4,INT(0.5*CB4)),CL4+INT(0.5*CB4))+IF(O4="Knowledge (Nobility)",1,0)+IF(N4="Yes",1,0)</f>
        <v>0</v>
      </c>
      <c r="DE4" s="61">
        <f>IF($CK$1=4,IF(CO4&gt;CC4,CO4,CC4),CO4+CC4)+IF(O4="Knowledge (Religion)",1,0)+IF(N4="Yes",1,0)</f>
        <v>0</v>
      </c>
      <c r="DF4" s="61">
        <f>IF($CK$1=4,IF(CP4&gt;CE4,CP4,CE4),CP4+CE4)+IF(O4="Knowledge (Arcana)",1,0)+IF(N4="Yes",1,0)</f>
        <v>0</v>
      </c>
      <c r="DG4" s="61">
        <f>IF($CK$1=4,IF(CQ4&gt;CF4,CQ4,CF4),CQ4+CF4)+IF(O4="Survival",1,0)+IF(N4="Yes",1,0)</f>
        <v>0</v>
      </c>
      <c r="DH4" s="61">
        <f>IF($CK$1=4,IF(CR4&gt;CG4,CR4,CG4),CR4+CG4)+IF(O4="Intimidate",1,0)+IF(N4="Yes",1,0)</f>
        <v>0</v>
      </c>
      <c r="DI4" s="61">
        <f>IF($CK$1=4,IF(CS4&gt;CH4,CS4,CH4),CS4+CH4)+IF(O4="Sense Motive",1,0)+IF(N4="Yes",1,0)</f>
        <v>0</v>
      </c>
      <c r="DJ4" s="61">
        <f>IF($CK$1=4,IF(CT4&gt;CI4,CT4,CI4),CT4+CI4)+IF(O4="Profession (Merchant)",1,0)+IF(N4="Yes",1,0)</f>
        <v>0</v>
      </c>
      <c r="DK4" s="61">
        <f>IF($CK$1=4,IF(CU4&gt;INT(0.5*CI4),CU4,INT(0.5*CI4)),CU4+INT(0.5*CI4))+IF(O4="Knowledge (Geography)",1,0)+IF(N4="Yes",1,0)</f>
        <v>0</v>
      </c>
      <c r="DL4" s="61">
        <f>IF($CK$1=4,IF(CV4&gt;CJ4,CV4,CJ4),CV4+CJ4)+IF(O4="Knowledge (Engineering)",1,0)+IF(N4="Yes",1,0)</f>
        <v>0</v>
      </c>
    </row>
    <row r="5" spans="1:116" x14ac:dyDescent="0.25">
      <c r="A5" s="492" t="s">
        <v>1085</v>
      </c>
      <c r="B5" s="422" t="s">
        <v>1858</v>
      </c>
      <c r="C5" s="420" t="s">
        <v>1422</v>
      </c>
      <c r="D5" s="420" t="s">
        <v>1300</v>
      </c>
      <c r="E5" s="539" t="str">
        <f>IF(D5&lt;&gt;"",IF($C5="Male",VLOOKUP(D5,Titles!$K$3:$L$70,2,FALSE),IF($C5="Female",VLOOKUP(D5,Titles!$P$3:$Q$68,2,FALSE),"")),"")</f>
        <v>Her Ladyship</v>
      </c>
      <c r="F5" s="420"/>
      <c r="G5" s="420"/>
      <c r="H5" s="420">
        <v>6</v>
      </c>
      <c r="I5" s="420">
        <v>10</v>
      </c>
      <c r="J5" s="420">
        <v>10</v>
      </c>
      <c r="K5" s="420">
        <v>14</v>
      </c>
      <c r="L5" s="420">
        <v>14</v>
      </c>
      <c r="M5" s="420">
        <v>22</v>
      </c>
      <c r="N5" s="421"/>
      <c r="O5" s="421"/>
      <c r="P5" s="421"/>
      <c r="Q5" s="421">
        <v>3</v>
      </c>
      <c r="R5" s="421"/>
      <c r="S5" s="421"/>
      <c r="T5" s="421"/>
      <c r="U5" s="421"/>
      <c r="V5" s="421"/>
      <c r="W5" s="421"/>
      <c r="X5" s="421"/>
      <c r="Y5" s="421"/>
      <c r="Z5" s="421"/>
      <c r="AA5" s="421"/>
      <c r="AB5" s="423"/>
      <c r="AD5" s="61">
        <f t="shared" ref="AD5:AD55" si="13">IF(N5="Yes",1,0)</f>
        <v>0</v>
      </c>
      <c r="AE5" s="61">
        <f t="shared" si="0"/>
        <v>22</v>
      </c>
      <c r="AF5" s="61">
        <f t="shared" si="1"/>
        <v>22</v>
      </c>
      <c r="AG5" s="61">
        <f t="shared" si="2"/>
        <v>22</v>
      </c>
      <c r="AH5" s="61">
        <f t="shared" si="3"/>
        <v>14</v>
      </c>
      <c r="AI5" s="61">
        <f t="shared" si="4"/>
        <v>10</v>
      </c>
      <c r="AJ5" s="61">
        <f t="shared" si="5"/>
        <v>14</v>
      </c>
      <c r="AK5" s="61">
        <f t="shared" si="6"/>
        <v>14</v>
      </c>
      <c r="AL5" s="61">
        <f t="shared" si="7"/>
        <v>10</v>
      </c>
      <c r="AO5" s="61">
        <f t="shared" ref="AO5:AO55" si="14">INT((M5-10)/2)</f>
        <v>6</v>
      </c>
      <c r="AP5" s="61">
        <f t="shared" ref="AP5:AP55" si="15">INT((AE5-10)/2)</f>
        <v>6</v>
      </c>
      <c r="AQ5" s="61">
        <f t="shared" si="8"/>
        <v>6</v>
      </c>
      <c r="AR5" s="61">
        <f t="shared" si="8"/>
        <v>6</v>
      </c>
      <c r="AS5" s="61">
        <f t="shared" si="8"/>
        <v>2</v>
      </c>
      <c r="AT5" s="61">
        <f t="shared" si="8"/>
        <v>0</v>
      </c>
      <c r="AU5" s="61">
        <f t="shared" si="8"/>
        <v>2</v>
      </c>
      <c r="AV5" s="61">
        <f t="shared" si="8"/>
        <v>2</v>
      </c>
      <c r="AW5" s="61">
        <f t="shared" si="8"/>
        <v>0</v>
      </c>
      <c r="AZ5" s="61">
        <f t="shared" ref="AZ5:AZ53" si="16">IF($B5&lt;&gt;"",INT(P5/5),0)</f>
        <v>0</v>
      </c>
      <c r="BA5" s="61">
        <f t="shared" ref="BA5:BA53" si="17">IF($B5&lt;&gt;"",INT(Q5/5),0)</f>
        <v>0</v>
      </c>
      <c r="BB5" s="61">
        <f t="shared" ref="BB5:BB53" si="18">IF($B5&lt;&gt;"",INT(R5/5),0)</f>
        <v>0</v>
      </c>
      <c r="BC5" s="61">
        <f t="shared" ref="BC5:BC53" si="19">IF($B5&lt;&gt;"",INT(S5/5),0)</f>
        <v>0</v>
      </c>
      <c r="BD5" s="61">
        <f t="shared" ref="BD5:BD53" si="20">IF($B5&lt;&gt;"",INT(T5/5),0)</f>
        <v>0</v>
      </c>
      <c r="BE5" s="61">
        <f t="shared" ref="BE5:BE53" si="21">IF($B5&lt;&gt;"",INT(U5/5),0)</f>
        <v>0</v>
      </c>
      <c r="BF5" s="61">
        <f t="shared" ref="BF5:BF53" si="22">IF($B5&lt;&gt;"",INT(V5/5),0)</f>
        <v>0</v>
      </c>
      <c r="BG5" s="61">
        <f t="shared" ref="BG5:BG53" si="23">IF($B5&lt;&gt;"",INT(W5/5),0)</f>
        <v>0</v>
      </c>
      <c r="BH5" s="61">
        <f t="shared" ref="BH5:BH53" si="24">IF($B5&lt;&gt;"",INT(X5/5),0)</f>
        <v>0</v>
      </c>
      <c r="BI5" s="61">
        <f t="shared" ref="BI5:BI53" si="25">IF($B5&lt;&gt;"",INT(Y5/5),0)</f>
        <v>0</v>
      </c>
      <c r="BJ5" s="61">
        <f t="shared" ref="BJ5:BJ53" si="26">IF($B5&lt;&gt;"",INT(Z5/5),0)</f>
        <v>0</v>
      </c>
      <c r="BK5" s="61">
        <f t="shared" ref="BK5:BK53" si="27">IF($B5&lt;&gt;"",INT(AA5/5),0)</f>
        <v>0</v>
      </c>
      <c r="BN5" s="61">
        <f t="shared" ref="BN5:BN53" si="28">IF($B5&lt;&gt;"",INT(2+(P5/3)),0)</f>
        <v>2</v>
      </c>
      <c r="BO5" s="61">
        <f t="shared" ref="BO5:BO53" si="29">IF($B5&lt;&gt;"",INT(2+(Q5/3)),0)</f>
        <v>3</v>
      </c>
      <c r="BP5" s="61">
        <f t="shared" ref="BP5:BP53" si="30">IF($B5&lt;&gt;"",INT(2+(R5/3)),0)</f>
        <v>2</v>
      </c>
      <c r="BQ5" s="61">
        <f t="shared" ref="BQ5:BQ53" si="31">IF($B5&lt;&gt;"",INT(2+(S5/3)),0)</f>
        <v>2</v>
      </c>
      <c r="BR5" s="61">
        <f t="shared" ref="BR5:BR53" si="32">IF($B5&lt;&gt;"",INT(2+(T5/3)),0)</f>
        <v>2</v>
      </c>
      <c r="BS5" s="61">
        <f t="shared" ref="BS5:BS53" si="33">IF($B5&lt;&gt;"",INT(2+(U5/3)),0)</f>
        <v>2</v>
      </c>
      <c r="BT5" s="61">
        <f t="shared" ref="BT5:BT53" si="34">IF($B5&lt;&gt;"",INT(2+(V5/3)),0)</f>
        <v>2</v>
      </c>
      <c r="BU5" s="61">
        <f t="shared" ref="BU5:BU53" si="35">IF($B5&lt;&gt;"",INT(2+(W5/3)),0)</f>
        <v>2</v>
      </c>
      <c r="BV5" s="61">
        <f t="shared" ref="BV5:BV53" si="36">IF($B5&lt;&gt;"",INT(2+(X5/3)),0)</f>
        <v>2</v>
      </c>
      <c r="BW5" s="61">
        <f t="shared" ref="BW5:BW53" si="37">IF($B5&lt;&gt;"",INT(2+(Y5/3)),0)</f>
        <v>2</v>
      </c>
      <c r="BX5" s="61">
        <f t="shared" ref="BX5:BX53" si="38">IF($B5&lt;&gt;"",INT(2+(Z5/3)),0)</f>
        <v>2</v>
      </c>
      <c r="BY5" s="61">
        <f t="shared" ref="BY5:BY53" si="39">IF($B5&lt;&gt;"",INT(2+(AA5/3)),0)</f>
        <v>2</v>
      </c>
      <c r="CB5" s="61">
        <f t="shared" ref="CB5:CB55" si="40">IF($CK$1=3,0,AO5)</f>
        <v>0</v>
      </c>
      <c r="CC5" s="61">
        <f t="shared" ref="CC5:CC55" si="41">IF($CK$1=3,0,IF($CK$1=1,AP5,IF($CK$1=2,AP5,IF($CK$1=4,AP5,0))))</f>
        <v>0</v>
      </c>
      <c r="CD5" s="61">
        <f t="shared" ref="CD5:CD55" si="42">IF($CK$1=3,0,IF($CK$1=1,AQ5,IF($CK$1=2,AQ5,IF($CK$1=4,AQ5,0))))</f>
        <v>0</v>
      </c>
      <c r="CE5" s="61">
        <f t="shared" ref="CE5:CE55" si="43">IF($CK$1=3,0,IF($CK$1=1,AR5,IF($CK$1=2,AR5,IF($CK$1=4,AR5,0))))</f>
        <v>0</v>
      </c>
      <c r="CF5" s="61">
        <f t="shared" ref="CF5:CF55" si="44">IF($CK$1=3,0,IF($CK$1=1,AS5,IF($CK$1=2,AS5,IF($CK$1=4,AS5,0))))</f>
        <v>0</v>
      </c>
      <c r="CG5" s="61">
        <f t="shared" ref="CG5:CG55" si="45">IF($CK$1=3,0,IF($CK$1=1,AT5,IF($CK$1=2,AT5,IF($CK$1=4,AT5,0))))</f>
        <v>0</v>
      </c>
      <c r="CH5" s="61">
        <f t="shared" ref="CH5:CH55" si="46">IF($CK$1=3,0,IF($CK$1=1,AU5,IF($CK$1=2,AU5,IF($CK$1=4,AU5,0))))</f>
        <v>0</v>
      </c>
      <c r="CI5" s="61">
        <f t="shared" ref="CI5:CI55" si="47">IF($CK$1=3,0,IF($CK$1=1,AV5,IF($CK$1=2,AV5,IF($CK$1=4,AV5,0))))</f>
        <v>0</v>
      </c>
      <c r="CJ5" s="61">
        <f t="shared" ref="CJ5:CJ55" si="48">IF($CK$1=3,0,IF($CK$1=1,AW5,IF($CK$1=2,AW5,IF($CK$1=4,AW5,0))))</f>
        <v>0</v>
      </c>
      <c r="CK5" s="61">
        <f t="shared" ref="CK5:CK53" si="49">IF($CK$1=1,0,IF($CK$1=3,BN5,IF($CK$1=4,BN5,IF($CK$1=2,AZ5,0))))</f>
        <v>2</v>
      </c>
      <c r="CL5" s="61">
        <f t="shared" ref="CL5:CL53" si="50">IF($CK$1=1,0,IF($CK$1=3,BO5,IF($CK$1=4,BO5,IF($CK$1=2,BA5,0))))</f>
        <v>3</v>
      </c>
      <c r="CM5" s="61">
        <f t="shared" ref="CM5:CM53" si="51">IF($CK$1=1,0,IF($CK$1=3,BP5,IF($CK$1=4,BP5,IF($CK$1=2,BB5,0))))</f>
        <v>2</v>
      </c>
      <c r="CN5" s="61">
        <f t="shared" ref="CN5:CN53" si="52">IF($CK$1=1,0,IF($CK$1=3,BQ5,IF($CK$1=4,BQ5,IF($CK$1=2,BC5,0))))</f>
        <v>2</v>
      </c>
      <c r="CO5" s="61">
        <f t="shared" ref="CO5:CO53" si="53">IF($CK$1=1,0,IF($CK$1=3,BR5,IF($CK$1=4,BR5,IF($CK$1=2,BD5,0))))</f>
        <v>2</v>
      </c>
      <c r="CP5" s="61">
        <f t="shared" ref="CP5:CP53" si="54">IF($CK$1=1,0,IF($CK$1=3,BS5,IF($CK$1=4,BS5,IF($CK$1=2,BE5,0))))</f>
        <v>2</v>
      </c>
      <c r="CQ5" s="61">
        <f t="shared" ref="CQ5:CQ53" si="55">IF($CK$1=1,0,IF($CK$1=3,BT5,IF($CK$1=4,BT5,IF($CK$1=2,BF5,0))))</f>
        <v>2</v>
      </c>
      <c r="CR5" s="61">
        <f t="shared" ref="CR5:CR53" si="56">IF($CK$1=1,0,IF($CK$1=3,BU5,IF($CK$1=4,BU5,IF($CK$1=2,BG5,0))))</f>
        <v>2</v>
      </c>
      <c r="CS5" s="61">
        <f t="shared" ref="CS5:CS53" si="57">IF($CK$1=1,0,IF($CK$1=3,BV5,IF($CK$1=4,BV5,IF($CK$1=2,BH5,0))))</f>
        <v>2</v>
      </c>
      <c r="CT5" s="61">
        <f t="shared" ref="CT5:CT53" si="58">IF($CK$1=1,0,IF($CK$1=3,BW5,IF($CK$1=4,BW5,IF($CK$1=2,BI5,0))))</f>
        <v>2</v>
      </c>
      <c r="CU5" s="61">
        <f t="shared" ref="CU5:CU53" si="59">IF($CK$1=1,0,IF($CK$1=3,BX5,IF($CK$1=4,BX5,IF($CK$1=2,BJ5,0))))</f>
        <v>2</v>
      </c>
      <c r="CV5" s="61">
        <f t="shared" ref="CV5:CV53" si="60">IF($CK$1=1,0,IF($CK$1=3,BY5,IF($CK$1=4,BY5,IF($CK$1=2,BK5,0))))</f>
        <v>2</v>
      </c>
      <c r="CY5" s="61">
        <f t="shared" ref="CY5:CY55" si="61">IF($CK$1=4,IF(CL5&gt;CB5,CL5,CB5),CL5+CB5)+IF(O5="Knowledge (Nobility)",1,0)+IF(N5="Yes",1,0)</f>
        <v>3</v>
      </c>
      <c r="CZ5" s="61">
        <f t="shared" ref="CZ5:CZ55" si="62">IF($CK$1=4,IF(CL5&gt;INT(0.5*CB5),CL5,INT(0.5*CB5)),CL5+INT(0.5*CB5))+IF(O5="Knowledge (Nobility)",1,0)+IF(N5="Yes",1,0)</f>
        <v>3</v>
      </c>
      <c r="DA5" s="61">
        <f t="shared" ref="DA5:DA55" si="63">IF($CK$1=4,IF(CM5&gt;CC5,CM5,CC5),CM5+CC5)+IF(O5="Knowledge (Local)",1,0)+IF(N5="Yes",1,0)</f>
        <v>2</v>
      </c>
      <c r="DB5" s="61">
        <f t="shared" ref="DB5:DB55" si="64">IF($CK$1=4,IF(CN5&gt;CD5,CN5,CD5),CN5+CD5)+IF(O5="Profession (Soldier)",1,0)+IF(N5="Yes",1,0)</f>
        <v>2</v>
      </c>
      <c r="DC5" s="61">
        <f t="shared" ref="DC5:DC55" si="65">IF($CK$1=4,IF(CK5&gt;CE5,CK5,CE5),CK5+CE5)+IF(O5="Diplomacy",1,0)+IF(N5="Yes",1,0)</f>
        <v>2</v>
      </c>
      <c r="DD5" s="61">
        <f t="shared" ref="DD5:DD55" si="66">IF($CK$1=4,IF(CL5&gt;INT(0.5*CB5),CL5,INT(0.5*CB5)),CL5+INT(0.5*CB5))+IF(O5="Knowledge (Nobility)",1,0)+IF(N5="Yes",1,0)</f>
        <v>3</v>
      </c>
      <c r="DE5" s="61">
        <f t="shared" ref="DE5:DE55" si="67">IF($CK$1=4,IF(CO5&gt;CC5,CO5,CC5),CO5+CC5)+IF(O5="Knowledge (Religion)",1,0)+IF(N5="Yes",1,0)</f>
        <v>2</v>
      </c>
      <c r="DF5" s="61">
        <f t="shared" ref="DF5:DF55" si="68">IF($CK$1=4,IF(CP5&gt;CE5,CP5,CE5),CP5+CE5)+IF(O5="Knowledge (Arcana)",1,0)+IF(N5="Yes",1,0)</f>
        <v>2</v>
      </c>
      <c r="DG5" s="61">
        <f t="shared" ref="DG5:DG55" si="69">IF($CK$1=4,IF(CQ5&gt;CF5,CQ5,CF5),CQ5+CF5)+IF(O5="Survival",1,0)+IF(N5="Yes",1,0)</f>
        <v>2</v>
      </c>
      <c r="DH5" s="61">
        <f t="shared" ref="DH5:DH55" si="70">IF($CK$1=4,IF(CR5&gt;CG5,CR5,CG5),CR5+CG5)+IF(O5="Intimidate",1,0)+IF(N5="Yes",1,0)</f>
        <v>2</v>
      </c>
      <c r="DI5" s="61">
        <f t="shared" ref="DI5:DI55" si="71">IF($CK$1=4,IF(CS5&gt;CH5,CS5,CH5),CS5+CH5)+IF(O5="Sense Motive",1,0)+IF(N5="Yes",1,0)</f>
        <v>2</v>
      </c>
      <c r="DJ5" s="61">
        <f t="shared" ref="DJ5:DJ55" si="72">IF($CK$1=4,IF(CT5&gt;CI5,CT5,CI5),CT5+CI5)+IF(O5="Profession (Merchant)",1,0)+IF(N5="Yes",1,0)</f>
        <v>2</v>
      </c>
      <c r="DK5" s="61">
        <f t="shared" ref="DK5:DK55" si="73">IF($CK$1=4,IF(CU5&gt;INT(0.5*CI5),CU5,INT(0.5*CI5)),CU5+INT(0.5*CI5))+IF(O5="Knowledge (Geography)",1,0)+IF(N5="Yes",1,0)</f>
        <v>2</v>
      </c>
      <c r="DL5" s="61">
        <f t="shared" ref="DL5:DL55" si="74">IF($CK$1=4,IF(CV5&gt;CJ5,CV5,CJ5),CV5+CJ5)+IF(O5="Knowledge (Engineering)",1,0)+IF(N5="Yes",1,0)</f>
        <v>2</v>
      </c>
    </row>
    <row r="6" spans="1:116" x14ac:dyDescent="0.25">
      <c r="A6" s="492" t="s">
        <v>1085</v>
      </c>
      <c r="B6" s="422" t="s">
        <v>1859</v>
      </c>
      <c r="C6" s="420" t="s">
        <v>1421</v>
      </c>
      <c r="D6" s="420" t="s">
        <v>1285</v>
      </c>
      <c r="E6" s="539" t="str">
        <f>IF(D6&lt;&gt;"",IF($C6="Male",VLOOKUP(D6,Titles!$K$3:$L$70,2,FALSE),IF($C6="Female",VLOOKUP(D6,Titles!$P$3:$Q$68,2,FALSE),"")),"")</f>
        <v>Sir</v>
      </c>
      <c r="F6" s="420"/>
      <c r="G6" s="420"/>
      <c r="H6" s="420">
        <v>18</v>
      </c>
      <c r="I6" s="420">
        <v>24</v>
      </c>
      <c r="J6" s="420">
        <v>19</v>
      </c>
      <c r="K6" s="420">
        <v>13</v>
      </c>
      <c r="L6" s="420">
        <v>16</v>
      </c>
      <c r="M6" s="420">
        <v>6</v>
      </c>
      <c r="N6" s="421"/>
      <c r="O6" s="421"/>
      <c r="P6" s="421"/>
      <c r="Q6" s="421"/>
      <c r="R6" s="421"/>
      <c r="S6" s="421"/>
      <c r="T6" s="421"/>
      <c r="U6" s="421"/>
      <c r="V6" s="421"/>
      <c r="W6" s="421"/>
      <c r="X6" s="421">
        <v>1</v>
      </c>
      <c r="Y6" s="421"/>
      <c r="Z6" s="421"/>
      <c r="AA6" s="421"/>
      <c r="AB6" s="423"/>
      <c r="AD6" s="61">
        <f t="shared" si="13"/>
        <v>0</v>
      </c>
      <c r="AE6" s="61">
        <f t="shared" si="0"/>
        <v>16</v>
      </c>
      <c r="AF6" s="61">
        <f t="shared" si="1"/>
        <v>18</v>
      </c>
      <c r="AG6" s="61">
        <f t="shared" si="2"/>
        <v>13</v>
      </c>
      <c r="AH6" s="61">
        <f t="shared" si="3"/>
        <v>24</v>
      </c>
      <c r="AI6" s="61">
        <f t="shared" si="4"/>
        <v>24</v>
      </c>
      <c r="AJ6" s="61">
        <f t="shared" si="5"/>
        <v>24</v>
      </c>
      <c r="AK6" s="61">
        <f t="shared" si="6"/>
        <v>16</v>
      </c>
      <c r="AL6" s="61">
        <f t="shared" si="7"/>
        <v>19</v>
      </c>
      <c r="AO6" s="61">
        <f t="shared" si="14"/>
        <v>-2</v>
      </c>
      <c r="AP6" s="61">
        <f t="shared" si="15"/>
        <v>3</v>
      </c>
      <c r="AQ6" s="61">
        <f t="shared" si="8"/>
        <v>4</v>
      </c>
      <c r="AR6" s="61">
        <f t="shared" si="8"/>
        <v>1</v>
      </c>
      <c r="AS6" s="61">
        <f t="shared" si="8"/>
        <v>7</v>
      </c>
      <c r="AT6" s="61">
        <f t="shared" si="8"/>
        <v>7</v>
      </c>
      <c r="AU6" s="61">
        <f t="shared" si="8"/>
        <v>7</v>
      </c>
      <c r="AV6" s="61">
        <f t="shared" si="8"/>
        <v>3</v>
      </c>
      <c r="AW6" s="61">
        <f t="shared" si="8"/>
        <v>4</v>
      </c>
      <c r="AZ6" s="61">
        <f t="shared" si="16"/>
        <v>0</v>
      </c>
      <c r="BA6" s="61">
        <f t="shared" si="17"/>
        <v>0</v>
      </c>
      <c r="BB6" s="61">
        <f t="shared" si="18"/>
        <v>0</v>
      </c>
      <c r="BC6" s="61">
        <f t="shared" si="19"/>
        <v>0</v>
      </c>
      <c r="BD6" s="61">
        <f t="shared" si="20"/>
        <v>0</v>
      </c>
      <c r="BE6" s="61">
        <f t="shared" si="21"/>
        <v>0</v>
      </c>
      <c r="BF6" s="61">
        <f t="shared" si="22"/>
        <v>0</v>
      </c>
      <c r="BG6" s="61">
        <f t="shared" si="23"/>
        <v>0</v>
      </c>
      <c r="BH6" s="61">
        <f t="shared" si="24"/>
        <v>0</v>
      </c>
      <c r="BI6" s="61">
        <f t="shared" si="25"/>
        <v>0</v>
      </c>
      <c r="BJ6" s="61">
        <f t="shared" si="26"/>
        <v>0</v>
      </c>
      <c r="BK6" s="61">
        <f t="shared" si="27"/>
        <v>0</v>
      </c>
      <c r="BN6" s="61">
        <f t="shared" si="28"/>
        <v>2</v>
      </c>
      <c r="BO6" s="61">
        <f t="shared" si="29"/>
        <v>2</v>
      </c>
      <c r="BP6" s="61">
        <f t="shared" si="30"/>
        <v>2</v>
      </c>
      <c r="BQ6" s="61">
        <f t="shared" si="31"/>
        <v>2</v>
      </c>
      <c r="BR6" s="61">
        <f t="shared" si="32"/>
        <v>2</v>
      </c>
      <c r="BS6" s="61">
        <f t="shared" si="33"/>
        <v>2</v>
      </c>
      <c r="BT6" s="61">
        <f t="shared" si="34"/>
        <v>2</v>
      </c>
      <c r="BU6" s="61">
        <f t="shared" si="35"/>
        <v>2</v>
      </c>
      <c r="BV6" s="61">
        <f t="shared" si="36"/>
        <v>2</v>
      </c>
      <c r="BW6" s="61">
        <f t="shared" si="37"/>
        <v>2</v>
      </c>
      <c r="BX6" s="61">
        <f t="shared" si="38"/>
        <v>2</v>
      </c>
      <c r="BY6" s="61">
        <f t="shared" si="39"/>
        <v>2</v>
      </c>
      <c r="CB6" s="61">
        <f t="shared" si="40"/>
        <v>0</v>
      </c>
      <c r="CC6" s="61">
        <f t="shared" si="41"/>
        <v>0</v>
      </c>
      <c r="CD6" s="61">
        <f t="shared" si="42"/>
        <v>0</v>
      </c>
      <c r="CE6" s="61">
        <f t="shared" si="43"/>
        <v>0</v>
      </c>
      <c r="CF6" s="61">
        <f t="shared" si="44"/>
        <v>0</v>
      </c>
      <c r="CG6" s="61">
        <f t="shared" si="45"/>
        <v>0</v>
      </c>
      <c r="CH6" s="61">
        <f t="shared" si="46"/>
        <v>0</v>
      </c>
      <c r="CI6" s="61">
        <f t="shared" si="47"/>
        <v>0</v>
      </c>
      <c r="CJ6" s="61">
        <f t="shared" si="48"/>
        <v>0</v>
      </c>
      <c r="CK6" s="61">
        <f t="shared" si="49"/>
        <v>2</v>
      </c>
      <c r="CL6" s="61">
        <f t="shared" si="50"/>
        <v>2</v>
      </c>
      <c r="CM6" s="61">
        <f t="shared" si="51"/>
        <v>2</v>
      </c>
      <c r="CN6" s="61">
        <f t="shared" si="52"/>
        <v>2</v>
      </c>
      <c r="CO6" s="61">
        <f t="shared" si="53"/>
        <v>2</v>
      </c>
      <c r="CP6" s="61">
        <f t="shared" si="54"/>
        <v>2</v>
      </c>
      <c r="CQ6" s="61">
        <f t="shared" si="55"/>
        <v>2</v>
      </c>
      <c r="CR6" s="61">
        <f t="shared" si="56"/>
        <v>2</v>
      </c>
      <c r="CS6" s="61">
        <f t="shared" si="57"/>
        <v>2</v>
      </c>
      <c r="CT6" s="61">
        <f t="shared" si="58"/>
        <v>2</v>
      </c>
      <c r="CU6" s="61">
        <f t="shared" si="59"/>
        <v>2</v>
      </c>
      <c r="CV6" s="61">
        <f t="shared" si="60"/>
        <v>2</v>
      </c>
      <c r="CY6" s="61">
        <f t="shared" si="61"/>
        <v>2</v>
      </c>
      <c r="CZ6" s="61">
        <f t="shared" si="62"/>
        <v>2</v>
      </c>
      <c r="DA6" s="61">
        <f t="shared" si="63"/>
        <v>2</v>
      </c>
      <c r="DB6" s="61">
        <f t="shared" si="64"/>
        <v>2</v>
      </c>
      <c r="DC6" s="61">
        <f t="shared" si="65"/>
        <v>2</v>
      </c>
      <c r="DD6" s="61">
        <f t="shared" si="66"/>
        <v>2</v>
      </c>
      <c r="DE6" s="61">
        <f t="shared" si="67"/>
        <v>2</v>
      </c>
      <c r="DF6" s="61">
        <f t="shared" si="68"/>
        <v>2</v>
      </c>
      <c r="DG6" s="61">
        <f t="shared" si="69"/>
        <v>2</v>
      </c>
      <c r="DH6" s="61">
        <f t="shared" si="70"/>
        <v>2</v>
      </c>
      <c r="DI6" s="61">
        <f t="shared" si="71"/>
        <v>2</v>
      </c>
      <c r="DJ6" s="61">
        <f t="shared" si="72"/>
        <v>2</v>
      </c>
      <c r="DK6" s="61">
        <f t="shared" si="73"/>
        <v>2</v>
      </c>
      <c r="DL6" s="61">
        <f t="shared" si="74"/>
        <v>2</v>
      </c>
    </row>
    <row r="7" spans="1:116" x14ac:dyDescent="0.25">
      <c r="A7" s="492" t="s">
        <v>1085</v>
      </c>
      <c r="B7" s="422" t="s">
        <v>1860</v>
      </c>
      <c r="C7" s="420" t="s">
        <v>1421</v>
      </c>
      <c r="D7" s="420" t="s">
        <v>1285</v>
      </c>
      <c r="E7" s="539" t="str">
        <f>IF(D7&lt;&gt;"",IF($C7="Male",VLOOKUP(D7,Titles!$K$3:$L$70,2,FALSE),IF($C7="Female",VLOOKUP(D7,Titles!$P$3:$Q$68,2,FALSE),"")),"")</f>
        <v>Sir</v>
      </c>
      <c r="F7" s="420"/>
      <c r="G7" s="420"/>
      <c r="H7" s="420">
        <v>19</v>
      </c>
      <c r="I7" s="420">
        <v>16</v>
      </c>
      <c r="J7" s="420">
        <v>15</v>
      </c>
      <c r="K7" s="420">
        <v>13</v>
      </c>
      <c r="L7" s="420">
        <v>13</v>
      </c>
      <c r="M7" s="420">
        <v>13</v>
      </c>
      <c r="N7" s="421"/>
      <c r="O7" s="421"/>
      <c r="P7" s="421"/>
      <c r="Q7" s="421"/>
      <c r="R7" s="421"/>
      <c r="S7" s="421"/>
      <c r="T7" s="421"/>
      <c r="U7" s="421">
        <v>5</v>
      </c>
      <c r="V7" s="421"/>
      <c r="W7" s="421"/>
      <c r="X7" s="421"/>
      <c r="Y7" s="421"/>
      <c r="Z7" s="421"/>
      <c r="AA7" s="421">
        <v>5</v>
      </c>
      <c r="AB7" s="423"/>
      <c r="AD7" s="61">
        <f t="shared" si="13"/>
        <v>0</v>
      </c>
      <c r="AE7" s="61">
        <f t="shared" si="0"/>
        <v>13</v>
      </c>
      <c r="AF7" s="61">
        <f t="shared" si="1"/>
        <v>19</v>
      </c>
      <c r="AG7" s="61">
        <f t="shared" si="2"/>
        <v>13</v>
      </c>
      <c r="AH7" s="61">
        <f t="shared" si="3"/>
        <v>16</v>
      </c>
      <c r="AI7" s="61">
        <f t="shared" si="4"/>
        <v>19</v>
      </c>
      <c r="AJ7" s="61">
        <f t="shared" si="5"/>
        <v>16</v>
      </c>
      <c r="AK7" s="61">
        <f t="shared" si="6"/>
        <v>13</v>
      </c>
      <c r="AL7" s="61">
        <f t="shared" si="7"/>
        <v>19</v>
      </c>
      <c r="AO7" s="61">
        <f t="shared" si="14"/>
        <v>1</v>
      </c>
      <c r="AP7" s="61">
        <f t="shared" si="15"/>
        <v>1</v>
      </c>
      <c r="AQ7" s="61">
        <f t="shared" si="8"/>
        <v>4</v>
      </c>
      <c r="AR7" s="61">
        <f t="shared" si="8"/>
        <v>1</v>
      </c>
      <c r="AS7" s="61">
        <f t="shared" si="8"/>
        <v>3</v>
      </c>
      <c r="AT7" s="61">
        <f t="shared" si="8"/>
        <v>4</v>
      </c>
      <c r="AU7" s="61">
        <f t="shared" si="8"/>
        <v>3</v>
      </c>
      <c r="AV7" s="61">
        <f t="shared" si="8"/>
        <v>1</v>
      </c>
      <c r="AW7" s="61">
        <f t="shared" si="8"/>
        <v>4</v>
      </c>
      <c r="AZ7" s="61">
        <f t="shared" si="16"/>
        <v>0</v>
      </c>
      <c r="BA7" s="61">
        <f t="shared" si="17"/>
        <v>0</v>
      </c>
      <c r="BB7" s="61">
        <f t="shared" si="18"/>
        <v>0</v>
      </c>
      <c r="BC7" s="61">
        <f t="shared" si="19"/>
        <v>0</v>
      </c>
      <c r="BD7" s="61">
        <f t="shared" si="20"/>
        <v>0</v>
      </c>
      <c r="BE7" s="61">
        <f t="shared" si="21"/>
        <v>1</v>
      </c>
      <c r="BF7" s="61">
        <f t="shared" si="22"/>
        <v>0</v>
      </c>
      <c r="BG7" s="61">
        <f t="shared" si="23"/>
        <v>0</v>
      </c>
      <c r="BH7" s="61">
        <f t="shared" si="24"/>
        <v>0</v>
      </c>
      <c r="BI7" s="61">
        <f t="shared" si="25"/>
        <v>0</v>
      </c>
      <c r="BJ7" s="61">
        <f t="shared" si="26"/>
        <v>0</v>
      </c>
      <c r="BK7" s="61">
        <f t="shared" si="27"/>
        <v>1</v>
      </c>
      <c r="BN7" s="61">
        <f t="shared" si="28"/>
        <v>2</v>
      </c>
      <c r="BO7" s="61">
        <f t="shared" si="29"/>
        <v>2</v>
      </c>
      <c r="BP7" s="61">
        <f t="shared" si="30"/>
        <v>2</v>
      </c>
      <c r="BQ7" s="61">
        <f t="shared" si="31"/>
        <v>2</v>
      </c>
      <c r="BR7" s="61">
        <f t="shared" si="32"/>
        <v>2</v>
      </c>
      <c r="BS7" s="61">
        <f t="shared" si="33"/>
        <v>3</v>
      </c>
      <c r="BT7" s="61">
        <f t="shared" si="34"/>
        <v>2</v>
      </c>
      <c r="BU7" s="61">
        <f t="shared" si="35"/>
        <v>2</v>
      </c>
      <c r="BV7" s="61">
        <f t="shared" si="36"/>
        <v>2</v>
      </c>
      <c r="BW7" s="61">
        <f t="shared" si="37"/>
        <v>2</v>
      </c>
      <c r="BX7" s="61">
        <f t="shared" si="38"/>
        <v>2</v>
      </c>
      <c r="BY7" s="61">
        <f t="shared" si="39"/>
        <v>3</v>
      </c>
      <c r="CB7" s="61">
        <f t="shared" si="40"/>
        <v>0</v>
      </c>
      <c r="CC7" s="61">
        <f t="shared" si="41"/>
        <v>0</v>
      </c>
      <c r="CD7" s="61">
        <f t="shared" si="42"/>
        <v>0</v>
      </c>
      <c r="CE7" s="61">
        <f t="shared" si="43"/>
        <v>0</v>
      </c>
      <c r="CF7" s="61">
        <f t="shared" si="44"/>
        <v>0</v>
      </c>
      <c r="CG7" s="61">
        <f t="shared" si="45"/>
        <v>0</v>
      </c>
      <c r="CH7" s="61">
        <f t="shared" si="46"/>
        <v>0</v>
      </c>
      <c r="CI7" s="61">
        <f t="shared" si="47"/>
        <v>0</v>
      </c>
      <c r="CJ7" s="61">
        <f t="shared" si="48"/>
        <v>0</v>
      </c>
      <c r="CK7" s="61">
        <f t="shared" si="49"/>
        <v>2</v>
      </c>
      <c r="CL7" s="61">
        <f t="shared" si="50"/>
        <v>2</v>
      </c>
      <c r="CM7" s="61">
        <f t="shared" si="51"/>
        <v>2</v>
      </c>
      <c r="CN7" s="61">
        <f t="shared" si="52"/>
        <v>2</v>
      </c>
      <c r="CO7" s="61">
        <f t="shared" si="53"/>
        <v>2</v>
      </c>
      <c r="CP7" s="61">
        <f t="shared" si="54"/>
        <v>3</v>
      </c>
      <c r="CQ7" s="61">
        <f t="shared" si="55"/>
        <v>2</v>
      </c>
      <c r="CR7" s="61">
        <f t="shared" si="56"/>
        <v>2</v>
      </c>
      <c r="CS7" s="61">
        <f t="shared" si="57"/>
        <v>2</v>
      </c>
      <c r="CT7" s="61">
        <f t="shared" si="58"/>
        <v>2</v>
      </c>
      <c r="CU7" s="61">
        <f t="shared" si="59"/>
        <v>2</v>
      </c>
      <c r="CV7" s="61">
        <f t="shared" si="60"/>
        <v>3</v>
      </c>
      <c r="CY7" s="61">
        <f t="shared" si="61"/>
        <v>2</v>
      </c>
      <c r="CZ7" s="61">
        <f t="shared" si="62"/>
        <v>2</v>
      </c>
      <c r="DA7" s="61">
        <f t="shared" si="63"/>
        <v>2</v>
      </c>
      <c r="DB7" s="61">
        <f t="shared" si="64"/>
        <v>2</v>
      </c>
      <c r="DC7" s="61">
        <f t="shared" si="65"/>
        <v>2</v>
      </c>
      <c r="DD7" s="61">
        <f t="shared" si="66"/>
        <v>2</v>
      </c>
      <c r="DE7" s="61">
        <f t="shared" si="67"/>
        <v>2</v>
      </c>
      <c r="DF7" s="61">
        <f t="shared" si="68"/>
        <v>3</v>
      </c>
      <c r="DG7" s="61">
        <f t="shared" si="69"/>
        <v>2</v>
      </c>
      <c r="DH7" s="61">
        <f t="shared" si="70"/>
        <v>2</v>
      </c>
      <c r="DI7" s="61">
        <f t="shared" si="71"/>
        <v>2</v>
      </c>
      <c r="DJ7" s="61">
        <f t="shared" si="72"/>
        <v>2</v>
      </c>
      <c r="DK7" s="61">
        <f t="shared" si="73"/>
        <v>2</v>
      </c>
      <c r="DL7" s="61">
        <f t="shared" si="74"/>
        <v>3</v>
      </c>
    </row>
    <row r="8" spans="1:116" x14ac:dyDescent="0.25">
      <c r="A8" s="492" t="s">
        <v>1085</v>
      </c>
      <c r="B8" s="422" t="s">
        <v>1861</v>
      </c>
      <c r="C8" s="420" t="s">
        <v>1421</v>
      </c>
      <c r="D8" s="420" t="s">
        <v>1285</v>
      </c>
      <c r="E8" s="539" t="str">
        <f>IF(D8&lt;&gt;"",IF($C8="Male",VLOOKUP(D8,Titles!$K$3:$L$70,2,FALSE),IF($C8="Female",VLOOKUP(D8,Titles!$P$3:$Q$68,2,FALSE),"")),"")</f>
        <v>Sir</v>
      </c>
      <c r="F8" s="420"/>
      <c r="G8" s="420"/>
      <c r="H8" s="420">
        <v>18</v>
      </c>
      <c r="I8" s="420">
        <v>15</v>
      </c>
      <c r="J8" s="420">
        <v>15</v>
      </c>
      <c r="K8" s="420">
        <v>13</v>
      </c>
      <c r="L8" s="420">
        <v>16</v>
      </c>
      <c r="M8" s="420">
        <v>12</v>
      </c>
      <c r="N8" s="421"/>
      <c r="O8" s="421"/>
      <c r="P8" s="421"/>
      <c r="Q8" s="421"/>
      <c r="R8" s="421">
        <v>1</v>
      </c>
      <c r="S8" s="421"/>
      <c r="T8" s="421"/>
      <c r="U8" s="421"/>
      <c r="V8" s="421"/>
      <c r="W8" s="421"/>
      <c r="X8" s="421"/>
      <c r="Y8" s="421"/>
      <c r="Z8" s="421"/>
      <c r="AA8" s="421"/>
      <c r="AB8" s="423"/>
      <c r="AD8" s="61">
        <f t="shared" si="13"/>
        <v>0</v>
      </c>
      <c r="AE8" s="61">
        <f t="shared" si="0"/>
        <v>16</v>
      </c>
      <c r="AF8" s="61">
        <f t="shared" si="1"/>
        <v>18</v>
      </c>
      <c r="AG8" s="61">
        <f t="shared" si="2"/>
        <v>13</v>
      </c>
      <c r="AH8" s="61">
        <f t="shared" si="3"/>
        <v>16</v>
      </c>
      <c r="AI8" s="61">
        <f t="shared" si="4"/>
        <v>18</v>
      </c>
      <c r="AJ8" s="61">
        <f t="shared" si="5"/>
        <v>15</v>
      </c>
      <c r="AK8" s="61">
        <f t="shared" si="6"/>
        <v>16</v>
      </c>
      <c r="AL8" s="61">
        <f t="shared" si="7"/>
        <v>18</v>
      </c>
      <c r="AO8" s="61">
        <f t="shared" si="14"/>
        <v>1</v>
      </c>
      <c r="AP8" s="61">
        <f t="shared" si="15"/>
        <v>3</v>
      </c>
      <c r="AQ8" s="61">
        <f t="shared" si="8"/>
        <v>4</v>
      </c>
      <c r="AR8" s="61">
        <f t="shared" si="8"/>
        <v>1</v>
      </c>
      <c r="AS8" s="61">
        <f t="shared" si="8"/>
        <v>3</v>
      </c>
      <c r="AT8" s="61">
        <f t="shared" si="8"/>
        <v>4</v>
      </c>
      <c r="AU8" s="61">
        <f t="shared" si="8"/>
        <v>2</v>
      </c>
      <c r="AV8" s="61">
        <f t="shared" si="8"/>
        <v>3</v>
      </c>
      <c r="AW8" s="61">
        <f t="shared" si="8"/>
        <v>4</v>
      </c>
      <c r="AZ8" s="61">
        <f t="shared" si="16"/>
        <v>0</v>
      </c>
      <c r="BA8" s="61">
        <f t="shared" si="17"/>
        <v>0</v>
      </c>
      <c r="BB8" s="61">
        <f t="shared" si="18"/>
        <v>0</v>
      </c>
      <c r="BC8" s="61">
        <f t="shared" si="19"/>
        <v>0</v>
      </c>
      <c r="BD8" s="61">
        <f t="shared" si="20"/>
        <v>0</v>
      </c>
      <c r="BE8" s="61">
        <f t="shared" si="21"/>
        <v>0</v>
      </c>
      <c r="BF8" s="61">
        <f t="shared" si="22"/>
        <v>0</v>
      </c>
      <c r="BG8" s="61">
        <f t="shared" si="23"/>
        <v>0</v>
      </c>
      <c r="BH8" s="61">
        <f t="shared" si="24"/>
        <v>0</v>
      </c>
      <c r="BI8" s="61">
        <f t="shared" si="25"/>
        <v>0</v>
      </c>
      <c r="BJ8" s="61">
        <f t="shared" si="26"/>
        <v>0</v>
      </c>
      <c r="BK8" s="61">
        <f t="shared" si="27"/>
        <v>0</v>
      </c>
      <c r="BN8" s="61">
        <f t="shared" si="28"/>
        <v>2</v>
      </c>
      <c r="BO8" s="61">
        <f t="shared" si="29"/>
        <v>2</v>
      </c>
      <c r="BP8" s="61">
        <f t="shared" si="30"/>
        <v>2</v>
      </c>
      <c r="BQ8" s="61">
        <f t="shared" si="31"/>
        <v>2</v>
      </c>
      <c r="BR8" s="61">
        <f t="shared" si="32"/>
        <v>2</v>
      </c>
      <c r="BS8" s="61">
        <f t="shared" si="33"/>
        <v>2</v>
      </c>
      <c r="BT8" s="61">
        <f t="shared" si="34"/>
        <v>2</v>
      </c>
      <c r="BU8" s="61">
        <f t="shared" si="35"/>
        <v>2</v>
      </c>
      <c r="BV8" s="61">
        <f t="shared" si="36"/>
        <v>2</v>
      </c>
      <c r="BW8" s="61">
        <f t="shared" si="37"/>
        <v>2</v>
      </c>
      <c r="BX8" s="61">
        <f t="shared" si="38"/>
        <v>2</v>
      </c>
      <c r="BY8" s="61">
        <f t="shared" si="39"/>
        <v>2</v>
      </c>
      <c r="CB8" s="61">
        <f t="shared" si="40"/>
        <v>0</v>
      </c>
      <c r="CC8" s="61">
        <f t="shared" si="41"/>
        <v>0</v>
      </c>
      <c r="CD8" s="61">
        <f t="shared" si="42"/>
        <v>0</v>
      </c>
      <c r="CE8" s="61">
        <f t="shared" si="43"/>
        <v>0</v>
      </c>
      <c r="CF8" s="61">
        <f t="shared" si="44"/>
        <v>0</v>
      </c>
      <c r="CG8" s="61">
        <f t="shared" si="45"/>
        <v>0</v>
      </c>
      <c r="CH8" s="61">
        <f t="shared" si="46"/>
        <v>0</v>
      </c>
      <c r="CI8" s="61">
        <f t="shared" si="47"/>
        <v>0</v>
      </c>
      <c r="CJ8" s="61">
        <f t="shared" si="48"/>
        <v>0</v>
      </c>
      <c r="CK8" s="61">
        <f t="shared" si="49"/>
        <v>2</v>
      </c>
      <c r="CL8" s="61">
        <f t="shared" si="50"/>
        <v>2</v>
      </c>
      <c r="CM8" s="61">
        <f t="shared" si="51"/>
        <v>2</v>
      </c>
      <c r="CN8" s="61">
        <f t="shared" si="52"/>
        <v>2</v>
      </c>
      <c r="CO8" s="61">
        <f t="shared" si="53"/>
        <v>2</v>
      </c>
      <c r="CP8" s="61">
        <f t="shared" si="54"/>
        <v>2</v>
      </c>
      <c r="CQ8" s="61">
        <f t="shared" si="55"/>
        <v>2</v>
      </c>
      <c r="CR8" s="61">
        <f t="shared" si="56"/>
        <v>2</v>
      </c>
      <c r="CS8" s="61">
        <f t="shared" si="57"/>
        <v>2</v>
      </c>
      <c r="CT8" s="61">
        <f t="shared" si="58"/>
        <v>2</v>
      </c>
      <c r="CU8" s="61">
        <f t="shared" si="59"/>
        <v>2</v>
      </c>
      <c r="CV8" s="61">
        <f t="shared" si="60"/>
        <v>2</v>
      </c>
      <c r="CY8" s="61">
        <f t="shared" si="61"/>
        <v>2</v>
      </c>
      <c r="CZ8" s="61">
        <f t="shared" si="62"/>
        <v>2</v>
      </c>
      <c r="DA8" s="61">
        <f t="shared" si="63"/>
        <v>2</v>
      </c>
      <c r="DB8" s="61">
        <f t="shared" si="64"/>
        <v>2</v>
      </c>
      <c r="DC8" s="61">
        <f t="shared" si="65"/>
        <v>2</v>
      </c>
      <c r="DD8" s="61">
        <f t="shared" si="66"/>
        <v>2</v>
      </c>
      <c r="DE8" s="61">
        <f t="shared" si="67"/>
        <v>2</v>
      </c>
      <c r="DF8" s="61">
        <f t="shared" si="68"/>
        <v>2</v>
      </c>
      <c r="DG8" s="61">
        <f t="shared" si="69"/>
        <v>2</v>
      </c>
      <c r="DH8" s="61">
        <f t="shared" si="70"/>
        <v>2</v>
      </c>
      <c r="DI8" s="61">
        <f t="shared" si="71"/>
        <v>2</v>
      </c>
      <c r="DJ8" s="61">
        <f t="shared" si="72"/>
        <v>2</v>
      </c>
      <c r="DK8" s="61">
        <f t="shared" si="73"/>
        <v>2</v>
      </c>
      <c r="DL8" s="61">
        <f t="shared" si="74"/>
        <v>2</v>
      </c>
    </row>
    <row r="9" spans="1:116" x14ac:dyDescent="0.25">
      <c r="A9" s="492" t="s">
        <v>1085</v>
      </c>
      <c r="B9" s="422" t="s">
        <v>1862</v>
      </c>
      <c r="C9" s="420" t="s">
        <v>1422</v>
      </c>
      <c r="D9" s="420"/>
      <c r="E9" s="539" t="str">
        <f>IF(D9&lt;&gt;"",IF($C9="Male",VLOOKUP(D9,Titles!$K$3:$L$70,2,FALSE),IF($C9="Female",VLOOKUP(D9,Titles!$P$3:$Q$68,2,FALSE),"")),"")</f>
        <v/>
      </c>
      <c r="F9" s="420"/>
      <c r="G9" s="420"/>
      <c r="H9" s="420">
        <v>12</v>
      </c>
      <c r="I9" s="420">
        <v>16</v>
      </c>
      <c r="J9" s="420">
        <v>12</v>
      </c>
      <c r="K9" s="420">
        <v>21</v>
      </c>
      <c r="L9" s="420">
        <v>10</v>
      </c>
      <c r="M9" s="420">
        <v>13</v>
      </c>
      <c r="N9" s="421"/>
      <c r="O9" s="421"/>
      <c r="P9" s="421"/>
      <c r="Q9" s="421"/>
      <c r="R9" s="421"/>
      <c r="S9" s="421"/>
      <c r="T9" s="421">
        <v>2</v>
      </c>
      <c r="U9" s="421"/>
      <c r="V9" s="421"/>
      <c r="W9" s="421"/>
      <c r="X9" s="421"/>
      <c r="Y9" s="421"/>
      <c r="Z9" s="421"/>
      <c r="AA9" s="421"/>
      <c r="AB9" s="423"/>
      <c r="AD9" s="61">
        <f t="shared" si="13"/>
        <v>0</v>
      </c>
      <c r="AE9" s="61">
        <f t="shared" si="0"/>
        <v>13</v>
      </c>
      <c r="AF9" s="61">
        <f t="shared" si="1"/>
        <v>13</v>
      </c>
      <c r="AG9" s="61">
        <f t="shared" si="2"/>
        <v>21</v>
      </c>
      <c r="AH9" s="61">
        <f t="shared" si="3"/>
        <v>16</v>
      </c>
      <c r="AI9" s="61">
        <f t="shared" si="4"/>
        <v>16</v>
      </c>
      <c r="AJ9" s="61">
        <f t="shared" si="5"/>
        <v>21</v>
      </c>
      <c r="AK9" s="61">
        <f t="shared" si="6"/>
        <v>21</v>
      </c>
      <c r="AL9" s="61">
        <f t="shared" si="7"/>
        <v>12</v>
      </c>
      <c r="AO9" s="61">
        <f t="shared" si="14"/>
        <v>1</v>
      </c>
      <c r="AP9" s="61">
        <f t="shared" si="15"/>
        <v>1</v>
      </c>
      <c r="AQ9" s="61">
        <f t="shared" si="8"/>
        <v>1</v>
      </c>
      <c r="AR9" s="61">
        <f t="shared" si="8"/>
        <v>5</v>
      </c>
      <c r="AS9" s="61">
        <f t="shared" si="8"/>
        <v>3</v>
      </c>
      <c r="AT9" s="61">
        <f t="shared" si="8"/>
        <v>3</v>
      </c>
      <c r="AU9" s="61">
        <f t="shared" si="8"/>
        <v>5</v>
      </c>
      <c r="AV9" s="61">
        <f t="shared" si="8"/>
        <v>5</v>
      </c>
      <c r="AW9" s="61">
        <f t="shared" si="8"/>
        <v>1</v>
      </c>
      <c r="AZ9" s="61">
        <f t="shared" si="16"/>
        <v>0</v>
      </c>
      <c r="BA9" s="61">
        <f t="shared" si="17"/>
        <v>0</v>
      </c>
      <c r="BB9" s="61">
        <f t="shared" si="18"/>
        <v>0</v>
      </c>
      <c r="BC9" s="61">
        <f t="shared" si="19"/>
        <v>0</v>
      </c>
      <c r="BD9" s="61">
        <f t="shared" si="20"/>
        <v>0</v>
      </c>
      <c r="BE9" s="61">
        <f t="shared" si="21"/>
        <v>0</v>
      </c>
      <c r="BF9" s="61">
        <f t="shared" si="22"/>
        <v>0</v>
      </c>
      <c r="BG9" s="61">
        <f t="shared" si="23"/>
        <v>0</v>
      </c>
      <c r="BH9" s="61">
        <f t="shared" si="24"/>
        <v>0</v>
      </c>
      <c r="BI9" s="61">
        <f t="shared" si="25"/>
        <v>0</v>
      </c>
      <c r="BJ9" s="61">
        <f t="shared" si="26"/>
        <v>0</v>
      </c>
      <c r="BK9" s="61">
        <f t="shared" si="27"/>
        <v>0</v>
      </c>
      <c r="BN9" s="61">
        <f t="shared" si="28"/>
        <v>2</v>
      </c>
      <c r="BO9" s="61">
        <f t="shared" si="29"/>
        <v>2</v>
      </c>
      <c r="BP9" s="61">
        <f t="shared" si="30"/>
        <v>2</v>
      </c>
      <c r="BQ9" s="61">
        <f t="shared" si="31"/>
        <v>2</v>
      </c>
      <c r="BR9" s="61">
        <f t="shared" si="32"/>
        <v>2</v>
      </c>
      <c r="BS9" s="61">
        <f t="shared" si="33"/>
        <v>2</v>
      </c>
      <c r="BT9" s="61">
        <f t="shared" si="34"/>
        <v>2</v>
      </c>
      <c r="BU9" s="61">
        <f t="shared" si="35"/>
        <v>2</v>
      </c>
      <c r="BV9" s="61">
        <f t="shared" si="36"/>
        <v>2</v>
      </c>
      <c r="BW9" s="61">
        <f t="shared" si="37"/>
        <v>2</v>
      </c>
      <c r="BX9" s="61">
        <f t="shared" si="38"/>
        <v>2</v>
      </c>
      <c r="BY9" s="61">
        <f t="shared" si="39"/>
        <v>2</v>
      </c>
      <c r="CB9" s="61">
        <f t="shared" si="40"/>
        <v>0</v>
      </c>
      <c r="CC9" s="61">
        <f t="shared" si="41"/>
        <v>0</v>
      </c>
      <c r="CD9" s="61">
        <f t="shared" si="42"/>
        <v>0</v>
      </c>
      <c r="CE9" s="61">
        <f t="shared" si="43"/>
        <v>0</v>
      </c>
      <c r="CF9" s="61">
        <f t="shared" si="44"/>
        <v>0</v>
      </c>
      <c r="CG9" s="61">
        <f t="shared" si="45"/>
        <v>0</v>
      </c>
      <c r="CH9" s="61">
        <f t="shared" si="46"/>
        <v>0</v>
      </c>
      <c r="CI9" s="61">
        <f t="shared" si="47"/>
        <v>0</v>
      </c>
      <c r="CJ9" s="61">
        <f t="shared" si="48"/>
        <v>0</v>
      </c>
      <c r="CK9" s="61">
        <f t="shared" si="49"/>
        <v>2</v>
      </c>
      <c r="CL9" s="61">
        <f t="shared" si="50"/>
        <v>2</v>
      </c>
      <c r="CM9" s="61">
        <f t="shared" si="51"/>
        <v>2</v>
      </c>
      <c r="CN9" s="61">
        <f t="shared" si="52"/>
        <v>2</v>
      </c>
      <c r="CO9" s="61">
        <f t="shared" si="53"/>
        <v>2</v>
      </c>
      <c r="CP9" s="61">
        <f t="shared" si="54"/>
        <v>2</v>
      </c>
      <c r="CQ9" s="61">
        <f t="shared" si="55"/>
        <v>2</v>
      </c>
      <c r="CR9" s="61">
        <f t="shared" si="56"/>
        <v>2</v>
      </c>
      <c r="CS9" s="61">
        <f t="shared" si="57"/>
        <v>2</v>
      </c>
      <c r="CT9" s="61">
        <f t="shared" si="58"/>
        <v>2</v>
      </c>
      <c r="CU9" s="61">
        <f t="shared" si="59"/>
        <v>2</v>
      </c>
      <c r="CV9" s="61">
        <f t="shared" si="60"/>
        <v>2</v>
      </c>
      <c r="CY9" s="61">
        <f t="shared" si="61"/>
        <v>2</v>
      </c>
      <c r="CZ9" s="61">
        <f t="shared" si="62"/>
        <v>2</v>
      </c>
      <c r="DA9" s="61">
        <f t="shared" si="63"/>
        <v>2</v>
      </c>
      <c r="DB9" s="61">
        <f t="shared" si="64"/>
        <v>2</v>
      </c>
      <c r="DC9" s="61">
        <f t="shared" si="65"/>
        <v>2</v>
      </c>
      <c r="DD9" s="61">
        <f t="shared" si="66"/>
        <v>2</v>
      </c>
      <c r="DE9" s="61">
        <f t="shared" si="67"/>
        <v>2</v>
      </c>
      <c r="DF9" s="61">
        <f t="shared" si="68"/>
        <v>2</v>
      </c>
      <c r="DG9" s="61">
        <f t="shared" si="69"/>
        <v>2</v>
      </c>
      <c r="DH9" s="61">
        <f t="shared" si="70"/>
        <v>2</v>
      </c>
      <c r="DI9" s="61">
        <f t="shared" si="71"/>
        <v>2</v>
      </c>
      <c r="DJ9" s="61">
        <f t="shared" si="72"/>
        <v>2</v>
      </c>
      <c r="DK9" s="61">
        <f t="shared" si="73"/>
        <v>2</v>
      </c>
      <c r="DL9" s="61">
        <f t="shared" si="74"/>
        <v>2</v>
      </c>
    </row>
    <row r="10" spans="1:116" x14ac:dyDescent="0.25">
      <c r="A10" s="492" t="s">
        <v>1085</v>
      </c>
      <c r="B10" s="422" t="s">
        <v>1863</v>
      </c>
      <c r="C10" s="420" t="s">
        <v>1421</v>
      </c>
      <c r="D10" s="420"/>
      <c r="E10" s="539" t="str">
        <f>IF(D10&lt;&gt;"",IF($C10="Male",VLOOKUP(D10,Titles!$K$3:$L$70,2,FALSE),IF($C10="Female",VLOOKUP(D10,Titles!$P$3:$Q$68,2,FALSE),"")),"")</f>
        <v/>
      </c>
      <c r="F10" s="420"/>
      <c r="G10" s="420"/>
      <c r="H10" s="420">
        <v>14</v>
      </c>
      <c r="I10" s="420">
        <v>17</v>
      </c>
      <c r="J10" s="420">
        <v>14</v>
      </c>
      <c r="K10" s="420">
        <v>19</v>
      </c>
      <c r="L10" s="420">
        <v>14</v>
      </c>
      <c r="M10" s="420">
        <v>9</v>
      </c>
      <c r="N10" s="421"/>
      <c r="O10" s="421"/>
      <c r="P10" s="421"/>
      <c r="Q10" s="421"/>
      <c r="R10" s="421"/>
      <c r="S10" s="421"/>
      <c r="T10" s="421"/>
      <c r="U10" s="421"/>
      <c r="V10" s="421"/>
      <c r="W10" s="421"/>
      <c r="X10" s="421"/>
      <c r="Y10" s="421"/>
      <c r="Z10" s="421"/>
      <c r="AA10" s="421"/>
      <c r="AB10" s="423"/>
      <c r="AD10" s="61">
        <f t="shared" si="13"/>
        <v>0</v>
      </c>
      <c r="AE10" s="61">
        <f t="shared" si="0"/>
        <v>14</v>
      </c>
      <c r="AF10" s="61">
        <f t="shared" si="1"/>
        <v>14</v>
      </c>
      <c r="AG10" s="61">
        <f t="shared" si="2"/>
        <v>19</v>
      </c>
      <c r="AH10" s="61">
        <f t="shared" si="3"/>
        <v>17</v>
      </c>
      <c r="AI10" s="61">
        <f t="shared" si="4"/>
        <v>17</v>
      </c>
      <c r="AJ10" s="61">
        <f t="shared" si="5"/>
        <v>19</v>
      </c>
      <c r="AK10" s="61">
        <f t="shared" si="6"/>
        <v>19</v>
      </c>
      <c r="AL10" s="61">
        <f t="shared" si="7"/>
        <v>14</v>
      </c>
      <c r="AO10" s="61">
        <f t="shared" si="14"/>
        <v>-1</v>
      </c>
      <c r="AP10" s="61">
        <f t="shared" si="15"/>
        <v>2</v>
      </c>
      <c r="AQ10" s="61">
        <f t="shared" si="8"/>
        <v>2</v>
      </c>
      <c r="AR10" s="61">
        <f t="shared" si="8"/>
        <v>4</v>
      </c>
      <c r="AS10" s="61">
        <f t="shared" si="8"/>
        <v>3</v>
      </c>
      <c r="AT10" s="61">
        <f t="shared" si="8"/>
        <v>3</v>
      </c>
      <c r="AU10" s="61">
        <f t="shared" si="8"/>
        <v>4</v>
      </c>
      <c r="AV10" s="61">
        <f t="shared" si="8"/>
        <v>4</v>
      </c>
      <c r="AW10" s="61">
        <f t="shared" si="8"/>
        <v>2</v>
      </c>
      <c r="AZ10" s="61">
        <f t="shared" si="16"/>
        <v>0</v>
      </c>
      <c r="BA10" s="61">
        <f t="shared" si="17"/>
        <v>0</v>
      </c>
      <c r="BB10" s="61">
        <f t="shared" si="18"/>
        <v>0</v>
      </c>
      <c r="BC10" s="61">
        <f t="shared" si="19"/>
        <v>0</v>
      </c>
      <c r="BD10" s="61">
        <f t="shared" si="20"/>
        <v>0</v>
      </c>
      <c r="BE10" s="61">
        <f t="shared" si="21"/>
        <v>0</v>
      </c>
      <c r="BF10" s="61">
        <f t="shared" si="22"/>
        <v>0</v>
      </c>
      <c r="BG10" s="61">
        <f t="shared" si="23"/>
        <v>0</v>
      </c>
      <c r="BH10" s="61">
        <f t="shared" si="24"/>
        <v>0</v>
      </c>
      <c r="BI10" s="61">
        <f t="shared" si="25"/>
        <v>0</v>
      </c>
      <c r="BJ10" s="61">
        <f t="shared" si="26"/>
        <v>0</v>
      </c>
      <c r="BK10" s="61">
        <f t="shared" si="27"/>
        <v>0</v>
      </c>
      <c r="BN10" s="61">
        <f t="shared" si="28"/>
        <v>2</v>
      </c>
      <c r="BO10" s="61">
        <f t="shared" si="29"/>
        <v>2</v>
      </c>
      <c r="BP10" s="61">
        <f t="shared" si="30"/>
        <v>2</v>
      </c>
      <c r="BQ10" s="61">
        <f t="shared" si="31"/>
        <v>2</v>
      </c>
      <c r="BR10" s="61">
        <f t="shared" si="32"/>
        <v>2</v>
      </c>
      <c r="BS10" s="61">
        <f t="shared" si="33"/>
        <v>2</v>
      </c>
      <c r="BT10" s="61">
        <f t="shared" si="34"/>
        <v>2</v>
      </c>
      <c r="BU10" s="61">
        <f t="shared" si="35"/>
        <v>2</v>
      </c>
      <c r="BV10" s="61">
        <f t="shared" si="36"/>
        <v>2</v>
      </c>
      <c r="BW10" s="61">
        <f t="shared" si="37"/>
        <v>2</v>
      </c>
      <c r="BX10" s="61">
        <f t="shared" si="38"/>
        <v>2</v>
      </c>
      <c r="BY10" s="61">
        <f t="shared" si="39"/>
        <v>2</v>
      </c>
      <c r="CB10" s="61">
        <f t="shared" si="40"/>
        <v>0</v>
      </c>
      <c r="CC10" s="61">
        <f t="shared" si="41"/>
        <v>0</v>
      </c>
      <c r="CD10" s="61">
        <f t="shared" si="42"/>
        <v>0</v>
      </c>
      <c r="CE10" s="61">
        <f t="shared" si="43"/>
        <v>0</v>
      </c>
      <c r="CF10" s="61">
        <f t="shared" si="44"/>
        <v>0</v>
      </c>
      <c r="CG10" s="61">
        <f t="shared" si="45"/>
        <v>0</v>
      </c>
      <c r="CH10" s="61">
        <f t="shared" si="46"/>
        <v>0</v>
      </c>
      <c r="CI10" s="61">
        <f t="shared" si="47"/>
        <v>0</v>
      </c>
      <c r="CJ10" s="61">
        <f t="shared" si="48"/>
        <v>0</v>
      </c>
      <c r="CK10" s="61">
        <f t="shared" si="49"/>
        <v>2</v>
      </c>
      <c r="CL10" s="61">
        <f t="shared" si="50"/>
        <v>2</v>
      </c>
      <c r="CM10" s="61">
        <f t="shared" si="51"/>
        <v>2</v>
      </c>
      <c r="CN10" s="61">
        <f t="shared" si="52"/>
        <v>2</v>
      </c>
      <c r="CO10" s="61">
        <f t="shared" si="53"/>
        <v>2</v>
      </c>
      <c r="CP10" s="61">
        <f t="shared" si="54"/>
        <v>2</v>
      </c>
      <c r="CQ10" s="61">
        <f t="shared" si="55"/>
        <v>2</v>
      </c>
      <c r="CR10" s="61">
        <f t="shared" si="56"/>
        <v>2</v>
      </c>
      <c r="CS10" s="61">
        <f t="shared" si="57"/>
        <v>2</v>
      </c>
      <c r="CT10" s="61">
        <f t="shared" si="58"/>
        <v>2</v>
      </c>
      <c r="CU10" s="61">
        <f t="shared" si="59"/>
        <v>2</v>
      </c>
      <c r="CV10" s="61">
        <f t="shared" si="60"/>
        <v>2</v>
      </c>
      <c r="CY10" s="61">
        <f t="shared" si="61"/>
        <v>2</v>
      </c>
      <c r="CZ10" s="61">
        <f t="shared" si="62"/>
        <v>2</v>
      </c>
      <c r="DA10" s="61">
        <f t="shared" si="63"/>
        <v>2</v>
      </c>
      <c r="DB10" s="61">
        <f t="shared" si="64"/>
        <v>2</v>
      </c>
      <c r="DC10" s="61">
        <f t="shared" si="65"/>
        <v>2</v>
      </c>
      <c r="DD10" s="61">
        <f t="shared" si="66"/>
        <v>2</v>
      </c>
      <c r="DE10" s="61">
        <f t="shared" si="67"/>
        <v>2</v>
      </c>
      <c r="DF10" s="61">
        <f t="shared" si="68"/>
        <v>2</v>
      </c>
      <c r="DG10" s="61">
        <f t="shared" si="69"/>
        <v>2</v>
      </c>
      <c r="DH10" s="61">
        <f t="shared" si="70"/>
        <v>2</v>
      </c>
      <c r="DI10" s="61">
        <f t="shared" si="71"/>
        <v>2</v>
      </c>
      <c r="DJ10" s="61">
        <f t="shared" si="72"/>
        <v>2</v>
      </c>
      <c r="DK10" s="61">
        <f t="shared" si="73"/>
        <v>2</v>
      </c>
      <c r="DL10" s="61">
        <f t="shared" si="74"/>
        <v>2</v>
      </c>
    </row>
    <row r="11" spans="1:116" x14ac:dyDescent="0.25">
      <c r="A11" s="492" t="s">
        <v>1085</v>
      </c>
      <c r="B11" s="422" t="s">
        <v>1864</v>
      </c>
      <c r="C11" s="420" t="s">
        <v>1421</v>
      </c>
      <c r="D11" s="420"/>
      <c r="E11" s="539" t="str">
        <f>IF(D11&lt;&gt;"",IF($C11="Male",VLOOKUP(D11,Titles!$K$3:$L$70,2,FALSE),IF($C11="Female",VLOOKUP(D11,Titles!$P$3:$Q$68,2,FALSE),"")),"")</f>
        <v/>
      </c>
      <c r="F11" s="420"/>
      <c r="G11" s="420"/>
      <c r="H11" s="420"/>
      <c r="I11" s="420"/>
      <c r="J11" s="420"/>
      <c r="K11" s="420"/>
      <c r="L11" s="420"/>
      <c r="M11" s="420"/>
      <c r="N11" s="421"/>
      <c r="O11" s="421"/>
      <c r="P11" s="421"/>
      <c r="Q11" s="421"/>
      <c r="R11" s="421"/>
      <c r="S11" s="421"/>
      <c r="T11" s="421"/>
      <c r="U11" s="421"/>
      <c r="V11" s="421"/>
      <c r="W11" s="421"/>
      <c r="X11" s="421"/>
      <c r="Y11" s="421"/>
      <c r="Z11" s="421"/>
      <c r="AA11" s="421"/>
      <c r="AB11" s="423"/>
      <c r="AD11" s="61">
        <f t="shared" si="13"/>
        <v>0</v>
      </c>
      <c r="AE11" s="61">
        <f t="shared" si="0"/>
        <v>0</v>
      </c>
      <c r="AF11" s="61">
        <f t="shared" si="1"/>
        <v>0</v>
      </c>
      <c r="AG11" s="61">
        <f t="shared" si="2"/>
        <v>0</v>
      </c>
      <c r="AH11" s="61">
        <f t="shared" si="3"/>
        <v>0</v>
      </c>
      <c r="AI11" s="61">
        <f t="shared" si="4"/>
        <v>0</v>
      </c>
      <c r="AJ11" s="61">
        <f t="shared" si="5"/>
        <v>0</v>
      </c>
      <c r="AK11" s="61">
        <f t="shared" si="6"/>
        <v>0</v>
      </c>
      <c r="AL11" s="61">
        <f t="shared" si="7"/>
        <v>0</v>
      </c>
      <c r="AO11" s="61">
        <f t="shared" si="14"/>
        <v>-5</v>
      </c>
      <c r="AP11" s="61">
        <f t="shared" si="15"/>
        <v>-5</v>
      </c>
      <c r="AQ11" s="61">
        <f t="shared" si="8"/>
        <v>-5</v>
      </c>
      <c r="AR11" s="61">
        <f t="shared" si="8"/>
        <v>-5</v>
      </c>
      <c r="AS11" s="61">
        <f t="shared" si="8"/>
        <v>-5</v>
      </c>
      <c r="AT11" s="61">
        <f t="shared" si="8"/>
        <v>-5</v>
      </c>
      <c r="AU11" s="61">
        <f t="shared" si="8"/>
        <v>-5</v>
      </c>
      <c r="AV11" s="61">
        <f t="shared" si="8"/>
        <v>-5</v>
      </c>
      <c r="AW11" s="61">
        <f t="shared" si="8"/>
        <v>-5</v>
      </c>
      <c r="AZ11" s="61">
        <f t="shared" si="16"/>
        <v>0</v>
      </c>
      <c r="BA11" s="61">
        <f t="shared" si="17"/>
        <v>0</v>
      </c>
      <c r="BB11" s="61">
        <f t="shared" si="18"/>
        <v>0</v>
      </c>
      <c r="BC11" s="61">
        <f t="shared" si="19"/>
        <v>0</v>
      </c>
      <c r="BD11" s="61">
        <f t="shared" si="20"/>
        <v>0</v>
      </c>
      <c r="BE11" s="61">
        <f t="shared" si="21"/>
        <v>0</v>
      </c>
      <c r="BF11" s="61">
        <f t="shared" si="22"/>
        <v>0</v>
      </c>
      <c r="BG11" s="61">
        <f t="shared" si="23"/>
        <v>0</v>
      </c>
      <c r="BH11" s="61">
        <f t="shared" si="24"/>
        <v>0</v>
      </c>
      <c r="BI11" s="61">
        <f t="shared" si="25"/>
        <v>0</v>
      </c>
      <c r="BJ11" s="61">
        <f t="shared" si="26"/>
        <v>0</v>
      </c>
      <c r="BK11" s="61">
        <f t="shared" si="27"/>
        <v>0</v>
      </c>
      <c r="BN11" s="61">
        <f t="shared" si="28"/>
        <v>2</v>
      </c>
      <c r="BO11" s="61">
        <f t="shared" si="29"/>
        <v>2</v>
      </c>
      <c r="BP11" s="61">
        <f t="shared" si="30"/>
        <v>2</v>
      </c>
      <c r="BQ11" s="61">
        <f t="shared" si="31"/>
        <v>2</v>
      </c>
      <c r="BR11" s="61">
        <f t="shared" si="32"/>
        <v>2</v>
      </c>
      <c r="BS11" s="61">
        <f t="shared" si="33"/>
        <v>2</v>
      </c>
      <c r="BT11" s="61">
        <f t="shared" si="34"/>
        <v>2</v>
      </c>
      <c r="BU11" s="61">
        <f t="shared" si="35"/>
        <v>2</v>
      </c>
      <c r="BV11" s="61">
        <f t="shared" si="36"/>
        <v>2</v>
      </c>
      <c r="BW11" s="61">
        <f t="shared" si="37"/>
        <v>2</v>
      </c>
      <c r="BX11" s="61">
        <f t="shared" si="38"/>
        <v>2</v>
      </c>
      <c r="BY11" s="61">
        <f t="shared" si="39"/>
        <v>2</v>
      </c>
      <c r="CB11" s="61">
        <f t="shared" si="40"/>
        <v>0</v>
      </c>
      <c r="CC11" s="61">
        <f t="shared" si="41"/>
        <v>0</v>
      </c>
      <c r="CD11" s="61">
        <f t="shared" si="42"/>
        <v>0</v>
      </c>
      <c r="CE11" s="61">
        <f t="shared" si="43"/>
        <v>0</v>
      </c>
      <c r="CF11" s="61">
        <f t="shared" si="44"/>
        <v>0</v>
      </c>
      <c r="CG11" s="61">
        <f t="shared" si="45"/>
        <v>0</v>
      </c>
      <c r="CH11" s="61">
        <f t="shared" si="46"/>
        <v>0</v>
      </c>
      <c r="CI11" s="61">
        <f t="shared" si="47"/>
        <v>0</v>
      </c>
      <c r="CJ11" s="61">
        <f t="shared" si="48"/>
        <v>0</v>
      </c>
      <c r="CK11" s="61">
        <f t="shared" si="49"/>
        <v>2</v>
      </c>
      <c r="CL11" s="61">
        <f t="shared" si="50"/>
        <v>2</v>
      </c>
      <c r="CM11" s="61">
        <f t="shared" si="51"/>
        <v>2</v>
      </c>
      <c r="CN11" s="61">
        <f t="shared" si="52"/>
        <v>2</v>
      </c>
      <c r="CO11" s="61">
        <f t="shared" si="53"/>
        <v>2</v>
      </c>
      <c r="CP11" s="61">
        <f t="shared" si="54"/>
        <v>2</v>
      </c>
      <c r="CQ11" s="61">
        <f t="shared" si="55"/>
        <v>2</v>
      </c>
      <c r="CR11" s="61">
        <f t="shared" si="56"/>
        <v>2</v>
      </c>
      <c r="CS11" s="61">
        <f t="shared" si="57"/>
        <v>2</v>
      </c>
      <c r="CT11" s="61">
        <f t="shared" si="58"/>
        <v>2</v>
      </c>
      <c r="CU11" s="61">
        <f t="shared" si="59"/>
        <v>2</v>
      </c>
      <c r="CV11" s="61">
        <f t="shared" si="60"/>
        <v>2</v>
      </c>
      <c r="CY11" s="61">
        <f t="shared" si="61"/>
        <v>2</v>
      </c>
      <c r="CZ11" s="61">
        <f t="shared" si="62"/>
        <v>2</v>
      </c>
      <c r="DA11" s="61">
        <f t="shared" si="63"/>
        <v>2</v>
      </c>
      <c r="DB11" s="61">
        <f t="shared" si="64"/>
        <v>2</v>
      </c>
      <c r="DC11" s="61">
        <f t="shared" si="65"/>
        <v>2</v>
      </c>
      <c r="DD11" s="61">
        <f t="shared" si="66"/>
        <v>2</v>
      </c>
      <c r="DE11" s="61">
        <f t="shared" si="67"/>
        <v>2</v>
      </c>
      <c r="DF11" s="61">
        <f t="shared" si="68"/>
        <v>2</v>
      </c>
      <c r="DG11" s="61">
        <f t="shared" si="69"/>
        <v>2</v>
      </c>
      <c r="DH11" s="61">
        <f t="shared" si="70"/>
        <v>2</v>
      </c>
      <c r="DI11" s="61">
        <f t="shared" si="71"/>
        <v>2</v>
      </c>
      <c r="DJ11" s="61">
        <f t="shared" si="72"/>
        <v>2</v>
      </c>
      <c r="DK11" s="61">
        <f t="shared" si="73"/>
        <v>2</v>
      </c>
      <c r="DL11" s="61">
        <f t="shared" si="74"/>
        <v>2</v>
      </c>
    </row>
    <row r="12" spans="1:116" x14ac:dyDescent="0.25">
      <c r="A12" s="492" t="s">
        <v>762</v>
      </c>
      <c r="B12" s="422" t="s">
        <v>1865</v>
      </c>
      <c r="C12" s="420" t="s">
        <v>1421</v>
      </c>
      <c r="D12" s="420"/>
      <c r="E12" s="539" t="str">
        <f>IF(D12&lt;&gt;"",IF($C12="Male",VLOOKUP(D12,Titles!$K$3:$L$70,2,FALSE),IF($C12="Female",VLOOKUP(D12,Titles!$P$3:$Q$68,2,FALSE),"")),"")</f>
        <v/>
      </c>
      <c r="F12" s="420"/>
      <c r="G12" s="420"/>
      <c r="H12" s="420">
        <v>14</v>
      </c>
      <c r="I12" s="420">
        <v>17</v>
      </c>
      <c r="J12" s="420">
        <v>11</v>
      </c>
      <c r="K12" s="420">
        <v>17</v>
      </c>
      <c r="L12" s="420">
        <v>8</v>
      </c>
      <c r="M12" s="420">
        <v>14</v>
      </c>
      <c r="N12" s="421"/>
      <c r="O12" s="421"/>
      <c r="P12" s="421">
        <v>3</v>
      </c>
      <c r="Q12" s="421"/>
      <c r="R12" s="421"/>
      <c r="S12" s="421"/>
      <c r="T12" s="421"/>
      <c r="U12" s="421"/>
      <c r="V12" s="421"/>
      <c r="W12" s="421"/>
      <c r="X12" s="421"/>
      <c r="Y12" s="421"/>
      <c r="Z12" s="421"/>
      <c r="AA12" s="421"/>
      <c r="AB12" s="423"/>
      <c r="AD12" s="61">
        <f t="shared" si="13"/>
        <v>0</v>
      </c>
      <c r="AE12" s="61">
        <f t="shared" si="0"/>
        <v>14</v>
      </c>
      <c r="AF12" s="61">
        <f t="shared" si="1"/>
        <v>14</v>
      </c>
      <c r="AG12" s="61">
        <f t="shared" si="2"/>
        <v>17</v>
      </c>
      <c r="AH12" s="61">
        <f t="shared" si="3"/>
        <v>17</v>
      </c>
      <c r="AI12" s="61">
        <f t="shared" si="4"/>
        <v>17</v>
      </c>
      <c r="AJ12" s="61">
        <f t="shared" si="5"/>
        <v>17</v>
      </c>
      <c r="AK12" s="61">
        <f t="shared" si="6"/>
        <v>17</v>
      </c>
      <c r="AL12" s="61">
        <f t="shared" si="7"/>
        <v>14</v>
      </c>
      <c r="AO12" s="61">
        <f t="shared" si="14"/>
        <v>2</v>
      </c>
      <c r="AP12" s="61">
        <f t="shared" si="15"/>
        <v>2</v>
      </c>
      <c r="AQ12" s="61">
        <f t="shared" si="8"/>
        <v>2</v>
      </c>
      <c r="AR12" s="61">
        <f t="shared" si="8"/>
        <v>3</v>
      </c>
      <c r="AS12" s="61">
        <f t="shared" si="8"/>
        <v>3</v>
      </c>
      <c r="AT12" s="61">
        <f t="shared" si="8"/>
        <v>3</v>
      </c>
      <c r="AU12" s="61">
        <f t="shared" si="8"/>
        <v>3</v>
      </c>
      <c r="AV12" s="61">
        <f t="shared" si="8"/>
        <v>3</v>
      </c>
      <c r="AW12" s="61">
        <f t="shared" si="8"/>
        <v>2</v>
      </c>
      <c r="AZ12" s="61">
        <f t="shared" si="16"/>
        <v>0</v>
      </c>
      <c r="BA12" s="61">
        <f t="shared" si="17"/>
        <v>0</v>
      </c>
      <c r="BB12" s="61">
        <f t="shared" si="18"/>
        <v>0</v>
      </c>
      <c r="BC12" s="61">
        <f t="shared" si="19"/>
        <v>0</v>
      </c>
      <c r="BD12" s="61">
        <f t="shared" si="20"/>
        <v>0</v>
      </c>
      <c r="BE12" s="61">
        <f t="shared" si="21"/>
        <v>0</v>
      </c>
      <c r="BF12" s="61">
        <f t="shared" si="22"/>
        <v>0</v>
      </c>
      <c r="BG12" s="61">
        <f t="shared" si="23"/>
        <v>0</v>
      </c>
      <c r="BH12" s="61">
        <f t="shared" si="24"/>
        <v>0</v>
      </c>
      <c r="BI12" s="61">
        <f t="shared" si="25"/>
        <v>0</v>
      </c>
      <c r="BJ12" s="61">
        <f t="shared" si="26"/>
        <v>0</v>
      </c>
      <c r="BK12" s="61">
        <f t="shared" si="27"/>
        <v>0</v>
      </c>
      <c r="BN12" s="61">
        <f t="shared" si="28"/>
        <v>3</v>
      </c>
      <c r="BO12" s="61">
        <f t="shared" si="29"/>
        <v>2</v>
      </c>
      <c r="BP12" s="61">
        <f t="shared" si="30"/>
        <v>2</v>
      </c>
      <c r="BQ12" s="61">
        <f t="shared" si="31"/>
        <v>2</v>
      </c>
      <c r="BR12" s="61">
        <f t="shared" si="32"/>
        <v>2</v>
      </c>
      <c r="BS12" s="61">
        <f t="shared" si="33"/>
        <v>2</v>
      </c>
      <c r="BT12" s="61">
        <f t="shared" si="34"/>
        <v>2</v>
      </c>
      <c r="BU12" s="61">
        <f t="shared" si="35"/>
        <v>2</v>
      </c>
      <c r="BV12" s="61">
        <f t="shared" si="36"/>
        <v>2</v>
      </c>
      <c r="BW12" s="61">
        <f t="shared" si="37"/>
        <v>2</v>
      </c>
      <c r="BX12" s="61">
        <f t="shared" si="38"/>
        <v>2</v>
      </c>
      <c r="BY12" s="61">
        <f t="shared" si="39"/>
        <v>2</v>
      </c>
      <c r="CB12" s="61">
        <f t="shared" si="40"/>
        <v>0</v>
      </c>
      <c r="CC12" s="61">
        <f t="shared" si="41"/>
        <v>0</v>
      </c>
      <c r="CD12" s="61">
        <f t="shared" si="42"/>
        <v>0</v>
      </c>
      <c r="CE12" s="61">
        <f t="shared" si="43"/>
        <v>0</v>
      </c>
      <c r="CF12" s="61">
        <f t="shared" si="44"/>
        <v>0</v>
      </c>
      <c r="CG12" s="61">
        <f t="shared" si="45"/>
        <v>0</v>
      </c>
      <c r="CH12" s="61">
        <f t="shared" si="46"/>
        <v>0</v>
      </c>
      <c r="CI12" s="61">
        <f t="shared" si="47"/>
        <v>0</v>
      </c>
      <c r="CJ12" s="61">
        <f t="shared" si="48"/>
        <v>0</v>
      </c>
      <c r="CK12" s="61">
        <f t="shared" si="49"/>
        <v>3</v>
      </c>
      <c r="CL12" s="61">
        <f t="shared" si="50"/>
        <v>2</v>
      </c>
      <c r="CM12" s="61">
        <f t="shared" si="51"/>
        <v>2</v>
      </c>
      <c r="CN12" s="61">
        <f t="shared" si="52"/>
        <v>2</v>
      </c>
      <c r="CO12" s="61">
        <f t="shared" si="53"/>
        <v>2</v>
      </c>
      <c r="CP12" s="61">
        <f t="shared" si="54"/>
        <v>2</v>
      </c>
      <c r="CQ12" s="61">
        <f t="shared" si="55"/>
        <v>2</v>
      </c>
      <c r="CR12" s="61">
        <f t="shared" si="56"/>
        <v>2</v>
      </c>
      <c r="CS12" s="61">
        <f t="shared" si="57"/>
        <v>2</v>
      </c>
      <c r="CT12" s="61">
        <f t="shared" si="58"/>
        <v>2</v>
      </c>
      <c r="CU12" s="61">
        <f t="shared" si="59"/>
        <v>2</v>
      </c>
      <c r="CV12" s="61">
        <f t="shared" si="60"/>
        <v>2</v>
      </c>
      <c r="CY12" s="61">
        <f t="shared" si="61"/>
        <v>2</v>
      </c>
      <c r="CZ12" s="61">
        <f t="shared" si="62"/>
        <v>2</v>
      </c>
      <c r="DA12" s="61">
        <f t="shared" si="63"/>
        <v>2</v>
      </c>
      <c r="DB12" s="61">
        <f t="shared" si="64"/>
        <v>2</v>
      </c>
      <c r="DC12" s="61">
        <f t="shared" si="65"/>
        <v>3</v>
      </c>
      <c r="DD12" s="61">
        <f t="shared" si="66"/>
        <v>2</v>
      </c>
      <c r="DE12" s="61">
        <f t="shared" si="67"/>
        <v>2</v>
      </c>
      <c r="DF12" s="61">
        <f t="shared" si="68"/>
        <v>2</v>
      </c>
      <c r="DG12" s="61">
        <f t="shared" si="69"/>
        <v>2</v>
      </c>
      <c r="DH12" s="61">
        <f t="shared" si="70"/>
        <v>2</v>
      </c>
      <c r="DI12" s="61">
        <f t="shared" si="71"/>
        <v>2</v>
      </c>
      <c r="DJ12" s="61">
        <f t="shared" si="72"/>
        <v>2</v>
      </c>
      <c r="DK12" s="61">
        <f t="shared" si="73"/>
        <v>2</v>
      </c>
      <c r="DL12" s="61">
        <f t="shared" si="74"/>
        <v>2</v>
      </c>
    </row>
    <row r="13" spans="1:116" x14ac:dyDescent="0.25">
      <c r="A13" s="492" t="s">
        <v>762</v>
      </c>
      <c r="B13" s="422" t="s">
        <v>1866</v>
      </c>
      <c r="C13" s="420" t="s">
        <v>1422</v>
      </c>
      <c r="D13" s="420"/>
      <c r="E13" s="539" t="str">
        <f>IF(D13&lt;&gt;"",IF($C13="Male",VLOOKUP(D13,Titles!$K$3:$L$70,2,FALSE),IF($C13="Female",VLOOKUP(D13,Titles!$P$3:$Q$68,2,FALSE),"")),"")</f>
        <v/>
      </c>
      <c r="F13" s="420"/>
      <c r="G13" s="420"/>
      <c r="H13" s="420"/>
      <c r="I13" s="420"/>
      <c r="J13" s="420"/>
      <c r="K13" s="420"/>
      <c r="L13" s="420"/>
      <c r="M13" s="420"/>
      <c r="N13" s="421"/>
      <c r="O13" s="421"/>
      <c r="P13" s="421"/>
      <c r="Q13" s="421"/>
      <c r="R13" s="421"/>
      <c r="S13" s="421"/>
      <c r="T13" s="421"/>
      <c r="U13" s="421"/>
      <c r="V13" s="421"/>
      <c r="W13" s="421"/>
      <c r="X13" s="421"/>
      <c r="Y13" s="421"/>
      <c r="Z13" s="421"/>
      <c r="AA13" s="421"/>
      <c r="AB13" s="423"/>
      <c r="AD13" s="61">
        <f t="shared" si="13"/>
        <v>0</v>
      </c>
      <c r="AE13" s="61">
        <f t="shared" si="0"/>
        <v>0</v>
      </c>
      <c r="AF13" s="61">
        <f t="shared" si="1"/>
        <v>0</v>
      </c>
      <c r="AG13" s="61">
        <f t="shared" si="2"/>
        <v>0</v>
      </c>
      <c r="AH13" s="61">
        <f t="shared" si="3"/>
        <v>0</v>
      </c>
      <c r="AI13" s="61">
        <f t="shared" si="4"/>
        <v>0</v>
      </c>
      <c r="AJ13" s="61">
        <f t="shared" si="5"/>
        <v>0</v>
      </c>
      <c r="AK13" s="61">
        <f t="shared" si="6"/>
        <v>0</v>
      </c>
      <c r="AL13" s="61">
        <f t="shared" si="7"/>
        <v>0</v>
      </c>
      <c r="AO13" s="61">
        <f t="shared" si="14"/>
        <v>-5</v>
      </c>
      <c r="AP13" s="61">
        <f t="shared" si="15"/>
        <v>-5</v>
      </c>
      <c r="AQ13" s="61">
        <f t="shared" si="8"/>
        <v>-5</v>
      </c>
      <c r="AR13" s="61">
        <f t="shared" si="8"/>
        <v>-5</v>
      </c>
      <c r="AS13" s="61">
        <f t="shared" si="8"/>
        <v>-5</v>
      </c>
      <c r="AT13" s="61">
        <f t="shared" si="8"/>
        <v>-5</v>
      </c>
      <c r="AU13" s="61">
        <f t="shared" si="8"/>
        <v>-5</v>
      </c>
      <c r="AV13" s="61">
        <f t="shared" si="8"/>
        <v>-5</v>
      </c>
      <c r="AW13" s="61">
        <f t="shared" si="8"/>
        <v>-5</v>
      </c>
      <c r="AZ13" s="61">
        <f t="shared" si="16"/>
        <v>0</v>
      </c>
      <c r="BA13" s="61">
        <f t="shared" si="17"/>
        <v>0</v>
      </c>
      <c r="BB13" s="61">
        <f t="shared" si="18"/>
        <v>0</v>
      </c>
      <c r="BC13" s="61">
        <f t="shared" si="19"/>
        <v>0</v>
      </c>
      <c r="BD13" s="61">
        <f t="shared" si="20"/>
        <v>0</v>
      </c>
      <c r="BE13" s="61">
        <f t="shared" si="21"/>
        <v>0</v>
      </c>
      <c r="BF13" s="61">
        <f t="shared" si="22"/>
        <v>0</v>
      </c>
      <c r="BG13" s="61">
        <f t="shared" si="23"/>
        <v>0</v>
      </c>
      <c r="BH13" s="61">
        <f t="shared" si="24"/>
        <v>0</v>
      </c>
      <c r="BI13" s="61">
        <f t="shared" si="25"/>
        <v>0</v>
      </c>
      <c r="BJ13" s="61">
        <f t="shared" si="26"/>
        <v>0</v>
      </c>
      <c r="BK13" s="61">
        <f t="shared" si="27"/>
        <v>0</v>
      </c>
      <c r="BN13" s="61">
        <f t="shared" si="28"/>
        <v>2</v>
      </c>
      <c r="BO13" s="61">
        <f t="shared" si="29"/>
        <v>2</v>
      </c>
      <c r="BP13" s="61">
        <f t="shared" si="30"/>
        <v>2</v>
      </c>
      <c r="BQ13" s="61">
        <f t="shared" si="31"/>
        <v>2</v>
      </c>
      <c r="BR13" s="61">
        <f t="shared" si="32"/>
        <v>2</v>
      </c>
      <c r="BS13" s="61">
        <f t="shared" si="33"/>
        <v>2</v>
      </c>
      <c r="BT13" s="61">
        <f t="shared" si="34"/>
        <v>2</v>
      </c>
      <c r="BU13" s="61">
        <f t="shared" si="35"/>
        <v>2</v>
      </c>
      <c r="BV13" s="61">
        <f t="shared" si="36"/>
        <v>2</v>
      </c>
      <c r="BW13" s="61">
        <f t="shared" si="37"/>
        <v>2</v>
      </c>
      <c r="BX13" s="61">
        <f t="shared" si="38"/>
        <v>2</v>
      </c>
      <c r="BY13" s="61">
        <f t="shared" si="39"/>
        <v>2</v>
      </c>
      <c r="CB13" s="61">
        <f t="shared" si="40"/>
        <v>0</v>
      </c>
      <c r="CC13" s="61">
        <f t="shared" si="41"/>
        <v>0</v>
      </c>
      <c r="CD13" s="61">
        <f t="shared" si="42"/>
        <v>0</v>
      </c>
      <c r="CE13" s="61">
        <f t="shared" si="43"/>
        <v>0</v>
      </c>
      <c r="CF13" s="61">
        <f t="shared" si="44"/>
        <v>0</v>
      </c>
      <c r="CG13" s="61">
        <f t="shared" si="45"/>
        <v>0</v>
      </c>
      <c r="CH13" s="61">
        <f t="shared" si="46"/>
        <v>0</v>
      </c>
      <c r="CI13" s="61">
        <f t="shared" si="47"/>
        <v>0</v>
      </c>
      <c r="CJ13" s="61">
        <f t="shared" si="48"/>
        <v>0</v>
      </c>
      <c r="CK13" s="61">
        <f t="shared" si="49"/>
        <v>2</v>
      </c>
      <c r="CL13" s="61">
        <f t="shared" si="50"/>
        <v>2</v>
      </c>
      <c r="CM13" s="61">
        <f t="shared" si="51"/>
        <v>2</v>
      </c>
      <c r="CN13" s="61">
        <f t="shared" si="52"/>
        <v>2</v>
      </c>
      <c r="CO13" s="61">
        <f t="shared" si="53"/>
        <v>2</v>
      </c>
      <c r="CP13" s="61">
        <f t="shared" si="54"/>
        <v>2</v>
      </c>
      <c r="CQ13" s="61">
        <f t="shared" si="55"/>
        <v>2</v>
      </c>
      <c r="CR13" s="61">
        <f t="shared" si="56"/>
        <v>2</v>
      </c>
      <c r="CS13" s="61">
        <f t="shared" si="57"/>
        <v>2</v>
      </c>
      <c r="CT13" s="61">
        <f t="shared" si="58"/>
        <v>2</v>
      </c>
      <c r="CU13" s="61">
        <f t="shared" si="59"/>
        <v>2</v>
      </c>
      <c r="CV13" s="61">
        <f t="shared" si="60"/>
        <v>2</v>
      </c>
      <c r="CY13" s="61">
        <f t="shared" si="61"/>
        <v>2</v>
      </c>
      <c r="CZ13" s="61">
        <f t="shared" si="62"/>
        <v>2</v>
      </c>
      <c r="DA13" s="61">
        <f t="shared" si="63"/>
        <v>2</v>
      </c>
      <c r="DB13" s="61">
        <f t="shared" si="64"/>
        <v>2</v>
      </c>
      <c r="DC13" s="61">
        <f t="shared" si="65"/>
        <v>2</v>
      </c>
      <c r="DD13" s="61">
        <f t="shared" si="66"/>
        <v>2</v>
      </c>
      <c r="DE13" s="61">
        <f t="shared" si="67"/>
        <v>2</v>
      </c>
      <c r="DF13" s="61">
        <f t="shared" si="68"/>
        <v>2</v>
      </c>
      <c r="DG13" s="61">
        <f t="shared" si="69"/>
        <v>2</v>
      </c>
      <c r="DH13" s="61">
        <f t="shared" si="70"/>
        <v>2</v>
      </c>
      <c r="DI13" s="61">
        <f t="shared" si="71"/>
        <v>2</v>
      </c>
      <c r="DJ13" s="61">
        <f t="shared" si="72"/>
        <v>2</v>
      </c>
      <c r="DK13" s="61">
        <f t="shared" si="73"/>
        <v>2</v>
      </c>
      <c r="DL13" s="61">
        <f t="shared" si="74"/>
        <v>2</v>
      </c>
    </row>
    <row r="14" spans="1:116" x14ac:dyDescent="0.25">
      <c r="A14" s="492" t="s">
        <v>762</v>
      </c>
      <c r="B14" s="422" t="s">
        <v>1867</v>
      </c>
      <c r="C14" s="420" t="s">
        <v>1421</v>
      </c>
      <c r="D14" s="420"/>
      <c r="E14" s="539" t="str">
        <f>IF(D14&lt;&gt;"",IF($C14="Male",VLOOKUP(D14,Titles!$K$3:$L$70,2,FALSE),IF($C14="Female",VLOOKUP(D14,Titles!$P$3:$Q$68,2,FALSE),"")),"")</f>
        <v/>
      </c>
      <c r="F14" s="420"/>
      <c r="G14" s="420"/>
      <c r="H14" s="420">
        <v>18</v>
      </c>
      <c r="I14" s="420">
        <v>14</v>
      </c>
      <c r="J14" s="420">
        <v>16</v>
      </c>
      <c r="K14" s="420">
        <v>14</v>
      </c>
      <c r="L14" s="420">
        <v>16</v>
      </c>
      <c r="M14" s="420">
        <v>13</v>
      </c>
      <c r="N14" s="421"/>
      <c r="O14" s="421"/>
      <c r="P14" s="421">
        <v>5</v>
      </c>
      <c r="Q14" s="421">
        <v>5</v>
      </c>
      <c r="R14" s="421"/>
      <c r="S14" s="421">
        <v>5</v>
      </c>
      <c r="T14" s="421"/>
      <c r="U14" s="421">
        <v>5</v>
      </c>
      <c r="V14" s="421"/>
      <c r="W14" s="421"/>
      <c r="X14" s="421"/>
      <c r="Y14" s="421"/>
      <c r="Z14" s="421">
        <v>5</v>
      </c>
      <c r="AA14" s="421">
        <v>5</v>
      </c>
      <c r="AB14" s="423"/>
      <c r="AD14" s="61">
        <f t="shared" si="13"/>
        <v>0</v>
      </c>
      <c r="AE14" s="61">
        <f t="shared" si="0"/>
        <v>16</v>
      </c>
      <c r="AF14" s="61">
        <f t="shared" si="1"/>
        <v>18</v>
      </c>
      <c r="AG14" s="61">
        <f t="shared" si="2"/>
        <v>14</v>
      </c>
      <c r="AH14" s="61">
        <f t="shared" si="3"/>
        <v>16</v>
      </c>
      <c r="AI14" s="61">
        <f t="shared" si="4"/>
        <v>18</v>
      </c>
      <c r="AJ14" s="61">
        <f t="shared" si="5"/>
        <v>14</v>
      </c>
      <c r="AK14" s="61">
        <f t="shared" si="6"/>
        <v>16</v>
      </c>
      <c r="AL14" s="61">
        <f t="shared" si="7"/>
        <v>18</v>
      </c>
      <c r="AO14" s="61">
        <f t="shared" si="14"/>
        <v>1</v>
      </c>
      <c r="AP14" s="61">
        <f t="shared" si="15"/>
        <v>3</v>
      </c>
      <c r="AQ14" s="61">
        <f t="shared" si="8"/>
        <v>4</v>
      </c>
      <c r="AR14" s="61">
        <f t="shared" si="8"/>
        <v>2</v>
      </c>
      <c r="AS14" s="61">
        <f t="shared" si="8"/>
        <v>3</v>
      </c>
      <c r="AT14" s="61">
        <f t="shared" si="8"/>
        <v>4</v>
      </c>
      <c r="AU14" s="61">
        <f t="shared" si="8"/>
        <v>2</v>
      </c>
      <c r="AV14" s="61">
        <f t="shared" si="8"/>
        <v>3</v>
      </c>
      <c r="AW14" s="61">
        <f t="shared" si="8"/>
        <v>4</v>
      </c>
      <c r="AZ14" s="61">
        <f t="shared" si="16"/>
        <v>1</v>
      </c>
      <c r="BA14" s="61">
        <f t="shared" si="17"/>
        <v>1</v>
      </c>
      <c r="BB14" s="61">
        <f t="shared" si="18"/>
        <v>0</v>
      </c>
      <c r="BC14" s="61">
        <f t="shared" si="19"/>
        <v>1</v>
      </c>
      <c r="BD14" s="61">
        <f t="shared" si="20"/>
        <v>0</v>
      </c>
      <c r="BE14" s="61">
        <f t="shared" si="21"/>
        <v>1</v>
      </c>
      <c r="BF14" s="61">
        <f t="shared" si="22"/>
        <v>0</v>
      </c>
      <c r="BG14" s="61">
        <f t="shared" si="23"/>
        <v>0</v>
      </c>
      <c r="BH14" s="61">
        <f t="shared" si="24"/>
        <v>0</v>
      </c>
      <c r="BI14" s="61">
        <f t="shared" si="25"/>
        <v>0</v>
      </c>
      <c r="BJ14" s="61">
        <f t="shared" si="26"/>
        <v>1</v>
      </c>
      <c r="BK14" s="61">
        <f t="shared" si="27"/>
        <v>1</v>
      </c>
      <c r="BN14" s="61">
        <f t="shared" si="28"/>
        <v>3</v>
      </c>
      <c r="BO14" s="61">
        <f t="shared" si="29"/>
        <v>3</v>
      </c>
      <c r="BP14" s="61">
        <f t="shared" si="30"/>
        <v>2</v>
      </c>
      <c r="BQ14" s="61">
        <f t="shared" si="31"/>
        <v>3</v>
      </c>
      <c r="BR14" s="61">
        <f t="shared" si="32"/>
        <v>2</v>
      </c>
      <c r="BS14" s="61">
        <f t="shared" si="33"/>
        <v>3</v>
      </c>
      <c r="BT14" s="61">
        <f t="shared" si="34"/>
        <v>2</v>
      </c>
      <c r="BU14" s="61">
        <f t="shared" si="35"/>
        <v>2</v>
      </c>
      <c r="BV14" s="61">
        <f t="shared" si="36"/>
        <v>2</v>
      </c>
      <c r="BW14" s="61">
        <f t="shared" si="37"/>
        <v>2</v>
      </c>
      <c r="BX14" s="61">
        <f t="shared" si="38"/>
        <v>3</v>
      </c>
      <c r="BY14" s="61">
        <f t="shared" si="39"/>
        <v>3</v>
      </c>
      <c r="CB14" s="61">
        <f t="shared" si="40"/>
        <v>0</v>
      </c>
      <c r="CC14" s="61">
        <f t="shared" si="41"/>
        <v>0</v>
      </c>
      <c r="CD14" s="61">
        <f t="shared" si="42"/>
        <v>0</v>
      </c>
      <c r="CE14" s="61">
        <f t="shared" si="43"/>
        <v>0</v>
      </c>
      <c r="CF14" s="61">
        <f t="shared" si="44"/>
        <v>0</v>
      </c>
      <c r="CG14" s="61">
        <f t="shared" si="45"/>
        <v>0</v>
      </c>
      <c r="CH14" s="61">
        <f t="shared" si="46"/>
        <v>0</v>
      </c>
      <c r="CI14" s="61">
        <f t="shared" si="47"/>
        <v>0</v>
      </c>
      <c r="CJ14" s="61">
        <f t="shared" si="48"/>
        <v>0</v>
      </c>
      <c r="CK14" s="61">
        <f t="shared" si="49"/>
        <v>3</v>
      </c>
      <c r="CL14" s="61">
        <f t="shared" si="50"/>
        <v>3</v>
      </c>
      <c r="CM14" s="61">
        <f t="shared" si="51"/>
        <v>2</v>
      </c>
      <c r="CN14" s="61">
        <f t="shared" si="52"/>
        <v>3</v>
      </c>
      <c r="CO14" s="61">
        <f t="shared" si="53"/>
        <v>2</v>
      </c>
      <c r="CP14" s="61">
        <f t="shared" si="54"/>
        <v>3</v>
      </c>
      <c r="CQ14" s="61">
        <f t="shared" si="55"/>
        <v>2</v>
      </c>
      <c r="CR14" s="61">
        <f t="shared" si="56"/>
        <v>2</v>
      </c>
      <c r="CS14" s="61">
        <f t="shared" si="57"/>
        <v>2</v>
      </c>
      <c r="CT14" s="61">
        <f t="shared" si="58"/>
        <v>2</v>
      </c>
      <c r="CU14" s="61">
        <f t="shared" si="59"/>
        <v>3</v>
      </c>
      <c r="CV14" s="61">
        <f t="shared" si="60"/>
        <v>3</v>
      </c>
      <c r="CY14" s="61">
        <f t="shared" si="61"/>
        <v>3</v>
      </c>
      <c r="CZ14" s="61">
        <f t="shared" si="62"/>
        <v>3</v>
      </c>
      <c r="DA14" s="61">
        <f t="shared" si="63"/>
        <v>2</v>
      </c>
      <c r="DB14" s="61">
        <f t="shared" si="64"/>
        <v>3</v>
      </c>
      <c r="DC14" s="61">
        <f t="shared" si="65"/>
        <v>3</v>
      </c>
      <c r="DD14" s="61">
        <f t="shared" si="66"/>
        <v>3</v>
      </c>
      <c r="DE14" s="61">
        <f t="shared" si="67"/>
        <v>2</v>
      </c>
      <c r="DF14" s="61">
        <f t="shared" si="68"/>
        <v>3</v>
      </c>
      <c r="DG14" s="61">
        <f t="shared" si="69"/>
        <v>2</v>
      </c>
      <c r="DH14" s="61">
        <f t="shared" si="70"/>
        <v>2</v>
      </c>
      <c r="DI14" s="61">
        <f t="shared" si="71"/>
        <v>2</v>
      </c>
      <c r="DJ14" s="61">
        <f t="shared" si="72"/>
        <v>2</v>
      </c>
      <c r="DK14" s="61">
        <f t="shared" si="73"/>
        <v>3</v>
      </c>
      <c r="DL14" s="61">
        <f t="shared" si="74"/>
        <v>3</v>
      </c>
    </row>
    <row r="15" spans="1:116" x14ac:dyDescent="0.25">
      <c r="A15" s="492" t="s">
        <v>762</v>
      </c>
      <c r="B15" s="422" t="s">
        <v>1868</v>
      </c>
      <c r="C15" s="420" t="s">
        <v>1421</v>
      </c>
      <c r="D15" s="420"/>
      <c r="E15" s="539" t="str">
        <f>IF(D15&lt;&gt;"",IF($C15="Male",VLOOKUP(D15,Titles!$K$3:$L$70,2,FALSE),IF($C15="Female",VLOOKUP(D15,Titles!$P$3:$Q$68,2,FALSE),"")),"")</f>
        <v/>
      </c>
      <c r="F15" s="420"/>
      <c r="G15" s="420"/>
      <c r="H15" s="420">
        <v>17</v>
      </c>
      <c r="I15" s="420">
        <v>12</v>
      </c>
      <c r="J15" s="420">
        <v>17</v>
      </c>
      <c r="K15" s="420">
        <v>11</v>
      </c>
      <c r="L15" s="420">
        <v>11</v>
      </c>
      <c r="M15" s="420">
        <v>14</v>
      </c>
      <c r="N15" s="421"/>
      <c r="O15" s="421"/>
      <c r="P15" s="421">
        <v>5</v>
      </c>
      <c r="Q15" s="421">
        <v>5</v>
      </c>
      <c r="R15" s="421"/>
      <c r="S15" s="421"/>
      <c r="T15" s="421">
        <v>4</v>
      </c>
      <c r="U15" s="421"/>
      <c r="V15" s="421"/>
      <c r="W15" s="421">
        <v>5</v>
      </c>
      <c r="X15" s="421">
        <v>5</v>
      </c>
      <c r="Y15" s="421"/>
      <c r="Z15" s="421"/>
      <c r="AA15" s="421"/>
      <c r="AB15" s="423"/>
      <c r="AD15" s="61">
        <f t="shared" si="13"/>
        <v>0</v>
      </c>
      <c r="AE15" s="61">
        <f t="shared" si="0"/>
        <v>14</v>
      </c>
      <c r="AF15" s="61">
        <f t="shared" si="1"/>
        <v>17</v>
      </c>
      <c r="AG15" s="61">
        <f t="shared" si="2"/>
        <v>14</v>
      </c>
      <c r="AH15" s="61">
        <f t="shared" si="3"/>
        <v>12</v>
      </c>
      <c r="AI15" s="61">
        <f t="shared" si="4"/>
        <v>17</v>
      </c>
      <c r="AJ15" s="61">
        <f t="shared" si="5"/>
        <v>12</v>
      </c>
      <c r="AK15" s="61">
        <f t="shared" si="6"/>
        <v>11</v>
      </c>
      <c r="AL15" s="61">
        <f t="shared" si="7"/>
        <v>17</v>
      </c>
      <c r="AO15" s="61">
        <f t="shared" si="14"/>
        <v>2</v>
      </c>
      <c r="AP15" s="61">
        <f t="shared" si="15"/>
        <v>2</v>
      </c>
      <c r="AQ15" s="61">
        <f t="shared" si="8"/>
        <v>3</v>
      </c>
      <c r="AR15" s="61">
        <f t="shared" si="8"/>
        <v>2</v>
      </c>
      <c r="AS15" s="61">
        <f t="shared" si="8"/>
        <v>1</v>
      </c>
      <c r="AT15" s="61">
        <f t="shared" si="8"/>
        <v>3</v>
      </c>
      <c r="AU15" s="61">
        <f t="shared" si="8"/>
        <v>1</v>
      </c>
      <c r="AV15" s="61">
        <f t="shared" si="8"/>
        <v>0</v>
      </c>
      <c r="AW15" s="61">
        <f t="shared" si="8"/>
        <v>3</v>
      </c>
      <c r="AZ15" s="61">
        <f t="shared" si="16"/>
        <v>1</v>
      </c>
      <c r="BA15" s="61">
        <f t="shared" si="17"/>
        <v>1</v>
      </c>
      <c r="BB15" s="61">
        <f t="shared" si="18"/>
        <v>0</v>
      </c>
      <c r="BC15" s="61">
        <f t="shared" si="19"/>
        <v>0</v>
      </c>
      <c r="BD15" s="61">
        <f t="shared" si="20"/>
        <v>0</v>
      </c>
      <c r="BE15" s="61">
        <f t="shared" si="21"/>
        <v>0</v>
      </c>
      <c r="BF15" s="61">
        <f t="shared" si="22"/>
        <v>0</v>
      </c>
      <c r="BG15" s="61">
        <f t="shared" si="23"/>
        <v>1</v>
      </c>
      <c r="BH15" s="61">
        <f t="shared" si="24"/>
        <v>1</v>
      </c>
      <c r="BI15" s="61">
        <f t="shared" si="25"/>
        <v>0</v>
      </c>
      <c r="BJ15" s="61">
        <f t="shared" si="26"/>
        <v>0</v>
      </c>
      <c r="BK15" s="61">
        <f t="shared" si="27"/>
        <v>0</v>
      </c>
      <c r="BN15" s="61">
        <f t="shared" si="28"/>
        <v>3</v>
      </c>
      <c r="BO15" s="61">
        <f t="shared" si="29"/>
        <v>3</v>
      </c>
      <c r="BP15" s="61">
        <f t="shared" si="30"/>
        <v>2</v>
      </c>
      <c r="BQ15" s="61">
        <f t="shared" si="31"/>
        <v>2</v>
      </c>
      <c r="BR15" s="61">
        <f t="shared" si="32"/>
        <v>3</v>
      </c>
      <c r="BS15" s="61">
        <f t="shared" si="33"/>
        <v>2</v>
      </c>
      <c r="BT15" s="61">
        <f t="shared" si="34"/>
        <v>2</v>
      </c>
      <c r="BU15" s="61">
        <f t="shared" si="35"/>
        <v>3</v>
      </c>
      <c r="BV15" s="61">
        <f t="shared" si="36"/>
        <v>3</v>
      </c>
      <c r="BW15" s="61">
        <f t="shared" si="37"/>
        <v>2</v>
      </c>
      <c r="BX15" s="61">
        <f t="shared" si="38"/>
        <v>2</v>
      </c>
      <c r="BY15" s="61">
        <f t="shared" si="39"/>
        <v>2</v>
      </c>
      <c r="CB15" s="61">
        <f t="shared" si="40"/>
        <v>0</v>
      </c>
      <c r="CC15" s="61">
        <f t="shared" si="41"/>
        <v>0</v>
      </c>
      <c r="CD15" s="61">
        <f t="shared" si="42"/>
        <v>0</v>
      </c>
      <c r="CE15" s="61">
        <f t="shared" si="43"/>
        <v>0</v>
      </c>
      <c r="CF15" s="61">
        <f t="shared" si="44"/>
        <v>0</v>
      </c>
      <c r="CG15" s="61">
        <f t="shared" si="45"/>
        <v>0</v>
      </c>
      <c r="CH15" s="61">
        <f t="shared" si="46"/>
        <v>0</v>
      </c>
      <c r="CI15" s="61">
        <f t="shared" si="47"/>
        <v>0</v>
      </c>
      <c r="CJ15" s="61">
        <f t="shared" si="48"/>
        <v>0</v>
      </c>
      <c r="CK15" s="61">
        <f t="shared" si="49"/>
        <v>3</v>
      </c>
      <c r="CL15" s="61">
        <f t="shared" si="50"/>
        <v>3</v>
      </c>
      <c r="CM15" s="61">
        <f t="shared" si="51"/>
        <v>2</v>
      </c>
      <c r="CN15" s="61">
        <f t="shared" si="52"/>
        <v>2</v>
      </c>
      <c r="CO15" s="61">
        <f t="shared" si="53"/>
        <v>3</v>
      </c>
      <c r="CP15" s="61">
        <f t="shared" si="54"/>
        <v>2</v>
      </c>
      <c r="CQ15" s="61">
        <f t="shared" si="55"/>
        <v>2</v>
      </c>
      <c r="CR15" s="61">
        <f t="shared" si="56"/>
        <v>3</v>
      </c>
      <c r="CS15" s="61">
        <f t="shared" si="57"/>
        <v>3</v>
      </c>
      <c r="CT15" s="61">
        <f t="shared" si="58"/>
        <v>2</v>
      </c>
      <c r="CU15" s="61">
        <f t="shared" si="59"/>
        <v>2</v>
      </c>
      <c r="CV15" s="61">
        <f t="shared" si="60"/>
        <v>2</v>
      </c>
      <c r="CY15" s="61">
        <f t="shared" si="61"/>
        <v>3</v>
      </c>
      <c r="CZ15" s="61">
        <f t="shared" si="62"/>
        <v>3</v>
      </c>
      <c r="DA15" s="61">
        <f t="shared" si="63"/>
        <v>2</v>
      </c>
      <c r="DB15" s="61">
        <f t="shared" si="64"/>
        <v>2</v>
      </c>
      <c r="DC15" s="61">
        <f t="shared" si="65"/>
        <v>3</v>
      </c>
      <c r="DD15" s="61">
        <f t="shared" si="66"/>
        <v>3</v>
      </c>
      <c r="DE15" s="61">
        <f t="shared" si="67"/>
        <v>3</v>
      </c>
      <c r="DF15" s="61">
        <f t="shared" si="68"/>
        <v>2</v>
      </c>
      <c r="DG15" s="61">
        <f t="shared" si="69"/>
        <v>2</v>
      </c>
      <c r="DH15" s="61">
        <f t="shared" si="70"/>
        <v>3</v>
      </c>
      <c r="DI15" s="61">
        <f t="shared" si="71"/>
        <v>3</v>
      </c>
      <c r="DJ15" s="61">
        <f t="shared" si="72"/>
        <v>2</v>
      </c>
      <c r="DK15" s="61">
        <f t="shared" si="73"/>
        <v>2</v>
      </c>
      <c r="DL15" s="61">
        <f t="shared" si="74"/>
        <v>2</v>
      </c>
    </row>
    <row r="16" spans="1:116" x14ac:dyDescent="0.25">
      <c r="A16" s="492" t="s">
        <v>762</v>
      </c>
      <c r="B16" s="422" t="s">
        <v>1869</v>
      </c>
      <c r="C16" s="420" t="s">
        <v>1422</v>
      </c>
      <c r="D16" s="420"/>
      <c r="E16" s="539" t="str">
        <f>IF(D16&lt;&gt;"",IF($C16="Male",VLOOKUP(D16,Titles!$K$3:$L$70,2,FALSE),IF($C16="Female",VLOOKUP(D16,Titles!$P$3:$Q$68,2,FALSE),"")),"")</f>
        <v/>
      </c>
      <c r="F16" s="420"/>
      <c r="G16" s="420"/>
      <c r="H16" s="420">
        <v>12</v>
      </c>
      <c r="I16" s="420">
        <v>18</v>
      </c>
      <c r="J16" s="420">
        <v>14</v>
      </c>
      <c r="K16" s="420">
        <v>14</v>
      </c>
      <c r="L16" s="420">
        <v>11</v>
      </c>
      <c r="M16" s="420">
        <v>15</v>
      </c>
      <c r="N16" s="421"/>
      <c r="O16" s="421"/>
      <c r="P16" s="421">
        <v>5</v>
      </c>
      <c r="Q16" s="421"/>
      <c r="R16" s="421">
        <v>5</v>
      </c>
      <c r="S16" s="421"/>
      <c r="T16" s="421"/>
      <c r="U16" s="421"/>
      <c r="V16" s="421"/>
      <c r="W16" s="421"/>
      <c r="X16" s="421">
        <v>5</v>
      </c>
      <c r="Y16" s="421"/>
      <c r="Z16" s="421"/>
      <c r="AA16" s="421"/>
      <c r="AB16" s="423"/>
      <c r="AD16" s="61">
        <f t="shared" si="13"/>
        <v>0</v>
      </c>
      <c r="AE16" s="61">
        <f t="shared" si="0"/>
        <v>15</v>
      </c>
      <c r="AF16" s="61">
        <f t="shared" si="1"/>
        <v>15</v>
      </c>
      <c r="AG16" s="61">
        <f t="shared" si="2"/>
        <v>15</v>
      </c>
      <c r="AH16" s="61">
        <f t="shared" si="3"/>
        <v>18</v>
      </c>
      <c r="AI16" s="61">
        <f t="shared" si="4"/>
        <v>18</v>
      </c>
      <c r="AJ16" s="61">
        <f t="shared" si="5"/>
        <v>18</v>
      </c>
      <c r="AK16" s="61">
        <f t="shared" si="6"/>
        <v>14</v>
      </c>
      <c r="AL16" s="61">
        <f t="shared" si="7"/>
        <v>14</v>
      </c>
      <c r="AO16" s="61">
        <f t="shared" si="14"/>
        <v>2</v>
      </c>
      <c r="AP16" s="61">
        <f t="shared" si="15"/>
        <v>2</v>
      </c>
      <c r="AQ16" s="61">
        <f t="shared" si="8"/>
        <v>2</v>
      </c>
      <c r="AR16" s="61">
        <f t="shared" si="8"/>
        <v>2</v>
      </c>
      <c r="AS16" s="61">
        <f t="shared" si="8"/>
        <v>4</v>
      </c>
      <c r="AT16" s="61">
        <f t="shared" si="8"/>
        <v>4</v>
      </c>
      <c r="AU16" s="61">
        <f t="shared" si="8"/>
        <v>4</v>
      </c>
      <c r="AV16" s="61">
        <f t="shared" si="8"/>
        <v>2</v>
      </c>
      <c r="AW16" s="61">
        <f t="shared" si="8"/>
        <v>2</v>
      </c>
      <c r="AZ16" s="61">
        <f t="shared" si="16"/>
        <v>1</v>
      </c>
      <c r="BA16" s="61">
        <f t="shared" si="17"/>
        <v>0</v>
      </c>
      <c r="BB16" s="61">
        <f t="shared" si="18"/>
        <v>1</v>
      </c>
      <c r="BC16" s="61">
        <f t="shared" si="19"/>
        <v>0</v>
      </c>
      <c r="BD16" s="61">
        <f t="shared" si="20"/>
        <v>0</v>
      </c>
      <c r="BE16" s="61">
        <f t="shared" si="21"/>
        <v>0</v>
      </c>
      <c r="BF16" s="61">
        <f t="shared" si="22"/>
        <v>0</v>
      </c>
      <c r="BG16" s="61">
        <f t="shared" si="23"/>
        <v>0</v>
      </c>
      <c r="BH16" s="61">
        <f t="shared" si="24"/>
        <v>1</v>
      </c>
      <c r="BI16" s="61">
        <f t="shared" si="25"/>
        <v>0</v>
      </c>
      <c r="BJ16" s="61">
        <f t="shared" si="26"/>
        <v>0</v>
      </c>
      <c r="BK16" s="61">
        <f t="shared" si="27"/>
        <v>0</v>
      </c>
      <c r="BN16" s="61">
        <f t="shared" si="28"/>
        <v>3</v>
      </c>
      <c r="BO16" s="61">
        <f t="shared" si="29"/>
        <v>2</v>
      </c>
      <c r="BP16" s="61">
        <f t="shared" si="30"/>
        <v>3</v>
      </c>
      <c r="BQ16" s="61">
        <f t="shared" si="31"/>
        <v>2</v>
      </c>
      <c r="BR16" s="61">
        <f t="shared" si="32"/>
        <v>2</v>
      </c>
      <c r="BS16" s="61">
        <f t="shared" si="33"/>
        <v>2</v>
      </c>
      <c r="BT16" s="61">
        <f t="shared" si="34"/>
        <v>2</v>
      </c>
      <c r="BU16" s="61">
        <f t="shared" si="35"/>
        <v>2</v>
      </c>
      <c r="BV16" s="61">
        <f t="shared" si="36"/>
        <v>3</v>
      </c>
      <c r="BW16" s="61">
        <f t="shared" si="37"/>
        <v>2</v>
      </c>
      <c r="BX16" s="61">
        <f t="shared" si="38"/>
        <v>2</v>
      </c>
      <c r="BY16" s="61">
        <f t="shared" si="39"/>
        <v>2</v>
      </c>
      <c r="CB16" s="61">
        <f t="shared" si="40"/>
        <v>0</v>
      </c>
      <c r="CC16" s="61">
        <f t="shared" si="41"/>
        <v>0</v>
      </c>
      <c r="CD16" s="61">
        <f t="shared" si="42"/>
        <v>0</v>
      </c>
      <c r="CE16" s="61">
        <f t="shared" si="43"/>
        <v>0</v>
      </c>
      <c r="CF16" s="61">
        <f t="shared" si="44"/>
        <v>0</v>
      </c>
      <c r="CG16" s="61">
        <f t="shared" si="45"/>
        <v>0</v>
      </c>
      <c r="CH16" s="61">
        <f t="shared" si="46"/>
        <v>0</v>
      </c>
      <c r="CI16" s="61">
        <f t="shared" si="47"/>
        <v>0</v>
      </c>
      <c r="CJ16" s="61">
        <f t="shared" si="48"/>
        <v>0</v>
      </c>
      <c r="CK16" s="61">
        <f t="shared" si="49"/>
        <v>3</v>
      </c>
      <c r="CL16" s="61">
        <f t="shared" si="50"/>
        <v>2</v>
      </c>
      <c r="CM16" s="61">
        <f t="shared" si="51"/>
        <v>3</v>
      </c>
      <c r="CN16" s="61">
        <f t="shared" si="52"/>
        <v>2</v>
      </c>
      <c r="CO16" s="61">
        <f t="shared" si="53"/>
        <v>2</v>
      </c>
      <c r="CP16" s="61">
        <f t="shared" si="54"/>
        <v>2</v>
      </c>
      <c r="CQ16" s="61">
        <f t="shared" si="55"/>
        <v>2</v>
      </c>
      <c r="CR16" s="61">
        <f t="shared" si="56"/>
        <v>2</v>
      </c>
      <c r="CS16" s="61">
        <f t="shared" si="57"/>
        <v>3</v>
      </c>
      <c r="CT16" s="61">
        <f t="shared" si="58"/>
        <v>2</v>
      </c>
      <c r="CU16" s="61">
        <f t="shared" si="59"/>
        <v>2</v>
      </c>
      <c r="CV16" s="61">
        <f t="shared" si="60"/>
        <v>2</v>
      </c>
      <c r="CY16" s="61">
        <f t="shared" si="61"/>
        <v>2</v>
      </c>
      <c r="CZ16" s="61">
        <f t="shared" si="62"/>
        <v>2</v>
      </c>
      <c r="DA16" s="61">
        <f t="shared" si="63"/>
        <v>3</v>
      </c>
      <c r="DB16" s="61">
        <f t="shared" si="64"/>
        <v>2</v>
      </c>
      <c r="DC16" s="61">
        <f t="shared" si="65"/>
        <v>3</v>
      </c>
      <c r="DD16" s="61">
        <f t="shared" si="66"/>
        <v>2</v>
      </c>
      <c r="DE16" s="61">
        <f t="shared" si="67"/>
        <v>2</v>
      </c>
      <c r="DF16" s="61">
        <f t="shared" si="68"/>
        <v>2</v>
      </c>
      <c r="DG16" s="61">
        <f t="shared" si="69"/>
        <v>2</v>
      </c>
      <c r="DH16" s="61">
        <f t="shared" si="70"/>
        <v>2</v>
      </c>
      <c r="DI16" s="61">
        <f t="shared" si="71"/>
        <v>3</v>
      </c>
      <c r="DJ16" s="61">
        <f t="shared" si="72"/>
        <v>2</v>
      </c>
      <c r="DK16" s="61">
        <f t="shared" si="73"/>
        <v>2</v>
      </c>
      <c r="DL16" s="61">
        <f t="shared" si="74"/>
        <v>2</v>
      </c>
    </row>
    <row r="17" spans="1:116" x14ac:dyDescent="0.25">
      <c r="A17" s="492" t="s">
        <v>762</v>
      </c>
      <c r="B17" s="422" t="s">
        <v>1870</v>
      </c>
      <c r="C17" s="420" t="s">
        <v>1421</v>
      </c>
      <c r="D17" s="420"/>
      <c r="E17" s="539" t="str">
        <f>IF(D17&lt;&gt;"",IF($C17="Male",VLOOKUP(D17,Titles!$K$3:$L$70,2,FALSE),IF($C17="Female",VLOOKUP(D17,Titles!$P$3:$Q$68,2,FALSE),"")),"")</f>
        <v/>
      </c>
      <c r="F17" s="420"/>
      <c r="G17" s="420"/>
      <c r="H17" s="420">
        <v>19</v>
      </c>
      <c r="I17" s="420">
        <v>14</v>
      </c>
      <c r="J17" s="420">
        <v>14</v>
      </c>
      <c r="K17" s="420">
        <v>11</v>
      </c>
      <c r="L17" s="420">
        <v>18</v>
      </c>
      <c r="M17" s="420">
        <v>12</v>
      </c>
      <c r="N17" s="421"/>
      <c r="O17" s="421"/>
      <c r="P17" s="421"/>
      <c r="Q17" s="421"/>
      <c r="R17" s="421"/>
      <c r="S17" s="421"/>
      <c r="T17" s="421">
        <v>5</v>
      </c>
      <c r="U17" s="421"/>
      <c r="V17" s="421"/>
      <c r="W17" s="421"/>
      <c r="X17" s="421">
        <v>5</v>
      </c>
      <c r="Y17" s="421"/>
      <c r="Z17" s="421"/>
      <c r="AA17" s="421"/>
      <c r="AB17" s="423"/>
      <c r="AD17" s="61">
        <f t="shared" si="13"/>
        <v>0</v>
      </c>
      <c r="AE17" s="61">
        <f t="shared" si="0"/>
        <v>18</v>
      </c>
      <c r="AF17" s="61">
        <f t="shared" si="1"/>
        <v>19</v>
      </c>
      <c r="AG17" s="61">
        <f t="shared" si="2"/>
        <v>12</v>
      </c>
      <c r="AH17" s="61">
        <f t="shared" si="3"/>
        <v>18</v>
      </c>
      <c r="AI17" s="61">
        <f t="shared" si="4"/>
        <v>19</v>
      </c>
      <c r="AJ17" s="61">
        <f t="shared" si="5"/>
        <v>14</v>
      </c>
      <c r="AK17" s="61">
        <f t="shared" si="6"/>
        <v>18</v>
      </c>
      <c r="AL17" s="61">
        <f t="shared" si="7"/>
        <v>19</v>
      </c>
      <c r="AO17" s="61">
        <f t="shared" si="14"/>
        <v>1</v>
      </c>
      <c r="AP17" s="61">
        <f t="shared" si="15"/>
        <v>4</v>
      </c>
      <c r="AQ17" s="61">
        <f t="shared" si="8"/>
        <v>4</v>
      </c>
      <c r="AR17" s="61">
        <f t="shared" si="8"/>
        <v>1</v>
      </c>
      <c r="AS17" s="61">
        <f t="shared" si="8"/>
        <v>4</v>
      </c>
      <c r="AT17" s="61">
        <f t="shared" si="8"/>
        <v>4</v>
      </c>
      <c r="AU17" s="61">
        <f t="shared" si="8"/>
        <v>2</v>
      </c>
      <c r="AV17" s="61">
        <f t="shared" si="8"/>
        <v>4</v>
      </c>
      <c r="AW17" s="61">
        <f t="shared" si="8"/>
        <v>4</v>
      </c>
      <c r="AZ17" s="61">
        <f t="shared" si="16"/>
        <v>0</v>
      </c>
      <c r="BA17" s="61">
        <f t="shared" si="17"/>
        <v>0</v>
      </c>
      <c r="BB17" s="61">
        <f t="shared" si="18"/>
        <v>0</v>
      </c>
      <c r="BC17" s="61">
        <f t="shared" si="19"/>
        <v>0</v>
      </c>
      <c r="BD17" s="61">
        <f t="shared" si="20"/>
        <v>1</v>
      </c>
      <c r="BE17" s="61">
        <f t="shared" si="21"/>
        <v>0</v>
      </c>
      <c r="BF17" s="61">
        <f t="shared" si="22"/>
        <v>0</v>
      </c>
      <c r="BG17" s="61">
        <f t="shared" si="23"/>
        <v>0</v>
      </c>
      <c r="BH17" s="61">
        <f t="shared" si="24"/>
        <v>1</v>
      </c>
      <c r="BI17" s="61">
        <f t="shared" si="25"/>
        <v>0</v>
      </c>
      <c r="BJ17" s="61">
        <f t="shared" si="26"/>
        <v>0</v>
      </c>
      <c r="BK17" s="61">
        <f t="shared" si="27"/>
        <v>0</v>
      </c>
      <c r="BN17" s="61">
        <f t="shared" si="28"/>
        <v>2</v>
      </c>
      <c r="BO17" s="61">
        <f t="shared" si="29"/>
        <v>2</v>
      </c>
      <c r="BP17" s="61">
        <f t="shared" si="30"/>
        <v>2</v>
      </c>
      <c r="BQ17" s="61">
        <f t="shared" si="31"/>
        <v>2</v>
      </c>
      <c r="BR17" s="61">
        <f t="shared" si="32"/>
        <v>3</v>
      </c>
      <c r="BS17" s="61">
        <f t="shared" si="33"/>
        <v>2</v>
      </c>
      <c r="BT17" s="61">
        <f t="shared" si="34"/>
        <v>2</v>
      </c>
      <c r="BU17" s="61">
        <f t="shared" si="35"/>
        <v>2</v>
      </c>
      <c r="BV17" s="61">
        <f t="shared" si="36"/>
        <v>3</v>
      </c>
      <c r="BW17" s="61">
        <f t="shared" si="37"/>
        <v>2</v>
      </c>
      <c r="BX17" s="61">
        <f t="shared" si="38"/>
        <v>2</v>
      </c>
      <c r="BY17" s="61">
        <f t="shared" si="39"/>
        <v>2</v>
      </c>
      <c r="CB17" s="61">
        <f t="shared" si="40"/>
        <v>0</v>
      </c>
      <c r="CC17" s="61">
        <f t="shared" si="41"/>
        <v>0</v>
      </c>
      <c r="CD17" s="61">
        <f t="shared" si="42"/>
        <v>0</v>
      </c>
      <c r="CE17" s="61">
        <f t="shared" si="43"/>
        <v>0</v>
      </c>
      <c r="CF17" s="61">
        <f t="shared" si="44"/>
        <v>0</v>
      </c>
      <c r="CG17" s="61">
        <f t="shared" si="45"/>
        <v>0</v>
      </c>
      <c r="CH17" s="61">
        <f t="shared" si="46"/>
        <v>0</v>
      </c>
      <c r="CI17" s="61">
        <f t="shared" si="47"/>
        <v>0</v>
      </c>
      <c r="CJ17" s="61">
        <f t="shared" si="48"/>
        <v>0</v>
      </c>
      <c r="CK17" s="61">
        <f t="shared" si="49"/>
        <v>2</v>
      </c>
      <c r="CL17" s="61">
        <f t="shared" si="50"/>
        <v>2</v>
      </c>
      <c r="CM17" s="61">
        <f t="shared" si="51"/>
        <v>2</v>
      </c>
      <c r="CN17" s="61">
        <f t="shared" si="52"/>
        <v>2</v>
      </c>
      <c r="CO17" s="61">
        <f t="shared" si="53"/>
        <v>3</v>
      </c>
      <c r="CP17" s="61">
        <f t="shared" si="54"/>
        <v>2</v>
      </c>
      <c r="CQ17" s="61">
        <f t="shared" si="55"/>
        <v>2</v>
      </c>
      <c r="CR17" s="61">
        <f t="shared" si="56"/>
        <v>2</v>
      </c>
      <c r="CS17" s="61">
        <f t="shared" si="57"/>
        <v>3</v>
      </c>
      <c r="CT17" s="61">
        <f t="shared" si="58"/>
        <v>2</v>
      </c>
      <c r="CU17" s="61">
        <f t="shared" si="59"/>
        <v>2</v>
      </c>
      <c r="CV17" s="61">
        <f t="shared" si="60"/>
        <v>2</v>
      </c>
      <c r="CY17" s="61">
        <f t="shared" si="61"/>
        <v>2</v>
      </c>
      <c r="CZ17" s="61">
        <f t="shared" si="62"/>
        <v>2</v>
      </c>
      <c r="DA17" s="61">
        <f t="shared" si="63"/>
        <v>2</v>
      </c>
      <c r="DB17" s="61">
        <f t="shared" si="64"/>
        <v>2</v>
      </c>
      <c r="DC17" s="61">
        <f t="shared" si="65"/>
        <v>2</v>
      </c>
      <c r="DD17" s="61">
        <f t="shared" si="66"/>
        <v>2</v>
      </c>
      <c r="DE17" s="61">
        <f t="shared" si="67"/>
        <v>3</v>
      </c>
      <c r="DF17" s="61">
        <f t="shared" si="68"/>
        <v>2</v>
      </c>
      <c r="DG17" s="61">
        <f t="shared" si="69"/>
        <v>2</v>
      </c>
      <c r="DH17" s="61">
        <f t="shared" si="70"/>
        <v>2</v>
      </c>
      <c r="DI17" s="61">
        <f t="shared" si="71"/>
        <v>3</v>
      </c>
      <c r="DJ17" s="61">
        <f t="shared" si="72"/>
        <v>2</v>
      </c>
      <c r="DK17" s="61">
        <f t="shared" si="73"/>
        <v>2</v>
      </c>
      <c r="DL17" s="61">
        <f t="shared" si="74"/>
        <v>2</v>
      </c>
    </row>
    <row r="18" spans="1:116" x14ac:dyDescent="0.25">
      <c r="A18" s="492" t="s">
        <v>762</v>
      </c>
      <c r="B18" s="422" t="s">
        <v>1871</v>
      </c>
      <c r="C18" s="420" t="s">
        <v>1421</v>
      </c>
      <c r="D18" s="420"/>
      <c r="E18" s="539" t="str">
        <f>IF(D18&lt;&gt;"",IF($C18="Male",VLOOKUP(D18,Titles!$K$3:$L$70,2,FALSE),IF($C18="Female",VLOOKUP(D18,Titles!$P$3:$Q$68,2,FALSE),"")),"")</f>
        <v/>
      </c>
      <c r="F18" s="420"/>
      <c r="G18" s="420"/>
      <c r="H18" s="420">
        <v>15</v>
      </c>
      <c r="I18" s="420">
        <v>16</v>
      </c>
      <c r="J18" s="420">
        <v>13</v>
      </c>
      <c r="K18" s="420">
        <v>12</v>
      </c>
      <c r="L18" s="420">
        <v>12</v>
      </c>
      <c r="M18" s="420">
        <v>8</v>
      </c>
      <c r="N18" s="421"/>
      <c r="O18" s="421"/>
      <c r="P18" s="421"/>
      <c r="Q18" s="421"/>
      <c r="R18" s="421"/>
      <c r="S18" s="421">
        <v>2</v>
      </c>
      <c r="T18" s="421"/>
      <c r="U18" s="421"/>
      <c r="V18" s="421"/>
      <c r="W18" s="421"/>
      <c r="X18" s="421"/>
      <c r="Y18" s="421"/>
      <c r="Z18" s="421"/>
      <c r="AA18" s="421"/>
      <c r="AB18" s="423"/>
      <c r="AD18" s="61">
        <f t="shared" si="13"/>
        <v>0</v>
      </c>
      <c r="AE18" s="61">
        <f t="shared" si="0"/>
        <v>12</v>
      </c>
      <c r="AF18" s="61">
        <f t="shared" si="1"/>
        <v>15</v>
      </c>
      <c r="AG18" s="61">
        <f t="shared" si="2"/>
        <v>12</v>
      </c>
      <c r="AH18" s="61">
        <f t="shared" si="3"/>
        <v>16</v>
      </c>
      <c r="AI18" s="61">
        <f t="shared" si="4"/>
        <v>16</v>
      </c>
      <c r="AJ18" s="61">
        <f t="shared" si="5"/>
        <v>16</v>
      </c>
      <c r="AK18" s="61">
        <f t="shared" si="6"/>
        <v>12</v>
      </c>
      <c r="AL18" s="61">
        <f t="shared" si="7"/>
        <v>15</v>
      </c>
      <c r="AO18" s="61">
        <f t="shared" si="14"/>
        <v>-1</v>
      </c>
      <c r="AP18" s="61">
        <f t="shared" si="15"/>
        <v>1</v>
      </c>
      <c r="AQ18" s="61">
        <f t="shared" si="8"/>
        <v>2</v>
      </c>
      <c r="AR18" s="61">
        <f t="shared" si="8"/>
        <v>1</v>
      </c>
      <c r="AS18" s="61">
        <f t="shared" si="8"/>
        <v>3</v>
      </c>
      <c r="AT18" s="61">
        <f t="shared" si="8"/>
        <v>3</v>
      </c>
      <c r="AU18" s="61">
        <f t="shared" si="8"/>
        <v>3</v>
      </c>
      <c r="AV18" s="61">
        <f t="shared" si="8"/>
        <v>1</v>
      </c>
      <c r="AW18" s="61">
        <f t="shared" si="8"/>
        <v>2</v>
      </c>
      <c r="AZ18" s="61">
        <f t="shared" si="16"/>
        <v>0</v>
      </c>
      <c r="BA18" s="61">
        <f t="shared" si="17"/>
        <v>0</v>
      </c>
      <c r="BB18" s="61">
        <f t="shared" si="18"/>
        <v>0</v>
      </c>
      <c r="BC18" s="61">
        <f t="shared" si="19"/>
        <v>0</v>
      </c>
      <c r="BD18" s="61">
        <f t="shared" si="20"/>
        <v>0</v>
      </c>
      <c r="BE18" s="61">
        <f t="shared" si="21"/>
        <v>0</v>
      </c>
      <c r="BF18" s="61">
        <f t="shared" si="22"/>
        <v>0</v>
      </c>
      <c r="BG18" s="61">
        <f t="shared" si="23"/>
        <v>0</v>
      </c>
      <c r="BH18" s="61">
        <f t="shared" si="24"/>
        <v>0</v>
      </c>
      <c r="BI18" s="61">
        <f t="shared" si="25"/>
        <v>0</v>
      </c>
      <c r="BJ18" s="61">
        <f t="shared" si="26"/>
        <v>0</v>
      </c>
      <c r="BK18" s="61">
        <f t="shared" si="27"/>
        <v>0</v>
      </c>
      <c r="BN18" s="61">
        <f t="shared" si="28"/>
        <v>2</v>
      </c>
      <c r="BO18" s="61">
        <f t="shared" si="29"/>
        <v>2</v>
      </c>
      <c r="BP18" s="61">
        <f t="shared" si="30"/>
        <v>2</v>
      </c>
      <c r="BQ18" s="61">
        <f t="shared" si="31"/>
        <v>2</v>
      </c>
      <c r="BR18" s="61">
        <f t="shared" si="32"/>
        <v>2</v>
      </c>
      <c r="BS18" s="61">
        <f t="shared" si="33"/>
        <v>2</v>
      </c>
      <c r="BT18" s="61">
        <f t="shared" si="34"/>
        <v>2</v>
      </c>
      <c r="BU18" s="61">
        <f t="shared" si="35"/>
        <v>2</v>
      </c>
      <c r="BV18" s="61">
        <f t="shared" si="36"/>
        <v>2</v>
      </c>
      <c r="BW18" s="61">
        <f t="shared" si="37"/>
        <v>2</v>
      </c>
      <c r="BX18" s="61">
        <f t="shared" si="38"/>
        <v>2</v>
      </c>
      <c r="BY18" s="61">
        <f t="shared" si="39"/>
        <v>2</v>
      </c>
      <c r="CB18" s="61">
        <f t="shared" si="40"/>
        <v>0</v>
      </c>
      <c r="CC18" s="61">
        <f t="shared" si="41"/>
        <v>0</v>
      </c>
      <c r="CD18" s="61">
        <f t="shared" si="42"/>
        <v>0</v>
      </c>
      <c r="CE18" s="61">
        <f t="shared" si="43"/>
        <v>0</v>
      </c>
      <c r="CF18" s="61">
        <f t="shared" si="44"/>
        <v>0</v>
      </c>
      <c r="CG18" s="61">
        <f t="shared" si="45"/>
        <v>0</v>
      </c>
      <c r="CH18" s="61">
        <f t="shared" si="46"/>
        <v>0</v>
      </c>
      <c r="CI18" s="61">
        <f t="shared" si="47"/>
        <v>0</v>
      </c>
      <c r="CJ18" s="61">
        <f t="shared" si="48"/>
        <v>0</v>
      </c>
      <c r="CK18" s="61">
        <f t="shared" si="49"/>
        <v>2</v>
      </c>
      <c r="CL18" s="61">
        <f t="shared" si="50"/>
        <v>2</v>
      </c>
      <c r="CM18" s="61">
        <f t="shared" si="51"/>
        <v>2</v>
      </c>
      <c r="CN18" s="61">
        <f t="shared" si="52"/>
        <v>2</v>
      </c>
      <c r="CO18" s="61">
        <f t="shared" si="53"/>
        <v>2</v>
      </c>
      <c r="CP18" s="61">
        <f t="shared" si="54"/>
        <v>2</v>
      </c>
      <c r="CQ18" s="61">
        <f t="shared" si="55"/>
        <v>2</v>
      </c>
      <c r="CR18" s="61">
        <f t="shared" si="56"/>
        <v>2</v>
      </c>
      <c r="CS18" s="61">
        <f t="shared" si="57"/>
        <v>2</v>
      </c>
      <c r="CT18" s="61">
        <f t="shared" si="58"/>
        <v>2</v>
      </c>
      <c r="CU18" s="61">
        <f t="shared" si="59"/>
        <v>2</v>
      </c>
      <c r="CV18" s="61">
        <f t="shared" si="60"/>
        <v>2</v>
      </c>
      <c r="CY18" s="61">
        <f t="shared" si="61"/>
        <v>2</v>
      </c>
      <c r="CZ18" s="61">
        <f t="shared" si="62"/>
        <v>2</v>
      </c>
      <c r="DA18" s="61">
        <f t="shared" si="63"/>
        <v>2</v>
      </c>
      <c r="DB18" s="61">
        <f t="shared" si="64"/>
        <v>2</v>
      </c>
      <c r="DC18" s="61">
        <f t="shared" si="65"/>
        <v>2</v>
      </c>
      <c r="DD18" s="61">
        <f t="shared" si="66"/>
        <v>2</v>
      </c>
      <c r="DE18" s="61">
        <f t="shared" si="67"/>
        <v>2</v>
      </c>
      <c r="DF18" s="61">
        <f t="shared" si="68"/>
        <v>2</v>
      </c>
      <c r="DG18" s="61">
        <f t="shared" si="69"/>
        <v>2</v>
      </c>
      <c r="DH18" s="61">
        <f t="shared" si="70"/>
        <v>2</v>
      </c>
      <c r="DI18" s="61">
        <f t="shared" si="71"/>
        <v>2</v>
      </c>
      <c r="DJ18" s="61">
        <f t="shared" si="72"/>
        <v>2</v>
      </c>
      <c r="DK18" s="61">
        <f t="shared" si="73"/>
        <v>2</v>
      </c>
      <c r="DL18" s="61">
        <f t="shared" si="74"/>
        <v>2</v>
      </c>
    </row>
    <row r="19" spans="1:116" x14ac:dyDescent="0.25">
      <c r="A19" s="492" t="s">
        <v>762</v>
      </c>
      <c r="B19" s="422" t="s">
        <v>1872</v>
      </c>
      <c r="C19" s="420" t="s">
        <v>1421</v>
      </c>
      <c r="D19" s="420"/>
      <c r="E19" s="539" t="str">
        <f>IF(D19&lt;&gt;"",IF($C19="Male",VLOOKUP(D19,Titles!$K$3:$L$70,2,FALSE),IF($C19="Female",VLOOKUP(D19,Titles!$P$3:$Q$68,2,FALSE),"")),"")</f>
        <v/>
      </c>
      <c r="F19" s="420"/>
      <c r="G19" s="420"/>
      <c r="H19" s="420">
        <v>13</v>
      </c>
      <c r="I19" s="420">
        <v>11</v>
      </c>
      <c r="J19" s="420">
        <v>15</v>
      </c>
      <c r="K19" s="420">
        <v>13</v>
      </c>
      <c r="L19" s="420">
        <v>18</v>
      </c>
      <c r="M19" s="420">
        <v>14</v>
      </c>
      <c r="N19" s="421"/>
      <c r="O19" s="421"/>
      <c r="P19" s="421">
        <v>4</v>
      </c>
      <c r="Q19" s="421"/>
      <c r="R19" s="421"/>
      <c r="S19" s="421"/>
      <c r="T19" s="421">
        <v>4</v>
      </c>
      <c r="U19" s="421"/>
      <c r="V19" s="421"/>
      <c r="W19" s="421"/>
      <c r="X19" s="421">
        <v>4</v>
      </c>
      <c r="Y19" s="421"/>
      <c r="Z19" s="421"/>
      <c r="AA19" s="421"/>
      <c r="AB19" s="423"/>
      <c r="AD19" s="61">
        <f t="shared" si="13"/>
        <v>0</v>
      </c>
      <c r="AE19" s="61">
        <f t="shared" si="0"/>
        <v>18</v>
      </c>
      <c r="AF19" s="61">
        <f t="shared" si="1"/>
        <v>14</v>
      </c>
      <c r="AG19" s="61">
        <f t="shared" si="2"/>
        <v>14</v>
      </c>
      <c r="AH19" s="61">
        <f t="shared" si="3"/>
        <v>18</v>
      </c>
      <c r="AI19" s="61">
        <f t="shared" si="4"/>
        <v>13</v>
      </c>
      <c r="AJ19" s="61">
        <f t="shared" si="5"/>
        <v>13</v>
      </c>
      <c r="AK19" s="61">
        <f t="shared" si="6"/>
        <v>18</v>
      </c>
      <c r="AL19" s="61">
        <f t="shared" si="7"/>
        <v>15</v>
      </c>
      <c r="AO19" s="61">
        <f t="shared" si="14"/>
        <v>2</v>
      </c>
      <c r="AP19" s="61">
        <f t="shared" si="15"/>
        <v>4</v>
      </c>
      <c r="AQ19" s="61">
        <f t="shared" si="8"/>
        <v>2</v>
      </c>
      <c r="AR19" s="61">
        <f t="shared" si="8"/>
        <v>2</v>
      </c>
      <c r="AS19" s="61">
        <f t="shared" si="8"/>
        <v>4</v>
      </c>
      <c r="AT19" s="61">
        <f t="shared" si="8"/>
        <v>1</v>
      </c>
      <c r="AU19" s="61">
        <f t="shared" si="8"/>
        <v>1</v>
      </c>
      <c r="AV19" s="61">
        <f t="shared" si="8"/>
        <v>4</v>
      </c>
      <c r="AW19" s="61">
        <f t="shared" si="8"/>
        <v>2</v>
      </c>
      <c r="AZ19" s="61">
        <f t="shared" si="16"/>
        <v>0</v>
      </c>
      <c r="BA19" s="61">
        <f t="shared" si="17"/>
        <v>0</v>
      </c>
      <c r="BB19" s="61">
        <f t="shared" si="18"/>
        <v>0</v>
      </c>
      <c r="BC19" s="61">
        <f t="shared" si="19"/>
        <v>0</v>
      </c>
      <c r="BD19" s="61">
        <f t="shared" si="20"/>
        <v>0</v>
      </c>
      <c r="BE19" s="61">
        <f t="shared" si="21"/>
        <v>0</v>
      </c>
      <c r="BF19" s="61">
        <f t="shared" si="22"/>
        <v>0</v>
      </c>
      <c r="BG19" s="61">
        <f t="shared" si="23"/>
        <v>0</v>
      </c>
      <c r="BH19" s="61">
        <f t="shared" si="24"/>
        <v>0</v>
      </c>
      <c r="BI19" s="61">
        <f t="shared" si="25"/>
        <v>0</v>
      </c>
      <c r="BJ19" s="61">
        <f t="shared" si="26"/>
        <v>0</v>
      </c>
      <c r="BK19" s="61">
        <f t="shared" si="27"/>
        <v>0</v>
      </c>
      <c r="BN19" s="61">
        <f t="shared" si="28"/>
        <v>3</v>
      </c>
      <c r="BO19" s="61">
        <f t="shared" si="29"/>
        <v>2</v>
      </c>
      <c r="BP19" s="61">
        <f t="shared" si="30"/>
        <v>2</v>
      </c>
      <c r="BQ19" s="61">
        <f t="shared" si="31"/>
        <v>2</v>
      </c>
      <c r="BR19" s="61">
        <f t="shared" si="32"/>
        <v>3</v>
      </c>
      <c r="BS19" s="61">
        <f t="shared" si="33"/>
        <v>2</v>
      </c>
      <c r="BT19" s="61">
        <f t="shared" si="34"/>
        <v>2</v>
      </c>
      <c r="BU19" s="61">
        <f t="shared" si="35"/>
        <v>2</v>
      </c>
      <c r="BV19" s="61">
        <f t="shared" si="36"/>
        <v>3</v>
      </c>
      <c r="BW19" s="61">
        <f t="shared" si="37"/>
        <v>2</v>
      </c>
      <c r="BX19" s="61">
        <f t="shared" si="38"/>
        <v>2</v>
      </c>
      <c r="BY19" s="61">
        <f t="shared" si="39"/>
        <v>2</v>
      </c>
      <c r="CB19" s="61">
        <f t="shared" si="40"/>
        <v>0</v>
      </c>
      <c r="CC19" s="61">
        <f t="shared" si="41"/>
        <v>0</v>
      </c>
      <c r="CD19" s="61">
        <f t="shared" si="42"/>
        <v>0</v>
      </c>
      <c r="CE19" s="61">
        <f t="shared" si="43"/>
        <v>0</v>
      </c>
      <c r="CF19" s="61">
        <f t="shared" si="44"/>
        <v>0</v>
      </c>
      <c r="CG19" s="61">
        <f t="shared" si="45"/>
        <v>0</v>
      </c>
      <c r="CH19" s="61">
        <f t="shared" si="46"/>
        <v>0</v>
      </c>
      <c r="CI19" s="61">
        <f t="shared" si="47"/>
        <v>0</v>
      </c>
      <c r="CJ19" s="61">
        <f t="shared" si="48"/>
        <v>0</v>
      </c>
      <c r="CK19" s="61">
        <f t="shared" si="49"/>
        <v>3</v>
      </c>
      <c r="CL19" s="61">
        <f t="shared" si="50"/>
        <v>2</v>
      </c>
      <c r="CM19" s="61">
        <f t="shared" si="51"/>
        <v>2</v>
      </c>
      <c r="CN19" s="61">
        <f t="shared" si="52"/>
        <v>2</v>
      </c>
      <c r="CO19" s="61">
        <f t="shared" si="53"/>
        <v>3</v>
      </c>
      <c r="CP19" s="61">
        <f t="shared" si="54"/>
        <v>2</v>
      </c>
      <c r="CQ19" s="61">
        <f t="shared" si="55"/>
        <v>2</v>
      </c>
      <c r="CR19" s="61">
        <f t="shared" si="56"/>
        <v>2</v>
      </c>
      <c r="CS19" s="61">
        <f t="shared" si="57"/>
        <v>3</v>
      </c>
      <c r="CT19" s="61">
        <f t="shared" si="58"/>
        <v>2</v>
      </c>
      <c r="CU19" s="61">
        <f t="shared" si="59"/>
        <v>2</v>
      </c>
      <c r="CV19" s="61">
        <f t="shared" si="60"/>
        <v>2</v>
      </c>
      <c r="CY19" s="61">
        <f t="shared" si="61"/>
        <v>2</v>
      </c>
      <c r="CZ19" s="61">
        <f t="shared" si="62"/>
        <v>2</v>
      </c>
      <c r="DA19" s="61">
        <f t="shared" si="63"/>
        <v>2</v>
      </c>
      <c r="DB19" s="61">
        <f t="shared" si="64"/>
        <v>2</v>
      </c>
      <c r="DC19" s="61">
        <f t="shared" si="65"/>
        <v>3</v>
      </c>
      <c r="DD19" s="61">
        <f t="shared" si="66"/>
        <v>2</v>
      </c>
      <c r="DE19" s="61">
        <f t="shared" si="67"/>
        <v>3</v>
      </c>
      <c r="DF19" s="61">
        <f t="shared" si="68"/>
        <v>2</v>
      </c>
      <c r="DG19" s="61">
        <f t="shared" si="69"/>
        <v>2</v>
      </c>
      <c r="DH19" s="61">
        <f t="shared" si="70"/>
        <v>2</v>
      </c>
      <c r="DI19" s="61">
        <f t="shared" si="71"/>
        <v>3</v>
      </c>
      <c r="DJ19" s="61">
        <f t="shared" si="72"/>
        <v>2</v>
      </c>
      <c r="DK19" s="61">
        <f t="shared" si="73"/>
        <v>2</v>
      </c>
      <c r="DL19" s="61">
        <f t="shared" si="74"/>
        <v>2</v>
      </c>
    </row>
    <row r="20" spans="1:116" x14ac:dyDescent="0.25">
      <c r="A20" s="492" t="s">
        <v>762</v>
      </c>
      <c r="B20" s="422" t="s">
        <v>1873</v>
      </c>
      <c r="C20" s="420" t="s">
        <v>1421</v>
      </c>
      <c r="D20" s="420"/>
      <c r="E20" s="539" t="str">
        <f>IF(D20&lt;&gt;"",IF($C20="Male",VLOOKUP(D20,Titles!$K$3:$L$70,2,FALSE),IF($C20="Female",VLOOKUP(D20,Titles!$P$3:$Q$68,2,FALSE),"")),"")</f>
        <v/>
      </c>
      <c r="F20" s="420"/>
      <c r="G20" s="420"/>
      <c r="H20" s="420">
        <v>13</v>
      </c>
      <c r="I20" s="420">
        <v>12</v>
      </c>
      <c r="J20" s="420">
        <v>14</v>
      </c>
      <c r="K20" s="420">
        <v>15</v>
      </c>
      <c r="L20" s="420">
        <v>12</v>
      </c>
      <c r="M20" s="420">
        <v>15</v>
      </c>
      <c r="N20" s="421"/>
      <c r="O20" s="421"/>
      <c r="P20" s="421"/>
      <c r="Q20" s="421"/>
      <c r="R20" s="421">
        <v>3</v>
      </c>
      <c r="S20" s="421"/>
      <c r="T20" s="421"/>
      <c r="U20" s="421"/>
      <c r="V20" s="421"/>
      <c r="W20" s="421"/>
      <c r="X20" s="421"/>
      <c r="Y20" s="421">
        <v>6</v>
      </c>
      <c r="Z20" s="421"/>
      <c r="AA20" s="421"/>
      <c r="AB20" s="423"/>
      <c r="AD20" s="61">
        <f t="shared" si="13"/>
        <v>0</v>
      </c>
      <c r="AE20" s="61">
        <f t="shared" si="0"/>
        <v>15</v>
      </c>
      <c r="AF20" s="61">
        <f t="shared" si="1"/>
        <v>15</v>
      </c>
      <c r="AG20" s="61">
        <f t="shared" si="2"/>
        <v>15</v>
      </c>
      <c r="AH20" s="61">
        <f t="shared" si="3"/>
        <v>12</v>
      </c>
      <c r="AI20" s="61">
        <f t="shared" si="4"/>
        <v>13</v>
      </c>
      <c r="AJ20" s="61">
        <f t="shared" si="5"/>
        <v>15</v>
      </c>
      <c r="AK20" s="61">
        <f t="shared" si="6"/>
        <v>15</v>
      </c>
      <c r="AL20" s="61">
        <f t="shared" si="7"/>
        <v>14</v>
      </c>
      <c r="AO20" s="61">
        <f t="shared" si="14"/>
        <v>2</v>
      </c>
      <c r="AP20" s="61">
        <f t="shared" si="15"/>
        <v>2</v>
      </c>
      <c r="AQ20" s="61">
        <f t="shared" ref="AQ20:AQ55" si="75">INT((AF20-10)/2)</f>
        <v>2</v>
      </c>
      <c r="AR20" s="61">
        <f t="shared" ref="AR20:AR55" si="76">INT((AG20-10)/2)</f>
        <v>2</v>
      </c>
      <c r="AS20" s="61">
        <f t="shared" ref="AS20:AS55" si="77">INT((AH20-10)/2)</f>
        <v>1</v>
      </c>
      <c r="AT20" s="61">
        <f t="shared" ref="AT20:AT55" si="78">INT((AI20-10)/2)</f>
        <v>1</v>
      </c>
      <c r="AU20" s="61">
        <f t="shared" ref="AU20:AU55" si="79">INT((AJ20-10)/2)</f>
        <v>2</v>
      </c>
      <c r="AV20" s="61">
        <f t="shared" ref="AV20:AV55" si="80">INT((AK20-10)/2)</f>
        <v>2</v>
      </c>
      <c r="AW20" s="61">
        <f t="shared" ref="AW20:AW55" si="81">INT((AL20-10)/2)</f>
        <v>2</v>
      </c>
      <c r="AZ20" s="61">
        <f t="shared" si="16"/>
        <v>0</v>
      </c>
      <c r="BA20" s="61">
        <f t="shared" si="17"/>
        <v>0</v>
      </c>
      <c r="BB20" s="61">
        <f t="shared" si="18"/>
        <v>0</v>
      </c>
      <c r="BC20" s="61">
        <f t="shared" si="19"/>
        <v>0</v>
      </c>
      <c r="BD20" s="61">
        <f t="shared" si="20"/>
        <v>0</v>
      </c>
      <c r="BE20" s="61">
        <f t="shared" si="21"/>
        <v>0</v>
      </c>
      <c r="BF20" s="61">
        <f t="shared" si="22"/>
        <v>0</v>
      </c>
      <c r="BG20" s="61">
        <f t="shared" si="23"/>
        <v>0</v>
      </c>
      <c r="BH20" s="61">
        <f t="shared" si="24"/>
        <v>0</v>
      </c>
      <c r="BI20" s="61">
        <f t="shared" si="25"/>
        <v>1</v>
      </c>
      <c r="BJ20" s="61">
        <f t="shared" si="26"/>
        <v>0</v>
      </c>
      <c r="BK20" s="61">
        <f t="shared" si="27"/>
        <v>0</v>
      </c>
      <c r="BN20" s="61">
        <f t="shared" si="28"/>
        <v>2</v>
      </c>
      <c r="BO20" s="61">
        <f t="shared" si="29"/>
        <v>2</v>
      </c>
      <c r="BP20" s="61">
        <f t="shared" si="30"/>
        <v>3</v>
      </c>
      <c r="BQ20" s="61">
        <f t="shared" si="31"/>
        <v>2</v>
      </c>
      <c r="BR20" s="61">
        <f t="shared" si="32"/>
        <v>2</v>
      </c>
      <c r="BS20" s="61">
        <f t="shared" si="33"/>
        <v>2</v>
      </c>
      <c r="BT20" s="61">
        <f t="shared" si="34"/>
        <v>2</v>
      </c>
      <c r="BU20" s="61">
        <f t="shared" si="35"/>
        <v>2</v>
      </c>
      <c r="BV20" s="61">
        <f t="shared" si="36"/>
        <v>2</v>
      </c>
      <c r="BW20" s="61">
        <f t="shared" si="37"/>
        <v>4</v>
      </c>
      <c r="BX20" s="61">
        <f t="shared" si="38"/>
        <v>2</v>
      </c>
      <c r="BY20" s="61">
        <f t="shared" si="39"/>
        <v>2</v>
      </c>
      <c r="CB20" s="61">
        <f t="shared" si="40"/>
        <v>0</v>
      </c>
      <c r="CC20" s="61">
        <f t="shared" si="41"/>
        <v>0</v>
      </c>
      <c r="CD20" s="61">
        <f t="shared" si="42"/>
        <v>0</v>
      </c>
      <c r="CE20" s="61">
        <f t="shared" si="43"/>
        <v>0</v>
      </c>
      <c r="CF20" s="61">
        <f t="shared" si="44"/>
        <v>0</v>
      </c>
      <c r="CG20" s="61">
        <f t="shared" si="45"/>
        <v>0</v>
      </c>
      <c r="CH20" s="61">
        <f t="shared" si="46"/>
        <v>0</v>
      </c>
      <c r="CI20" s="61">
        <f t="shared" si="47"/>
        <v>0</v>
      </c>
      <c r="CJ20" s="61">
        <f t="shared" si="48"/>
        <v>0</v>
      </c>
      <c r="CK20" s="61">
        <f t="shared" si="49"/>
        <v>2</v>
      </c>
      <c r="CL20" s="61">
        <f t="shared" si="50"/>
        <v>2</v>
      </c>
      <c r="CM20" s="61">
        <f t="shared" si="51"/>
        <v>3</v>
      </c>
      <c r="CN20" s="61">
        <f t="shared" si="52"/>
        <v>2</v>
      </c>
      <c r="CO20" s="61">
        <f t="shared" si="53"/>
        <v>2</v>
      </c>
      <c r="CP20" s="61">
        <f t="shared" si="54"/>
        <v>2</v>
      </c>
      <c r="CQ20" s="61">
        <f t="shared" si="55"/>
        <v>2</v>
      </c>
      <c r="CR20" s="61">
        <f t="shared" si="56"/>
        <v>2</v>
      </c>
      <c r="CS20" s="61">
        <f t="shared" si="57"/>
        <v>2</v>
      </c>
      <c r="CT20" s="61">
        <f t="shared" si="58"/>
        <v>4</v>
      </c>
      <c r="CU20" s="61">
        <f t="shared" si="59"/>
        <v>2</v>
      </c>
      <c r="CV20" s="61">
        <f t="shared" si="60"/>
        <v>2</v>
      </c>
      <c r="CY20" s="61">
        <f t="shared" si="61"/>
        <v>2</v>
      </c>
      <c r="CZ20" s="61">
        <f t="shared" si="62"/>
        <v>2</v>
      </c>
      <c r="DA20" s="61">
        <f t="shared" si="63"/>
        <v>3</v>
      </c>
      <c r="DB20" s="61">
        <f t="shared" si="64"/>
        <v>2</v>
      </c>
      <c r="DC20" s="61">
        <f t="shared" si="65"/>
        <v>2</v>
      </c>
      <c r="DD20" s="61">
        <f t="shared" si="66"/>
        <v>2</v>
      </c>
      <c r="DE20" s="61">
        <f t="shared" si="67"/>
        <v>2</v>
      </c>
      <c r="DF20" s="61">
        <f t="shared" si="68"/>
        <v>2</v>
      </c>
      <c r="DG20" s="61">
        <f t="shared" si="69"/>
        <v>2</v>
      </c>
      <c r="DH20" s="61">
        <f t="shared" si="70"/>
        <v>2</v>
      </c>
      <c r="DI20" s="61">
        <f t="shared" si="71"/>
        <v>2</v>
      </c>
      <c r="DJ20" s="61">
        <f t="shared" si="72"/>
        <v>4</v>
      </c>
      <c r="DK20" s="61">
        <f t="shared" si="73"/>
        <v>2</v>
      </c>
      <c r="DL20" s="61">
        <f t="shared" si="74"/>
        <v>2</v>
      </c>
    </row>
    <row r="21" spans="1:116" x14ac:dyDescent="0.25">
      <c r="A21" s="492" t="s">
        <v>762</v>
      </c>
      <c r="B21" s="422" t="s">
        <v>1874</v>
      </c>
      <c r="C21" s="420" t="s">
        <v>1422</v>
      </c>
      <c r="D21" s="420"/>
      <c r="E21" s="539" t="str">
        <f>IF(D21&lt;&gt;"",IF($C21="Male",VLOOKUP(D21,Titles!$K$3:$L$70,2,FALSE),IF($C21="Female",VLOOKUP(D21,Titles!$P$3:$Q$68,2,FALSE),"")),"")</f>
        <v/>
      </c>
      <c r="F21" s="420"/>
      <c r="G21" s="420"/>
      <c r="H21" s="420">
        <v>10</v>
      </c>
      <c r="I21" s="420">
        <v>14</v>
      </c>
      <c r="J21" s="420">
        <v>13</v>
      </c>
      <c r="K21" s="420">
        <v>16</v>
      </c>
      <c r="L21" s="420">
        <v>16</v>
      </c>
      <c r="M21" s="420">
        <v>20</v>
      </c>
      <c r="N21" s="421"/>
      <c r="O21" s="421"/>
      <c r="P21" s="421">
        <v>3</v>
      </c>
      <c r="Q21" s="421"/>
      <c r="R21" s="421">
        <v>3</v>
      </c>
      <c r="S21" s="421"/>
      <c r="T21" s="421"/>
      <c r="U21" s="421"/>
      <c r="V21" s="421"/>
      <c r="W21" s="421"/>
      <c r="X21" s="421"/>
      <c r="Y21" s="421">
        <v>3</v>
      </c>
      <c r="Z21" s="421"/>
      <c r="AA21" s="421"/>
      <c r="AB21" s="423"/>
      <c r="AD21" s="61">
        <f t="shared" si="13"/>
        <v>0</v>
      </c>
      <c r="AE21" s="61">
        <f t="shared" si="0"/>
        <v>20</v>
      </c>
      <c r="AF21" s="61">
        <f t="shared" si="1"/>
        <v>20</v>
      </c>
      <c r="AG21" s="61">
        <f t="shared" si="2"/>
        <v>20</v>
      </c>
      <c r="AH21" s="61">
        <f t="shared" si="3"/>
        <v>16</v>
      </c>
      <c r="AI21" s="61">
        <f t="shared" si="4"/>
        <v>14</v>
      </c>
      <c r="AJ21" s="61">
        <f t="shared" si="5"/>
        <v>16</v>
      </c>
      <c r="AK21" s="61">
        <f t="shared" si="6"/>
        <v>16</v>
      </c>
      <c r="AL21" s="61">
        <f t="shared" si="7"/>
        <v>13</v>
      </c>
      <c r="AO21" s="61">
        <f t="shared" si="14"/>
        <v>5</v>
      </c>
      <c r="AP21" s="61">
        <f t="shared" si="15"/>
        <v>5</v>
      </c>
      <c r="AQ21" s="61">
        <f t="shared" si="75"/>
        <v>5</v>
      </c>
      <c r="AR21" s="61">
        <f t="shared" si="76"/>
        <v>5</v>
      </c>
      <c r="AS21" s="61">
        <f t="shared" si="77"/>
        <v>3</v>
      </c>
      <c r="AT21" s="61">
        <f t="shared" si="78"/>
        <v>2</v>
      </c>
      <c r="AU21" s="61">
        <f t="shared" si="79"/>
        <v>3</v>
      </c>
      <c r="AV21" s="61">
        <f t="shared" si="80"/>
        <v>3</v>
      </c>
      <c r="AW21" s="61">
        <f t="shared" si="81"/>
        <v>1</v>
      </c>
      <c r="AZ21" s="61">
        <f t="shared" si="16"/>
        <v>0</v>
      </c>
      <c r="BA21" s="61">
        <f t="shared" si="17"/>
        <v>0</v>
      </c>
      <c r="BB21" s="61">
        <f t="shared" si="18"/>
        <v>0</v>
      </c>
      <c r="BC21" s="61">
        <f t="shared" si="19"/>
        <v>0</v>
      </c>
      <c r="BD21" s="61">
        <f t="shared" si="20"/>
        <v>0</v>
      </c>
      <c r="BE21" s="61">
        <f t="shared" si="21"/>
        <v>0</v>
      </c>
      <c r="BF21" s="61">
        <f t="shared" si="22"/>
        <v>0</v>
      </c>
      <c r="BG21" s="61">
        <f t="shared" si="23"/>
        <v>0</v>
      </c>
      <c r="BH21" s="61">
        <f t="shared" si="24"/>
        <v>0</v>
      </c>
      <c r="BI21" s="61">
        <f t="shared" si="25"/>
        <v>0</v>
      </c>
      <c r="BJ21" s="61">
        <f t="shared" si="26"/>
        <v>0</v>
      </c>
      <c r="BK21" s="61">
        <f t="shared" si="27"/>
        <v>0</v>
      </c>
      <c r="BN21" s="61">
        <f t="shared" si="28"/>
        <v>3</v>
      </c>
      <c r="BO21" s="61">
        <f t="shared" si="29"/>
        <v>2</v>
      </c>
      <c r="BP21" s="61">
        <f t="shared" si="30"/>
        <v>3</v>
      </c>
      <c r="BQ21" s="61">
        <f t="shared" si="31"/>
        <v>2</v>
      </c>
      <c r="BR21" s="61">
        <f t="shared" si="32"/>
        <v>2</v>
      </c>
      <c r="BS21" s="61">
        <f t="shared" si="33"/>
        <v>2</v>
      </c>
      <c r="BT21" s="61">
        <f t="shared" si="34"/>
        <v>2</v>
      </c>
      <c r="BU21" s="61">
        <f t="shared" si="35"/>
        <v>2</v>
      </c>
      <c r="BV21" s="61">
        <f t="shared" si="36"/>
        <v>2</v>
      </c>
      <c r="BW21" s="61">
        <f t="shared" si="37"/>
        <v>3</v>
      </c>
      <c r="BX21" s="61">
        <f t="shared" si="38"/>
        <v>2</v>
      </c>
      <c r="BY21" s="61">
        <f t="shared" si="39"/>
        <v>2</v>
      </c>
      <c r="CB21" s="61">
        <f t="shared" si="40"/>
        <v>0</v>
      </c>
      <c r="CC21" s="61">
        <f t="shared" si="41"/>
        <v>0</v>
      </c>
      <c r="CD21" s="61">
        <f t="shared" si="42"/>
        <v>0</v>
      </c>
      <c r="CE21" s="61">
        <f t="shared" si="43"/>
        <v>0</v>
      </c>
      <c r="CF21" s="61">
        <f t="shared" si="44"/>
        <v>0</v>
      </c>
      <c r="CG21" s="61">
        <f t="shared" si="45"/>
        <v>0</v>
      </c>
      <c r="CH21" s="61">
        <f t="shared" si="46"/>
        <v>0</v>
      </c>
      <c r="CI21" s="61">
        <f t="shared" si="47"/>
        <v>0</v>
      </c>
      <c r="CJ21" s="61">
        <f t="shared" si="48"/>
        <v>0</v>
      </c>
      <c r="CK21" s="61">
        <f t="shared" si="49"/>
        <v>3</v>
      </c>
      <c r="CL21" s="61">
        <f t="shared" si="50"/>
        <v>2</v>
      </c>
      <c r="CM21" s="61">
        <f t="shared" si="51"/>
        <v>3</v>
      </c>
      <c r="CN21" s="61">
        <f t="shared" si="52"/>
        <v>2</v>
      </c>
      <c r="CO21" s="61">
        <f t="shared" si="53"/>
        <v>2</v>
      </c>
      <c r="CP21" s="61">
        <f t="shared" si="54"/>
        <v>2</v>
      </c>
      <c r="CQ21" s="61">
        <f t="shared" si="55"/>
        <v>2</v>
      </c>
      <c r="CR21" s="61">
        <f t="shared" si="56"/>
        <v>2</v>
      </c>
      <c r="CS21" s="61">
        <f t="shared" si="57"/>
        <v>2</v>
      </c>
      <c r="CT21" s="61">
        <f t="shared" si="58"/>
        <v>3</v>
      </c>
      <c r="CU21" s="61">
        <f t="shared" si="59"/>
        <v>2</v>
      </c>
      <c r="CV21" s="61">
        <f t="shared" si="60"/>
        <v>2</v>
      </c>
      <c r="CY21" s="61">
        <f t="shared" si="61"/>
        <v>2</v>
      </c>
      <c r="CZ21" s="61">
        <f t="shared" si="62"/>
        <v>2</v>
      </c>
      <c r="DA21" s="61">
        <f t="shared" si="63"/>
        <v>3</v>
      </c>
      <c r="DB21" s="61">
        <f t="shared" si="64"/>
        <v>2</v>
      </c>
      <c r="DC21" s="61">
        <f t="shared" si="65"/>
        <v>3</v>
      </c>
      <c r="DD21" s="61">
        <f t="shared" si="66"/>
        <v>2</v>
      </c>
      <c r="DE21" s="61">
        <f t="shared" si="67"/>
        <v>2</v>
      </c>
      <c r="DF21" s="61">
        <f t="shared" si="68"/>
        <v>2</v>
      </c>
      <c r="DG21" s="61">
        <f t="shared" si="69"/>
        <v>2</v>
      </c>
      <c r="DH21" s="61">
        <f t="shared" si="70"/>
        <v>2</v>
      </c>
      <c r="DI21" s="61">
        <f t="shared" si="71"/>
        <v>2</v>
      </c>
      <c r="DJ21" s="61">
        <f t="shared" si="72"/>
        <v>3</v>
      </c>
      <c r="DK21" s="61">
        <f t="shared" si="73"/>
        <v>2</v>
      </c>
      <c r="DL21" s="61">
        <f t="shared" si="74"/>
        <v>2</v>
      </c>
    </row>
    <row r="22" spans="1:116" x14ac:dyDescent="0.25">
      <c r="A22" s="492" t="s">
        <v>762</v>
      </c>
      <c r="B22" s="422" t="s">
        <v>1875</v>
      </c>
      <c r="C22" s="420" t="s">
        <v>1421</v>
      </c>
      <c r="D22" s="420"/>
      <c r="E22" s="539" t="str">
        <f>IF(D22&lt;&gt;"",IF($C22="Male",VLOOKUP(D22,Titles!$K$3:$L$70,2,FALSE),IF($C22="Female",VLOOKUP(D22,Titles!$P$3:$Q$68,2,FALSE),"")),"")</f>
        <v/>
      </c>
      <c r="F22" s="420"/>
      <c r="G22" s="420"/>
      <c r="H22" s="420">
        <v>11</v>
      </c>
      <c r="I22" s="420">
        <v>12</v>
      </c>
      <c r="J22" s="420">
        <v>11</v>
      </c>
      <c r="K22" s="420">
        <v>17</v>
      </c>
      <c r="L22" s="420">
        <v>14</v>
      </c>
      <c r="M22" s="420">
        <v>9</v>
      </c>
      <c r="N22" s="421"/>
      <c r="O22" s="421"/>
      <c r="P22" s="421"/>
      <c r="Q22" s="421"/>
      <c r="R22" s="421">
        <v>5</v>
      </c>
      <c r="S22" s="421"/>
      <c r="T22" s="421"/>
      <c r="U22" s="421"/>
      <c r="V22" s="421"/>
      <c r="W22" s="421"/>
      <c r="X22" s="421">
        <v>5</v>
      </c>
      <c r="Y22" s="421"/>
      <c r="Z22" s="421"/>
      <c r="AA22" s="421"/>
      <c r="AB22" s="423"/>
      <c r="AD22" s="61">
        <f t="shared" si="13"/>
        <v>0</v>
      </c>
      <c r="AE22" s="61">
        <f t="shared" si="0"/>
        <v>14</v>
      </c>
      <c r="AF22" s="61">
        <f t="shared" si="1"/>
        <v>11</v>
      </c>
      <c r="AG22" s="61">
        <f t="shared" si="2"/>
        <v>17</v>
      </c>
      <c r="AH22" s="61">
        <f t="shared" si="3"/>
        <v>14</v>
      </c>
      <c r="AI22" s="61">
        <f t="shared" si="4"/>
        <v>12</v>
      </c>
      <c r="AJ22" s="61">
        <f t="shared" si="5"/>
        <v>17</v>
      </c>
      <c r="AK22" s="61">
        <f t="shared" si="6"/>
        <v>17</v>
      </c>
      <c r="AL22" s="61">
        <f t="shared" si="7"/>
        <v>11</v>
      </c>
      <c r="AO22" s="61">
        <f t="shared" si="14"/>
        <v>-1</v>
      </c>
      <c r="AP22" s="61">
        <f t="shared" si="15"/>
        <v>2</v>
      </c>
      <c r="AQ22" s="61">
        <f t="shared" si="75"/>
        <v>0</v>
      </c>
      <c r="AR22" s="61">
        <f t="shared" si="76"/>
        <v>3</v>
      </c>
      <c r="AS22" s="61">
        <f t="shared" si="77"/>
        <v>2</v>
      </c>
      <c r="AT22" s="61">
        <f t="shared" si="78"/>
        <v>1</v>
      </c>
      <c r="AU22" s="61">
        <f t="shared" si="79"/>
        <v>3</v>
      </c>
      <c r="AV22" s="61">
        <f t="shared" si="80"/>
        <v>3</v>
      </c>
      <c r="AW22" s="61">
        <f t="shared" si="81"/>
        <v>0</v>
      </c>
      <c r="AZ22" s="61">
        <f t="shared" si="16"/>
        <v>0</v>
      </c>
      <c r="BA22" s="61">
        <f t="shared" si="17"/>
        <v>0</v>
      </c>
      <c r="BB22" s="61">
        <f t="shared" si="18"/>
        <v>1</v>
      </c>
      <c r="BC22" s="61">
        <f t="shared" si="19"/>
        <v>0</v>
      </c>
      <c r="BD22" s="61">
        <f t="shared" si="20"/>
        <v>0</v>
      </c>
      <c r="BE22" s="61">
        <f t="shared" si="21"/>
        <v>0</v>
      </c>
      <c r="BF22" s="61">
        <f t="shared" si="22"/>
        <v>0</v>
      </c>
      <c r="BG22" s="61">
        <f t="shared" si="23"/>
        <v>0</v>
      </c>
      <c r="BH22" s="61">
        <f t="shared" si="24"/>
        <v>1</v>
      </c>
      <c r="BI22" s="61">
        <f t="shared" si="25"/>
        <v>0</v>
      </c>
      <c r="BJ22" s="61">
        <f t="shared" si="26"/>
        <v>0</v>
      </c>
      <c r="BK22" s="61">
        <f t="shared" si="27"/>
        <v>0</v>
      </c>
      <c r="BN22" s="61">
        <f t="shared" si="28"/>
        <v>2</v>
      </c>
      <c r="BO22" s="61">
        <f t="shared" si="29"/>
        <v>2</v>
      </c>
      <c r="BP22" s="61">
        <f t="shared" si="30"/>
        <v>3</v>
      </c>
      <c r="BQ22" s="61">
        <f t="shared" si="31"/>
        <v>2</v>
      </c>
      <c r="BR22" s="61">
        <f t="shared" si="32"/>
        <v>2</v>
      </c>
      <c r="BS22" s="61">
        <f t="shared" si="33"/>
        <v>2</v>
      </c>
      <c r="BT22" s="61">
        <f t="shared" si="34"/>
        <v>2</v>
      </c>
      <c r="BU22" s="61">
        <f t="shared" si="35"/>
        <v>2</v>
      </c>
      <c r="BV22" s="61">
        <f t="shared" si="36"/>
        <v>3</v>
      </c>
      <c r="BW22" s="61">
        <f t="shared" si="37"/>
        <v>2</v>
      </c>
      <c r="BX22" s="61">
        <f t="shared" si="38"/>
        <v>2</v>
      </c>
      <c r="BY22" s="61">
        <f t="shared" si="39"/>
        <v>2</v>
      </c>
      <c r="CB22" s="61">
        <f t="shared" si="40"/>
        <v>0</v>
      </c>
      <c r="CC22" s="61">
        <f t="shared" si="41"/>
        <v>0</v>
      </c>
      <c r="CD22" s="61">
        <f t="shared" si="42"/>
        <v>0</v>
      </c>
      <c r="CE22" s="61">
        <f t="shared" si="43"/>
        <v>0</v>
      </c>
      <c r="CF22" s="61">
        <f t="shared" si="44"/>
        <v>0</v>
      </c>
      <c r="CG22" s="61">
        <f t="shared" si="45"/>
        <v>0</v>
      </c>
      <c r="CH22" s="61">
        <f t="shared" si="46"/>
        <v>0</v>
      </c>
      <c r="CI22" s="61">
        <f t="shared" si="47"/>
        <v>0</v>
      </c>
      <c r="CJ22" s="61">
        <f t="shared" si="48"/>
        <v>0</v>
      </c>
      <c r="CK22" s="61">
        <f t="shared" si="49"/>
        <v>2</v>
      </c>
      <c r="CL22" s="61">
        <f t="shared" si="50"/>
        <v>2</v>
      </c>
      <c r="CM22" s="61">
        <f t="shared" si="51"/>
        <v>3</v>
      </c>
      <c r="CN22" s="61">
        <f t="shared" si="52"/>
        <v>2</v>
      </c>
      <c r="CO22" s="61">
        <f t="shared" si="53"/>
        <v>2</v>
      </c>
      <c r="CP22" s="61">
        <f t="shared" si="54"/>
        <v>2</v>
      </c>
      <c r="CQ22" s="61">
        <f t="shared" si="55"/>
        <v>2</v>
      </c>
      <c r="CR22" s="61">
        <f t="shared" si="56"/>
        <v>2</v>
      </c>
      <c r="CS22" s="61">
        <f t="shared" si="57"/>
        <v>3</v>
      </c>
      <c r="CT22" s="61">
        <f t="shared" si="58"/>
        <v>2</v>
      </c>
      <c r="CU22" s="61">
        <f t="shared" si="59"/>
        <v>2</v>
      </c>
      <c r="CV22" s="61">
        <f t="shared" si="60"/>
        <v>2</v>
      </c>
      <c r="CY22" s="61">
        <f t="shared" si="61"/>
        <v>2</v>
      </c>
      <c r="CZ22" s="61">
        <f t="shared" si="62"/>
        <v>2</v>
      </c>
      <c r="DA22" s="61">
        <f t="shared" si="63"/>
        <v>3</v>
      </c>
      <c r="DB22" s="61">
        <f t="shared" si="64"/>
        <v>2</v>
      </c>
      <c r="DC22" s="61">
        <f t="shared" si="65"/>
        <v>2</v>
      </c>
      <c r="DD22" s="61">
        <f t="shared" si="66"/>
        <v>2</v>
      </c>
      <c r="DE22" s="61">
        <f t="shared" si="67"/>
        <v>2</v>
      </c>
      <c r="DF22" s="61">
        <f t="shared" si="68"/>
        <v>2</v>
      </c>
      <c r="DG22" s="61">
        <f t="shared" si="69"/>
        <v>2</v>
      </c>
      <c r="DH22" s="61">
        <f t="shared" si="70"/>
        <v>2</v>
      </c>
      <c r="DI22" s="61">
        <f t="shared" si="71"/>
        <v>3</v>
      </c>
      <c r="DJ22" s="61">
        <f t="shared" si="72"/>
        <v>2</v>
      </c>
      <c r="DK22" s="61">
        <f t="shared" si="73"/>
        <v>2</v>
      </c>
      <c r="DL22" s="61">
        <f t="shared" si="74"/>
        <v>2</v>
      </c>
    </row>
    <row r="23" spans="1:116" x14ac:dyDescent="0.25">
      <c r="A23" s="492" t="s">
        <v>762</v>
      </c>
      <c r="B23" s="422" t="s">
        <v>1876</v>
      </c>
      <c r="C23" s="420" t="s">
        <v>1421</v>
      </c>
      <c r="D23" s="420"/>
      <c r="E23" s="539" t="str">
        <f>IF(D23&lt;&gt;"",IF($C23="Male",VLOOKUP(D23,Titles!$K$3:$L$70,2,FALSE),IF($C23="Female",VLOOKUP(D23,Titles!$P$3:$Q$68,2,FALSE),"")),"")</f>
        <v/>
      </c>
      <c r="F23" s="420"/>
      <c r="G23" s="420"/>
      <c r="H23" s="420">
        <v>18</v>
      </c>
      <c r="I23" s="420">
        <v>14</v>
      </c>
      <c r="J23" s="420">
        <v>18</v>
      </c>
      <c r="K23" s="420">
        <v>12</v>
      </c>
      <c r="L23" s="420">
        <v>13</v>
      </c>
      <c r="M23" s="420">
        <v>16</v>
      </c>
      <c r="N23" s="421"/>
      <c r="O23" s="421"/>
      <c r="P23" s="421">
        <v>5</v>
      </c>
      <c r="Q23" s="421">
        <v>7</v>
      </c>
      <c r="R23" s="421"/>
      <c r="S23" s="421"/>
      <c r="T23" s="421"/>
      <c r="U23" s="421">
        <v>7</v>
      </c>
      <c r="V23" s="421">
        <v>7</v>
      </c>
      <c r="W23" s="421"/>
      <c r="X23" s="421"/>
      <c r="Y23" s="421"/>
      <c r="Z23" s="421"/>
      <c r="AA23" s="421">
        <v>7</v>
      </c>
      <c r="AB23" s="423"/>
      <c r="AD23" s="61">
        <f t="shared" si="13"/>
        <v>0</v>
      </c>
      <c r="AE23" s="61">
        <f t="shared" si="0"/>
        <v>16</v>
      </c>
      <c r="AF23" s="61">
        <f t="shared" si="1"/>
        <v>18</v>
      </c>
      <c r="AG23" s="61">
        <f t="shared" si="2"/>
        <v>16</v>
      </c>
      <c r="AH23" s="61">
        <f t="shared" si="3"/>
        <v>14</v>
      </c>
      <c r="AI23" s="61">
        <f t="shared" si="4"/>
        <v>18</v>
      </c>
      <c r="AJ23" s="61">
        <f t="shared" si="5"/>
        <v>14</v>
      </c>
      <c r="AK23" s="61">
        <f t="shared" si="6"/>
        <v>13</v>
      </c>
      <c r="AL23" s="61">
        <f t="shared" si="7"/>
        <v>18</v>
      </c>
      <c r="AO23" s="61">
        <f t="shared" si="14"/>
        <v>3</v>
      </c>
      <c r="AP23" s="61">
        <f t="shared" si="15"/>
        <v>3</v>
      </c>
      <c r="AQ23" s="61">
        <f t="shared" si="75"/>
        <v>4</v>
      </c>
      <c r="AR23" s="61">
        <f t="shared" si="76"/>
        <v>3</v>
      </c>
      <c r="AS23" s="61">
        <f t="shared" si="77"/>
        <v>2</v>
      </c>
      <c r="AT23" s="61">
        <f t="shared" si="78"/>
        <v>4</v>
      </c>
      <c r="AU23" s="61">
        <f t="shared" si="79"/>
        <v>2</v>
      </c>
      <c r="AV23" s="61">
        <f t="shared" si="80"/>
        <v>1</v>
      </c>
      <c r="AW23" s="61">
        <f t="shared" si="81"/>
        <v>4</v>
      </c>
      <c r="AZ23" s="61">
        <f t="shared" si="16"/>
        <v>1</v>
      </c>
      <c r="BA23" s="61">
        <f t="shared" si="17"/>
        <v>1</v>
      </c>
      <c r="BB23" s="61">
        <f t="shared" si="18"/>
        <v>0</v>
      </c>
      <c r="BC23" s="61">
        <f t="shared" si="19"/>
        <v>0</v>
      </c>
      <c r="BD23" s="61">
        <f t="shared" si="20"/>
        <v>0</v>
      </c>
      <c r="BE23" s="61">
        <f t="shared" si="21"/>
        <v>1</v>
      </c>
      <c r="BF23" s="61">
        <f t="shared" si="22"/>
        <v>1</v>
      </c>
      <c r="BG23" s="61">
        <f t="shared" si="23"/>
        <v>0</v>
      </c>
      <c r="BH23" s="61">
        <f t="shared" si="24"/>
        <v>0</v>
      </c>
      <c r="BI23" s="61">
        <f t="shared" si="25"/>
        <v>0</v>
      </c>
      <c r="BJ23" s="61">
        <f t="shared" si="26"/>
        <v>0</v>
      </c>
      <c r="BK23" s="61">
        <f t="shared" si="27"/>
        <v>1</v>
      </c>
      <c r="BN23" s="61">
        <f t="shared" si="28"/>
        <v>3</v>
      </c>
      <c r="BO23" s="61">
        <f t="shared" si="29"/>
        <v>4</v>
      </c>
      <c r="BP23" s="61">
        <f t="shared" si="30"/>
        <v>2</v>
      </c>
      <c r="BQ23" s="61">
        <f t="shared" si="31"/>
        <v>2</v>
      </c>
      <c r="BR23" s="61">
        <f t="shared" si="32"/>
        <v>2</v>
      </c>
      <c r="BS23" s="61">
        <f t="shared" si="33"/>
        <v>4</v>
      </c>
      <c r="BT23" s="61">
        <f t="shared" si="34"/>
        <v>4</v>
      </c>
      <c r="BU23" s="61">
        <f t="shared" si="35"/>
        <v>2</v>
      </c>
      <c r="BV23" s="61">
        <f t="shared" si="36"/>
        <v>2</v>
      </c>
      <c r="BW23" s="61">
        <f t="shared" si="37"/>
        <v>2</v>
      </c>
      <c r="BX23" s="61">
        <f t="shared" si="38"/>
        <v>2</v>
      </c>
      <c r="BY23" s="61">
        <f t="shared" si="39"/>
        <v>4</v>
      </c>
      <c r="CB23" s="61">
        <f t="shared" si="40"/>
        <v>0</v>
      </c>
      <c r="CC23" s="61">
        <f t="shared" si="41"/>
        <v>0</v>
      </c>
      <c r="CD23" s="61">
        <f t="shared" si="42"/>
        <v>0</v>
      </c>
      <c r="CE23" s="61">
        <f t="shared" si="43"/>
        <v>0</v>
      </c>
      <c r="CF23" s="61">
        <f t="shared" si="44"/>
        <v>0</v>
      </c>
      <c r="CG23" s="61">
        <f t="shared" si="45"/>
        <v>0</v>
      </c>
      <c r="CH23" s="61">
        <f t="shared" si="46"/>
        <v>0</v>
      </c>
      <c r="CI23" s="61">
        <f t="shared" si="47"/>
        <v>0</v>
      </c>
      <c r="CJ23" s="61">
        <f t="shared" si="48"/>
        <v>0</v>
      </c>
      <c r="CK23" s="61">
        <f t="shared" si="49"/>
        <v>3</v>
      </c>
      <c r="CL23" s="61">
        <f t="shared" si="50"/>
        <v>4</v>
      </c>
      <c r="CM23" s="61">
        <f t="shared" si="51"/>
        <v>2</v>
      </c>
      <c r="CN23" s="61">
        <f t="shared" si="52"/>
        <v>2</v>
      </c>
      <c r="CO23" s="61">
        <f t="shared" si="53"/>
        <v>2</v>
      </c>
      <c r="CP23" s="61">
        <f t="shared" si="54"/>
        <v>4</v>
      </c>
      <c r="CQ23" s="61">
        <f t="shared" si="55"/>
        <v>4</v>
      </c>
      <c r="CR23" s="61">
        <f t="shared" si="56"/>
        <v>2</v>
      </c>
      <c r="CS23" s="61">
        <f t="shared" si="57"/>
        <v>2</v>
      </c>
      <c r="CT23" s="61">
        <f t="shared" si="58"/>
        <v>2</v>
      </c>
      <c r="CU23" s="61">
        <f t="shared" si="59"/>
        <v>2</v>
      </c>
      <c r="CV23" s="61">
        <f t="shared" si="60"/>
        <v>4</v>
      </c>
      <c r="CY23" s="61">
        <f t="shared" si="61"/>
        <v>4</v>
      </c>
      <c r="CZ23" s="61">
        <f t="shared" si="62"/>
        <v>4</v>
      </c>
      <c r="DA23" s="61">
        <f t="shared" si="63"/>
        <v>2</v>
      </c>
      <c r="DB23" s="61">
        <f t="shared" si="64"/>
        <v>2</v>
      </c>
      <c r="DC23" s="61">
        <f t="shared" si="65"/>
        <v>3</v>
      </c>
      <c r="DD23" s="61">
        <f t="shared" si="66"/>
        <v>4</v>
      </c>
      <c r="DE23" s="61">
        <f t="shared" si="67"/>
        <v>2</v>
      </c>
      <c r="DF23" s="61">
        <f t="shared" si="68"/>
        <v>4</v>
      </c>
      <c r="DG23" s="61">
        <f t="shared" si="69"/>
        <v>4</v>
      </c>
      <c r="DH23" s="61">
        <f t="shared" si="70"/>
        <v>2</v>
      </c>
      <c r="DI23" s="61">
        <f t="shared" si="71"/>
        <v>2</v>
      </c>
      <c r="DJ23" s="61">
        <f t="shared" si="72"/>
        <v>2</v>
      </c>
      <c r="DK23" s="61">
        <f t="shared" si="73"/>
        <v>2</v>
      </c>
      <c r="DL23" s="61">
        <f t="shared" si="74"/>
        <v>4</v>
      </c>
    </row>
    <row r="24" spans="1:116" x14ac:dyDescent="0.25">
      <c r="A24" s="492" t="s">
        <v>762</v>
      </c>
      <c r="B24" s="422" t="s">
        <v>1877</v>
      </c>
      <c r="C24" s="420" t="s">
        <v>1421</v>
      </c>
      <c r="D24" s="420"/>
      <c r="E24" s="539" t="str">
        <f>IF(D24&lt;&gt;"",IF($C24="Male",VLOOKUP(D24,Titles!$K$3:$L$70,2,FALSE),IF($C24="Female",VLOOKUP(D24,Titles!$P$3:$Q$68,2,FALSE),"")),"")</f>
        <v/>
      </c>
      <c r="F24" s="420"/>
      <c r="G24" s="420"/>
      <c r="H24" s="420">
        <v>14</v>
      </c>
      <c r="I24" s="420">
        <v>14</v>
      </c>
      <c r="J24" s="420"/>
      <c r="K24" s="420"/>
      <c r="L24" s="420"/>
      <c r="M24" s="420"/>
      <c r="N24" s="421"/>
      <c r="O24" s="421"/>
      <c r="P24" s="421"/>
      <c r="Q24" s="421"/>
      <c r="R24" s="421"/>
      <c r="S24" s="421"/>
      <c r="T24" s="421"/>
      <c r="U24" s="421"/>
      <c r="V24" s="421"/>
      <c r="W24" s="421">
        <v>6</v>
      </c>
      <c r="X24" s="421"/>
      <c r="Y24" s="421"/>
      <c r="Z24" s="421"/>
      <c r="AA24" s="421"/>
      <c r="AB24" s="423"/>
      <c r="AD24" s="61">
        <f t="shared" si="13"/>
        <v>0</v>
      </c>
      <c r="AE24" s="61">
        <f t="shared" si="0"/>
        <v>0</v>
      </c>
      <c r="AF24" s="61">
        <f t="shared" si="1"/>
        <v>14</v>
      </c>
      <c r="AG24" s="61">
        <f t="shared" si="2"/>
        <v>0</v>
      </c>
      <c r="AH24" s="61">
        <f t="shared" si="3"/>
        <v>14</v>
      </c>
      <c r="AI24" s="61">
        <f t="shared" si="4"/>
        <v>14</v>
      </c>
      <c r="AJ24" s="61">
        <f t="shared" si="5"/>
        <v>14</v>
      </c>
      <c r="AK24" s="61">
        <f t="shared" si="6"/>
        <v>0</v>
      </c>
      <c r="AL24" s="61">
        <f t="shared" si="7"/>
        <v>14</v>
      </c>
      <c r="AO24" s="61">
        <f t="shared" si="14"/>
        <v>-5</v>
      </c>
      <c r="AP24" s="61">
        <f t="shared" si="15"/>
        <v>-5</v>
      </c>
      <c r="AQ24" s="61">
        <f t="shared" si="75"/>
        <v>2</v>
      </c>
      <c r="AR24" s="61">
        <f t="shared" si="76"/>
        <v>-5</v>
      </c>
      <c r="AS24" s="61">
        <f t="shared" si="77"/>
        <v>2</v>
      </c>
      <c r="AT24" s="61">
        <f t="shared" si="78"/>
        <v>2</v>
      </c>
      <c r="AU24" s="61">
        <f t="shared" si="79"/>
        <v>2</v>
      </c>
      <c r="AV24" s="61">
        <f t="shared" si="80"/>
        <v>-5</v>
      </c>
      <c r="AW24" s="61">
        <f t="shared" si="81"/>
        <v>2</v>
      </c>
      <c r="AZ24" s="61">
        <f t="shared" si="16"/>
        <v>0</v>
      </c>
      <c r="BA24" s="61">
        <f t="shared" si="17"/>
        <v>0</v>
      </c>
      <c r="BB24" s="61">
        <f t="shared" si="18"/>
        <v>0</v>
      </c>
      <c r="BC24" s="61">
        <f t="shared" si="19"/>
        <v>0</v>
      </c>
      <c r="BD24" s="61">
        <f t="shared" si="20"/>
        <v>0</v>
      </c>
      <c r="BE24" s="61">
        <f t="shared" si="21"/>
        <v>0</v>
      </c>
      <c r="BF24" s="61">
        <f t="shared" si="22"/>
        <v>0</v>
      </c>
      <c r="BG24" s="61">
        <f t="shared" si="23"/>
        <v>1</v>
      </c>
      <c r="BH24" s="61">
        <f t="shared" si="24"/>
        <v>0</v>
      </c>
      <c r="BI24" s="61">
        <f t="shared" si="25"/>
        <v>0</v>
      </c>
      <c r="BJ24" s="61">
        <f t="shared" si="26"/>
        <v>0</v>
      </c>
      <c r="BK24" s="61">
        <f t="shared" si="27"/>
        <v>0</v>
      </c>
      <c r="BN24" s="61">
        <f t="shared" si="28"/>
        <v>2</v>
      </c>
      <c r="BO24" s="61">
        <f t="shared" si="29"/>
        <v>2</v>
      </c>
      <c r="BP24" s="61">
        <f t="shared" si="30"/>
        <v>2</v>
      </c>
      <c r="BQ24" s="61">
        <f t="shared" si="31"/>
        <v>2</v>
      </c>
      <c r="BR24" s="61">
        <f t="shared" si="32"/>
        <v>2</v>
      </c>
      <c r="BS24" s="61">
        <f t="shared" si="33"/>
        <v>2</v>
      </c>
      <c r="BT24" s="61">
        <f t="shared" si="34"/>
        <v>2</v>
      </c>
      <c r="BU24" s="61">
        <f t="shared" si="35"/>
        <v>4</v>
      </c>
      <c r="BV24" s="61">
        <f t="shared" si="36"/>
        <v>2</v>
      </c>
      <c r="BW24" s="61">
        <f t="shared" si="37"/>
        <v>2</v>
      </c>
      <c r="BX24" s="61">
        <f t="shared" si="38"/>
        <v>2</v>
      </c>
      <c r="BY24" s="61">
        <f t="shared" si="39"/>
        <v>2</v>
      </c>
      <c r="CB24" s="61">
        <f t="shared" si="40"/>
        <v>0</v>
      </c>
      <c r="CC24" s="61">
        <f t="shared" si="41"/>
        <v>0</v>
      </c>
      <c r="CD24" s="61">
        <f t="shared" si="42"/>
        <v>0</v>
      </c>
      <c r="CE24" s="61">
        <f t="shared" si="43"/>
        <v>0</v>
      </c>
      <c r="CF24" s="61">
        <f t="shared" si="44"/>
        <v>0</v>
      </c>
      <c r="CG24" s="61">
        <f t="shared" si="45"/>
        <v>0</v>
      </c>
      <c r="CH24" s="61">
        <f t="shared" si="46"/>
        <v>0</v>
      </c>
      <c r="CI24" s="61">
        <f t="shared" si="47"/>
        <v>0</v>
      </c>
      <c r="CJ24" s="61">
        <f t="shared" si="48"/>
        <v>0</v>
      </c>
      <c r="CK24" s="61">
        <f t="shared" si="49"/>
        <v>2</v>
      </c>
      <c r="CL24" s="61">
        <f t="shared" si="50"/>
        <v>2</v>
      </c>
      <c r="CM24" s="61">
        <f t="shared" si="51"/>
        <v>2</v>
      </c>
      <c r="CN24" s="61">
        <f t="shared" si="52"/>
        <v>2</v>
      </c>
      <c r="CO24" s="61">
        <f t="shared" si="53"/>
        <v>2</v>
      </c>
      <c r="CP24" s="61">
        <f t="shared" si="54"/>
        <v>2</v>
      </c>
      <c r="CQ24" s="61">
        <f t="shared" si="55"/>
        <v>2</v>
      </c>
      <c r="CR24" s="61">
        <f t="shared" si="56"/>
        <v>4</v>
      </c>
      <c r="CS24" s="61">
        <f t="shared" si="57"/>
        <v>2</v>
      </c>
      <c r="CT24" s="61">
        <f t="shared" si="58"/>
        <v>2</v>
      </c>
      <c r="CU24" s="61">
        <f t="shared" si="59"/>
        <v>2</v>
      </c>
      <c r="CV24" s="61">
        <f t="shared" si="60"/>
        <v>2</v>
      </c>
      <c r="CY24" s="61">
        <f t="shared" si="61"/>
        <v>2</v>
      </c>
      <c r="CZ24" s="61">
        <f t="shared" si="62"/>
        <v>2</v>
      </c>
      <c r="DA24" s="61">
        <f t="shared" si="63"/>
        <v>2</v>
      </c>
      <c r="DB24" s="61">
        <f t="shared" si="64"/>
        <v>2</v>
      </c>
      <c r="DC24" s="61">
        <f t="shared" si="65"/>
        <v>2</v>
      </c>
      <c r="DD24" s="61">
        <f t="shared" si="66"/>
        <v>2</v>
      </c>
      <c r="DE24" s="61">
        <f t="shared" si="67"/>
        <v>2</v>
      </c>
      <c r="DF24" s="61">
        <f t="shared" si="68"/>
        <v>2</v>
      </c>
      <c r="DG24" s="61">
        <f t="shared" si="69"/>
        <v>2</v>
      </c>
      <c r="DH24" s="61">
        <f t="shared" si="70"/>
        <v>4</v>
      </c>
      <c r="DI24" s="61">
        <f t="shared" si="71"/>
        <v>2</v>
      </c>
      <c r="DJ24" s="61">
        <f t="shared" si="72"/>
        <v>2</v>
      </c>
      <c r="DK24" s="61">
        <f t="shared" si="73"/>
        <v>2</v>
      </c>
      <c r="DL24" s="61">
        <f t="shared" si="74"/>
        <v>2</v>
      </c>
    </row>
    <row r="25" spans="1:116" x14ac:dyDescent="0.25">
      <c r="A25" s="492" t="s">
        <v>762</v>
      </c>
      <c r="B25" s="422"/>
      <c r="C25" s="420"/>
      <c r="D25" s="420"/>
      <c r="E25" s="539" t="str">
        <f>IF(D25&lt;&gt;"",IF($C25="Male",VLOOKUP(D25,Titles!$K$3:$L$70,2,FALSE),IF($C25="Female",VLOOKUP(D25,Titles!$P$3:$Q$68,2,FALSE),"")),"")</f>
        <v/>
      </c>
      <c r="F25" s="420"/>
      <c r="G25" s="420"/>
      <c r="H25" s="420"/>
      <c r="I25" s="420"/>
      <c r="J25" s="420"/>
      <c r="K25" s="420"/>
      <c r="L25" s="420"/>
      <c r="M25" s="420"/>
      <c r="N25" s="421"/>
      <c r="O25" s="421"/>
      <c r="P25" s="421"/>
      <c r="Q25" s="421"/>
      <c r="R25" s="421"/>
      <c r="S25" s="421"/>
      <c r="T25" s="421"/>
      <c r="U25" s="421"/>
      <c r="V25" s="421"/>
      <c r="W25" s="421"/>
      <c r="X25" s="421"/>
      <c r="Y25" s="421"/>
      <c r="Z25" s="421"/>
      <c r="AA25" s="421"/>
      <c r="AB25" s="423"/>
      <c r="AD25" s="61">
        <f t="shared" si="13"/>
        <v>0</v>
      </c>
      <c r="AE25" s="61">
        <f t="shared" si="0"/>
        <v>0</v>
      </c>
      <c r="AF25" s="61">
        <f t="shared" si="1"/>
        <v>0</v>
      </c>
      <c r="AG25" s="61">
        <f t="shared" si="2"/>
        <v>0</v>
      </c>
      <c r="AH25" s="61">
        <f t="shared" si="3"/>
        <v>0</v>
      </c>
      <c r="AI25" s="61">
        <f t="shared" si="4"/>
        <v>0</v>
      </c>
      <c r="AJ25" s="61">
        <f t="shared" si="5"/>
        <v>0</v>
      </c>
      <c r="AK25" s="61">
        <f t="shared" si="6"/>
        <v>0</v>
      </c>
      <c r="AL25" s="61">
        <f t="shared" si="7"/>
        <v>0</v>
      </c>
      <c r="AO25" s="61">
        <f t="shared" si="14"/>
        <v>-5</v>
      </c>
      <c r="AP25" s="61">
        <f t="shared" si="15"/>
        <v>-5</v>
      </c>
      <c r="AQ25" s="61">
        <f t="shared" si="75"/>
        <v>-5</v>
      </c>
      <c r="AR25" s="61">
        <f t="shared" si="76"/>
        <v>-5</v>
      </c>
      <c r="AS25" s="61">
        <f t="shared" si="77"/>
        <v>-5</v>
      </c>
      <c r="AT25" s="61">
        <f t="shared" si="78"/>
        <v>-5</v>
      </c>
      <c r="AU25" s="61">
        <f t="shared" si="79"/>
        <v>-5</v>
      </c>
      <c r="AV25" s="61">
        <f t="shared" si="80"/>
        <v>-5</v>
      </c>
      <c r="AW25" s="61">
        <f t="shared" si="81"/>
        <v>-5</v>
      </c>
      <c r="AZ25" s="61">
        <f t="shared" si="16"/>
        <v>0</v>
      </c>
      <c r="BA25" s="61">
        <f t="shared" si="17"/>
        <v>0</v>
      </c>
      <c r="BB25" s="61">
        <f t="shared" si="18"/>
        <v>0</v>
      </c>
      <c r="BC25" s="61">
        <f t="shared" si="19"/>
        <v>0</v>
      </c>
      <c r="BD25" s="61">
        <f t="shared" si="20"/>
        <v>0</v>
      </c>
      <c r="BE25" s="61">
        <f t="shared" si="21"/>
        <v>0</v>
      </c>
      <c r="BF25" s="61">
        <f t="shared" si="22"/>
        <v>0</v>
      </c>
      <c r="BG25" s="61">
        <f t="shared" si="23"/>
        <v>0</v>
      </c>
      <c r="BH25" s="61">
        <f t="shared" si="24"/>
        <v>0</v>
      </c>
      <c r="BI25" s="61">
        <f t="shared" si="25"/>
        <v>0</v>
      </c>
      <c r="BJ25" s="61">
        <f t="shared" si="26"/>
        <v>0</v>
      </c>
      <c r="BK25" s="61">
        <f t="shared" si="27"/>
        <v>0</v>
      </c>
      <c r="BN25" s="61">
        <f t="shared" si="28"/>
        <v>0</v>
      </c>
      <c r="BO25" s="61">
        <f t="shared" si="29"/>
        <v>0</v>
      </c>
      <c r="BP25" s="61">
        <f t="shared" si="30"/>
        <v>0</v>
      </c>
      <c r="BQ25" s="61">
        <f t="shared" si="31"/>
        <v>0</v>
      </c>
      <c r="BR25" s="61">
        <f t="shared" si="32"/>
        <v>0</v>
      </c>
      <c r="BS25" s="61">
        <f t="shared" si="33"/>
        <v>0</v>
      </c>
      <c r="BT25" s="61">
        <f t="shared" si="34"/>
        <v>0</v>
      </c>
      <c r="BU25" s="61">
        <f t="shared" si="35"/>
        <v>0</v>
      </c>
      <c r="BV25" s="61">
        <f t="shared" si="36"/>
        <v>0</v>
      </c>
      <c r="BW25" s="61">
        <f t="shared" si="37"/>
        <v>0</v>
      </c>
      <c r="BX25" s="61">
        <f t="shared" si="38"/>
        <v>0</v>
      </c>
      <c r="BY25" s="61">
        <f t="shared" si="39"/>
        <v>0</v>
      </c>
      <c r="CB25" s="61">
        <f t="shared" si="40"/>
        <v>0</v>
      </c>
      <c r="CC25" s="61">
        <f t="shared" si="41"/>
        <v>0</v>
      </c>
      <c r="CD25" s="61">
        <f t="shared" si="42"/>
        <v>0</v>
      </c>
      <c r="CE25" s="61">
        <f t="shared" si="43"/>
        <v>0</v>
      </c>
      <c r="CF25" s="61">
        <f t="shared" si="44"/>
        <v>0</v>
      </c>
      <c r="CG25" s="61">
        <f t="shared" si="45"/>
        <v>0</v>
      </c>
      <c r="CH25" s="61">
        <f t="shared" si="46"/>
        <v>0</v>
      </c>
      <c r="CI25" s="61">
        <f t="shared" si="47"/>
        <v>0</v>
      </c>
      <c r="CJ25" s="61">
        <f t="shared" si="48"/>
        <v>0</v>
      </c>
      <c r="CK25" s="61">
        <f t="shared" si="49"/>
        <v>0</v>
      </c>
      <c r="CL25" s="61">
        <f t="shared" si="50"/>
        <v>0</v>
      </c>
      <c r="CM25" s="61">
        <f t="shared" si="51"/>
        <v>0</v>
      </c>
      <c r="CN25" s="61">
        <f t="shared" si="52"/>
        <v>0</v>
      </c>
      <c r="CO25" s="61">
        <f t="shared" si="53"/>
        <v>0</v>
      </c>
      <c r="CP25" s="61">
        <f t="shared" si="54"/>
        <v>0</v>
      </c>
      <c r="CQ25" s="61">
        <f t="shared" si="55"/>
        <v>0</v>
      </c>
      <c r="CR25" s="61">
        <f t="shared" si="56"/>
        <v>0</v>
      </c>
      <c r="CS25" s="61">
        <f t="shared" si="57"/>
        <v>0</v>
      </c>
      <c r="CT25" s="61">
        <f t="shared" si="58"/>
        <v>0</v>
      </c>
      <c r="CU25" s="61">
        <f t="shared" si="59"/>
        <v>0</v>
      </c>
      <c r="CV25" s="61">
        <f t="shared" si="60"/>
        <v>0</v>
      </c>
      <c r="CY25" s="61">
        <f t="shared" si="61"/>
        <v>0</v>
      </c>
      <c r="CZ25" s="61">
        <f t="shared" si="62"/>
        <v>0</v>
      </c>
      <c r="DA25" s="61">
        <f t="shared" si="63"/>
        <v>0</v>
      </c>
      <c r="DB25" s="61">
        <f t="shared" si="64"/>
        <v>0</v>
      </c>
      <c r="DC25" s="61">
        <f t="shared" si="65"/>
        <v>0</v>
      </c>
      <c r="DD25" s="61">
        <f t="shared" si="66"/>
        <v>0</v>
      </c>
      <c r="DE25" s="61">
        <f t="shared" si="67"/>
        <v>0</v>
      </c>
      <c r="DF25" s="61">
        <f t="shared" si="68"/>
        <v>0</v>
      </c>
      <c r="DG25" s="61">
        <f t="shared" si="69"/>
        <v>0</v>
      </c>
      <c r="DH25" s="61">
        <f t="shared" si="70"/>
        <v>0</v>
      </c>
      <c r="DI25" s="61">
        <f t="shared" si="71"/>
        <v>0</v>
      </c>
      <c r="DJ25" s="61">
        <f t="shared" si="72"/>
        <v>0</v>
      </c>
      <c r="DK25" s="61">
        <f t="shared" si="73"/>
        <v>0</v>
      </c>
      <c r="DL25" s="61">
        <f t="shared" si="74"/>
        <v>0</v>
      </c>
    </row>
    <row r="26" spans="1:116" x14ac:dyDescent="0.25">
      <c r="A26" s="492" t="s">
        <v>762</v>
      </c>
      <c r="B26" s="422"/>
      <c r="C26" s="420"/>
      <c r="D26" s="420"/>
      <c r="E26" s="539" t="str">
        <f>IF(D26&lt;&gt;"",IF($C26="Male",VLOOKUP(D26,Titles!$K$3:$L$70,2,FALSE),IF($C26="Female",VLOOKUP(D26,Titles!$P$3:$Q$68,2,FALSE),"")),"")</f>
        <v/>
      </c>
      <c r="F26" s="420"/>
      <c r="G26" s="420"/>
      <c r="H26" s="420"/>
      <c r="I26" s="420"/>
      <c r="J26" s="420"/>
      <c r="K26" s="420"/>
      <c r="L26" s="420"/>
      <c r="M26" s="420"/>
      <c r="N26" s="421"/>
      <c r="O26" s="421"/>
      <c r="P26" s="421"/>
      <c r="Q26" s="421"/>
      <c r="R26" s="421"/>
      <c r="S26" s="421"/>
      <c r="T26" s="421"/>
      <c r="U26" s="421"/>
      <c r="V26" s="421"/>
      <c r="W26" s="421"/>
      <c r="X26" s="421"/>
      <c r="Y26" s="421"/>
      <c r="Z26" s="421"/>
      <c r="AA26" s="421"/>
      <c r="AB26" s="423"/>
      <c r="AD26" s="61">
        <f t="shared" si="13"/>
        <v>0</v>
      </c>
      <c r="AE26" s="61">
        <f t="shared" si="0"/>
        <v>0</v>
      </c>
      <c r="AF26" s="61">
        <f t="shared" si="1"/>
        <v>0</v>
      </c>
      <c r="AG26" s="61">
        <f t="shared" si="2"/>
        <v>0</v>
      </c>
      <c r="AH26" s="61">
        <f t="shared" si="3"/>
        <v>0</v>
      </c>
      <c r="AI26" s="61">
        <f t="shared" si="4"/>
        <v>0</v>
      </c>
      <c r="AJ26" s="61">
        <f t="shared" si="5"/>
        <v>0</v>
      </c>
      <c r="AK26" s="61">
        <f t="shared" si="6"/>
        <v>0</v>
      </c>
      <c r="AL26" s="61">
        <f t="shared" si="7"/>
        <v>0</v>
      </c>
      <c r="AO26" s="61">
        <f t="shared" si="14"/>
        <v>-5</v>
      </c>
      <c r="AP26" s="61">
        <f t="shared" si="15"/>
        <v>-5</v>
      </c>
      <c r="AQ26" s="61">
        <f t="shared" si="75"/>
        <v>-5</v>
      </c>
      <c r="AR26" s="61">
        <f t="shared" si="76"/>
        <v>-5</v>
      </c>
      <c r="AS26" s="61">
        <f t="shared" si="77"/>
        <v>-5</v>
      </c>
      <c r="AT26" s="61">
        <f t="shared" si="78"/>
        <v>-5</v>
      </c>
      <c r="AU26" s="61">
        <f t="shared" si="79"/>
        <v>-5</v>
      </c>
      <c r="AV26" s="61">
        <f t="shared" si="80"/>
        <v>-5</v>
      </c>
      <c r="AW26" s="61">
        <f t="shared" si="81"/>
        <v>-5</v>
      </c>
      <c r="AZ26" s="61">
        <f t="shared" si="16"/>
        <v>0</v>
      </c>
      <c r="BA26" s="61">
        <f t="shared" si="17"/>
        <v>0</v>
      </c>
      <c r="BB26" s="61">
        <f t="shared" si="18"/>
        <v>0</v>
      </c>
      <c r="BC26" s="61">
        <f t="shared" si="19"/>
        <v>0</v>
      </c>
      <c r="BD26" s="61">
        <f t="shared" si="20"/>
        <v>0</v>
      </c>
      <c r="BE26" s="61">
        <f t="shared" si="21"/>
        <v>0</v>
      </c>
      <c r="BF26" s="61">
        <f t="shared" si="22"/>
        <v>0</v>
      </c>
      <c r="BG26" s="61">
        <f t="shared" si="23"/>
        <v>0</v>
      </c>
      <c r="BH26" s="61">
        <f t="shared" si="24"/>
        <v>0</v>
      </c>
      <c r="BI26" s="61">
        <f t="shared" si="25"/>
        <v>0</v>
      </c>
      <c r="BJ26" s="61">
        <f t="shared" si="26"/>
        <v>0</v>
      </c>
      <c r="BK26" s="61">
        <f t="shared" si="27"/>
        <v>0</v>
      </c>
      <c r="BN26" s="61">
        <f t="shared" si="28"/>
        <v>0</v>
      </c>
      <c r="BO26" s="61">
        <f t="shared" si="29"/>
        <v>0</v>
      </c>
      <c r="BP26" s="61">
        <f t="shared" si="30"/>
        <v>0</v>
      </c>
      <c r="BQ26" s="61">
        <f t="shared" si="31"/>
        <v>0</v>
      </c>
      <c r="BR26" s="61">
        <f t="shared" si="32"/>
        <v>0</v>
      </c>
      <c r="BS26" s="61">
        <f t="shared" si="33"/>
        <v>0</v>
      </c>
      <c r="BT26" s="61">
        <f t="shared" si="34"/>
        <v>0</v>
      </c>
      <c r="BU26" s="61">
        <f t="shared" si="35"/>
        <v>0</v>
      </c>
      <c r="BV26" s="61">
        <f t="shared" si="36"/>
        <v>0</v>
      </c>
      <c r="BW26" s="61">
        <f t="shared" si="37"/>
        <v>0</v>
      </c>
      <c r="BX26" s="61">
        <f t="shared" si="38"/>
        <v>0</v>
      </c>
      <c r="BY26" s="61">
        <f t="shared" si="39"/>
        <v>0</v>
      </c>
      <c r="CB26" s="61">
        <f t="shared" si="40"/>
        <v>0</v>
      </c>
      <c r="CC26" s="61">
        <f t="shared" si="41"/>
        <v>0</v>
      </c>
      <c r="CD26" s="61">
        <f t="shared" si="42"/>
        <v>0</v>
      </c>
      <c r="CE26" s="61">
        <f t="shared" si="43"/>
        <v>0</v>
      </c>
      <c r="CF26" s="61">
        <f t="shared" si="44"/>
        <v>0</v>
      </c>
      <c r="CG26" s="61">
        <f t="shared" si="45"/>
        <v>0</v>
      </c>
      <c r="CH26" s="61">
        <f t="shared" si="46"/>
        <v>0</v>
      </c>
      <c r="CI26" s="61">
        <f t="shared" si="47"/>
        <v>0</v>
      </c>
      <c r="CJ26" s="61">
        <f t="shared" si="48"/>
        <v>0</v>
      </c>
      <c r="CK26" s="61">
        <f t="shared" si="49"/>
        <v>0</v>
      </c>
      <c r="CL26" s="61">
        <f t="shared" si="50"/>
        <v>0</v>
      </c>
      <c r="CM26" s="61">
        <f t="shared" si="51"/>
        <v>0</v>
      </c>
      <c r="CN26" s="61">
        <f t="shared" si="52"/>
        <v>0</v>
      </c>
      <c r="CO26" s="61">
        <f t="shared" si="53"/>
        <v>0</v>
      </c>
      <c r="CP26" s="61">
        <f t="shared" si="54"/>
        <v>0</v>
      </c>
      <c r="CQ26" s="61">
        <f t="shared" si="55"/>
        <v>0</v>
      </c>
      <c r="CR26" s="61">
        <f t="shared" si="56"/>
        <v>0</v>
      </c>
      <c r="CS26" s="61">
        <f t="shared" si="57"/>
        <v>0</v>
      </c>
      <c r="CT26" s="61">
        <f t="shared" si="58"/>
        <v>0</v>
      </c>
      <c r="CU26" s="61">
        <f t="shared" si="59"/>
        <v>0</v>
      </c>
      <c r="CV26" s="61">
        <f t="shared" si="60"/>
        <v>0</v>
      </c>
      <c r="CY26" s="61">
        <f t="shared" si="61"/>
        <v>0</v>
      </c>
      <c r="CZ26" s="61">
        <f t="shared" si="62"/>
        <v>0</v>
      </c>
      <c r="DA26" s="61">
        <f t="shared" si="63"/>
        <v>0</v>
      </c>
      <c r="DB26" s="61">
        <f t="shared" si="64"/>
        <v>0</v>
      </c>
      <c r="DC26" s="61">
        <f t="shared" si="65"/>
        <v>0</v>
      </c>
      <c r="DD26" s="61">
        <f t="shared" si="66"/>
        <v>0</v>
      </c>
      <c r="DE26" s="61">
        <f t="shared" si="67"/>
        <v>0</v>
      </c>
      <c r="DF26" s="61">
        <f t="shared" si="68"/>
        <v>0</v>
      </c>
      <c r="DG26" s="61">
        <f t="shared" si="69"/>
        <v>0</v>
      </c>
      <c r="DH26" s="61">
        <f t="shared" si="70"/>
        <v>0</v>
      </c>
      <c r="DI26" s="61">
        <f t="shared" si="71"/>
        <v>0</v>
      </c>
      <c r="DJ26" s="61">
        <f t="shared" si="72"/>
        <v>0</v>
      </c>
      <c r="DK26" s="61">
        <f t="shared" si="73"/>
        <v>0</v>
      </c>
      <c r="DL26" s="61">
        <f t="shared" si="74"/>
        <v>0</v>
      </c>
    </row>
    <row r="27" spans="1:116" x14ac:dyDescent="0.25">
      <c r="A27" s="492" t="s">
        <v>762</v>
      </c>
      <c r="B27" s="422"/>
      <c r="C27" s="420"/>
      <c r="D27" s="420"/>
      <c r="E27" s="539" t="str">
        <f>IF(D27&lt;&gt;"",IF($C27="Male",VLOOKUP(D27,Titles!$K$3:$L$70,2,FALSE),IF($C27="Female",VLOOKUP(D27,Titles!$P$3:$Q$68,2,FALSE),"")),"")</f>
        <v/>
      </c>
      <c r="F27" s="420"/>
      <c r="G27" s="420"/>
      <c r="H27" s="420"/>
      <c r="I27" s="420"/>
      <c r="J27" s="420"/>
      <c r="K27" s="420"/>
      <c r="L27" s="420"/>
      <c r="M27" s="420"/>
      <c r="N27" s="421"/>
      <c r="O27" s="421"/>
      <c r="P27" s="421"/>
      <c r="Q27" s="421"/>
      <c r="R27" s="421"/>
      <c r="S27" s="421"/>
      <c r="T27" s="421"/>
      <c r="U27" s="421"/>
      <c r="V27" s="421"/>
      <c r="W27" s="421"/>
      <c r="X27" s="421"/>
      <c r="Y27" s="421"/>
      <c r="Z27" s="421"/>
      <c r="AA27" s="421"/>
      <c r="AB27" s="423"/>
      <c r="AD27" s="61">
        <f t="shared" si="13"/>
        <v>0</v>
      </c>
      <c r="AE27" s="61">
        <f t="shared" si="0"/>
        <v>0</v>
      </c>
      <c r="AF27" s="61">
        <f t="shared" si="1"/>
        <v>0</v>
      </c>
      <c r="AG27" s="61">
        <f t="shared" si="2"/>
        <v>0</v>
      </c>
      <c r="AH27" s="61">
        <f t="shared" si="3"/>
        <v>0</v>
      </c>
      <c r="AI27" s="61">
        <f t="shared" si="4"/>
        <v>0</v>
      </c>
      <c r="AJ27" s="61">
        <f t="shared" si="5"/>
        <v>0</v>
      </c>
      <c r="AK27" s="61">
        <f t="shared" si="6"/>
        <v>0</v>
      </c>
      <c r="AL27" s="61">
        <f t="shared" si="7"/>
        <v>0</v>
      </c>
      <c r="AO27" s="61">
        <f t="shared" si="14"/>
        <v>-5</v>
      </c>
      <c r="AP27" s="61">
        <f t="shared" si="15"/>
        <v>-5</v>
      </c>
      <c r="AQ27" s="61">
        <f t="shared" si="75"/>
        <v>-5</v>
      </c>
      <c r="AR27" s="61">
        <f t="shared" si="76"/>
        <v>-5</v>
      </c>
      <c r="AS27" s="61">
        <f t="shared" si="77"/>
        <v>-5</v>
      </c>
      <c r="AT27" s="61">
        <f t="shared" si="78"/>
        <v>-5</v>
      </c>
      <c r="AU27" s="61">
        <f t="shared" si="79"/>
        <v>-5</v>
      </c>
      <c r="AV27" s="61">
        <f t="shared" si="80"/>
        <v>-5</v>
      </c>
      <c r="AW27" s="61">
        <f t="shared" si="81"/>
        <v>-5</v>
      </c>
      <c r="AZ27" s="61">
        <f t="shared" si="16"/>
        <v>0</v>
      </c>
      <c r="BA27" s="61">
        <f t="shared" si="17"/>
        <v>0</v>
      </c>
      <c r="BB27" s="61">
        <f t="shared" si="18"/>
        <v>0</v>
      </c>
      <c r="BC27" s="61">
        <f t="shared" si="19"/>
        <v>0</v>
      </c>
      <c r="BD27" s="61">
        <f t="shared" si="20"/>
        <v>0</v>
      </c>
      <c r="BE27" s="61">
        <f t="shared" si="21"/>
        <v>0</v>
      </c>
      <c r="BF27" s="61">
        <f t="shared" si="22"/>
        <v>0</v>
      </c>
      <c r="BG27" s="61">
        <f t="shared" si="23"/>
        <v>0</v>
      </c>
      <c r="BH27" s="61">
        <f t="shared" si="24"/>
        <v>0</v>
      </c>
      <c r="BI27" s="61">
        <f t="shared" si="25"/>
        <v>0</v>
      </c>
      <c r="BJ27" s="61">
        <f t="shared" si="26"/>
        <v>0</v>
      </c>
      <c r="BK27" s="61">
        <f t="shared" si="27"/>
        <v>0</v>
      </c>
      <c r="BN27" s="61">
        <f t="shared" si="28"/>
        <v>0</v>
      </c>
      <c r="BO27" s="61">
        <f t="shared" si="29"/>
        <v>0</v>
      </c>
      <c r="BP27" s="61">
        <f t="shared" si="30"/>
        <v>0</v>
      </c>
      <c r="BQ27" s="61">
        <f t="shared" si="31"/>
        <v>0</v>
      </c>
      <c r="BR27" s="61">
        <f t="shared" si="32"/>
        <v>0</v>
      </c>
      <c r="BS27" s="61">
        <f t="shared" si="33"/>
        <v>0</v>
      </c>
      <c r="BT27" s="61">
        <f t="shared" si="34"/>
        <v>0</v>
      </c>
      <c r="BU27" s="61">
        <f t="shared" si="35"/>
        <v>0</v>
      </c>
      <c r="BV27" s="61">
        <f t="shared" si="36"/>
        <v>0</v>
      </c>
      <c r="BW27" s="61">
        <f t="shared" si="37"/>
        <v>0</v>
      </c>
      <c r="BX27" s="61">
        <f t="shared" si="38"/>
        <v>0</v>
      </c>
      <c r="BY27" s="61">
        <f t="shared" si="39"/>
        <v>0</v>
      </c>
      <c r="CB27" s="61">
        <f t="shared" si="40"/>
        <v>0</v>
      </c>
      <c r="CC27" s="61">
        <f t="shared" si="41"/>
        <v>0</v>
      </c>
      <c r="CD27" s="61">
        <f t="shared" si="42"/>
        <v>0</v>
      </c>
      <c r="CE27" s="61">
        <f t="shared" si="43"/>
        <v>0</v>
      </c>
      <c r="CF27" s="61">
        <f t="shared" si="44"/>
        <v>0</v>
      </c>
      <c r="CG27" s="61">
        <f t="shared" si="45"/>
        <v>0</v>
      </c>
      <c r="CH27" s="61">
        <f t="shared" si="46"/>
        <v>0</v>
      </c>
      <c r="CI27" s="61">
        <f t="shared" si="47"/>
        <v>0</v>
      </c>
      <c r="CJ27" s="61">
        <f t="shared" si="48"/>
        <v>0</v>
      </c>
      <c r="CK27" s="61">
        <f t="shared" si="49"/>
        <v>0</v>
      </c>
      <c r="CL27" s="61">
        <f t="shared" si="50"/>
        <v>0</v>
      </c>
      <c r="CM27" s="61">
        <f t="shared" si="51"/>
        <v>0</v>
      </c>
      <c r="CN27" s="61">
        <f t="shared" si="52"/>
        <v>0</v>
      </c>
      <c r="CO27" s="61">
        <f t="shared" si="53"/>
        <v>0</v>
      </c>
      <c r="CP27" s="61">
        <f t="shared" si="54"/>
        <v>0</v>
      </c>
      <c r="CQ27" s="61">
        <f t="shared" si="55"/>
        <v>0</v>
      </c>
      <c r="CR27" s="61">
        <f t="shared" si="56"/>
        <v>0</v>
      </c>
      <c r="CS27" s="61">
        <f t="shared" si="57"/>
        <v>0</v>
      </c>
      <c r="CT27" s="61">
        <f t="shared" si="58"/>
        <v>0</v>
      </c>
      <c r="CU27" s="61">
        <f t="shared" si="59"/>
        <v>0</v>
      </c>
      <c r="CV27" s="61">
        <f t="shared" si="60"/>
        <v>0</v>
      </c>
      <c r="CY27" s="61">
        <f t="shared" si="61"/>
        <v>0</v>
      </c>
      <c r="CZ27" s="61">
        <f t="shared" si="62"/>
        <v>0</v>
      </c>
      <c r="DA27" s="61">
        <f t="shared" si="63"/>
        <v>0</v>
      </c>
      <c r="DB27" s="61">
        <f t="shared" si="64"/>
        <v>0</v>
      </c>
      <c r="DC27" s="61">
        <f t="shared" si="65"/>
        <v>0</v>
      </c>
      <c r="DD27" s="61">
        <f t="shared" si="66"/>
        <v>0</v>
      </c>
      <c r="DE27" s="61">
        <f t="shared" si="67"/>
        <v>0</v>
      </c>
      <c r="DF27" s="61">
        <f t="shared" si="68"/>
        <v>0</v>
      </c>
      <c r="DG27" s="61">
        <f t="shared" si="69"/>
        <v>0</v>
      </c>
      <c r="DH27" s="61">
        <f t="shared" si="70"/>
        <v>0</v>
      </c>
      <c r="DI27" s="61">
        <f t="shared" si="71"/>
        <v>0</v>
      </c>
      <c r="DJ27" s="61">
        <f t="shared" si="72"/>
        <v>0</v>
      </c>
      <c r="DK27" s="61">
        <f t="shared" si="73"/>
        <v>0</v>
      </c>
      <c r="DL27" s="61">
        <f t="shared" si="74"/>
        <v>0</v>
      </c>
    </row>
    <row r="28" spans="1:116" x14ac:dyDescent="0.25">
      <c r="A28" s="492" t="s">
        <v>762</v>
      </c>
      <c r="B28" s="422"/>
      <c r="C28" s="420"/>
      <c r="D28" s="420"/>
      <c r="E28" s="539" t="str">
        <f>IF(D28&lt;&gt;"",IF($C28="Male",VLOOKUP(D28,Titles!$K$3:$L$70,2,FALSE),IF($C28="Female",VLOOKUP(D28,Titles!$P$3:$Q$68,2,FALSE),"")),"")</f>
        <v/>
      </c>
      <c r="F28" s="420"/>
      <c r="G28" s="420"/>
      <c r="H28" s="420"/>
      <c r="I28" s="420"/>
      <c r="J28" s="420"/>
      <c r="K28" s="420"/>
      <c r="L28" s="420"/>
      <c r="M28" s="420"/>
      <c r="N28" s="421"/>
      <c r="O28" s="421"/>
      <c r="P28" s="421"/>
      <c r="Q28" s="421"/>
      <c r="R28" s="421"/>
      <c r="S28" s="421"/>
      <c r="T28" s="421"/>
      <c r="U28" s="421"/>
      <c r="V28" s="421"/>
      <c r="W28" s="421"/>
      <c r="X28" s="421"/>
      <c r="Y28" s="421"/>
      <c r="Z28" s="421"/>
      <c r="AA28" s="421"/>
      <c r="AB28" s="423"/>
      <c r="AD28" s="61">
        <f t="shared" si="13"/>
        <v>0</v>
      </c>
      <c r="AE28" s="61">
        <f t="shared" si="0"/>
        <v>0</v>
      </c>
      <c r="AF28" s="61">
        <f t="shared" si="1"/>
        <v>0</v>
      </c>
      <c r="AG28" s="61">
        <f t="shared" si="2"/>
        <v>0</v>
      </c>
      <c r="AH28" s="61">
        <f t="shared" si="3"/>
        <v>0</v>
      </c>
      <c r="AI28" s="61">
        <f t="shared" si="4"/>
        <v>0</v>
      </c>
      <c r="AJ28" s="61">
        <f t="shared" si="5"/>
        <v>0</v>
      </c>
      <c r="AK28" s="61">
        <f t="shared" si="6"/>
        <v>0</v>
      </c>
      <c r="AL28" s="61">
        <f t="shared" si="7"/>
        <v>0</v>
      </c>
      <c r="AO28" s="61">
        <f t="shared" si="14"/>
        <v>-5</v>
      </c>
      <c r="AP28" s="61">
        <f t="shared" si="15"/>
        <v>-5</v>
      </c>
      <c r="AQ28" s="61">
        <f t="shared" si="75"/>
        <v>-5</v>
      </c>
      <c r="AR28" s="61">
        <f t="shared" si="76"/>
        <v>-5</v>
      </c>
      <c r="AS28" s="61">
        <f t="shared" si="77"/>
        <v>-5</v>
      </c>
      <c r="AT28" s="61">
        <f t="shared" si="78"/>
        <v>-5</v>
      </c>
      <c r="AU28" s="61">
        <f t="shared" si="79"/>
        <v>-5</v>
      </c>
      <c r="AV28" s="61">
        <f t="shared" si="80"/>
        <v>-5</v>
      </c>
      <c r="AW28" s="61">
        <f t="shared" si="81"/>
        <v>-5</v>
      </c>
      <c r="AZ28" s="61">
        <f t="shared" si="16"/>
        <v>0</v>
      </c>
      <c r="BA28" s="61">
        <f t="shared" si="17"/>
        <v>0</v>
      </c>
      <c r="BB28" s="61">
        <f t="shared" si="18"/>
        <v>0</v>
      </c>
      <c r="BC28" s="61">
        <f t="shared" si="19"/>
        <v>0</v>
      </c>
      <c r="BD28" s="61">
        <f t="shared" si="20"/>
        <v>0</v>
      </c>
      <c r="BE28" s="61">
        <f t="shared" si="21"/>
        <v>0</v>
      </c>
      <c r="BF28" s="61">
        <f t="shared" si="22"/>
        <v>0</v>
      </c>
      <c r="BG28" s="61">
        <f t="shared" si="23"/>
        <v>0</v>
      </c>
      <c r="BH28" s="61">
        <f t="shared" si="24"/>
        <v>0</v>
      </c>
      <c r="BI28" s="61">
        <f t="shared" si="25"/>
        <v>0</v>
      </c>
      <c r="BJ28" s="61">
        <f t="shared" si="26"/>
        <v>0</v>
      </c>
      <c r="BK28" s="61">
        <f t="shared" si="27"/>
        <v>0</v>
      </c>
      <c r="BN28" s="61">
        <f t="shared" si="28"/>
        <v>0</v>
      </c>
      <c r="BO28" s="61">
        <f t="shared" si="29"/>
        <v>0</v>
      </c>
      <c r="BP28" s="61">
        <f t="shared" si="30"/>
        <v>0</v>
      </c>
      <c r="BQ28" s="61">
        <f t="shared" si="31"/>
        <v>0</v>
      </c>
      <c r="BR28" s="61">
        <f t="shared" si="32"/>
        <v>0</v>
      </c>
      <c r="BS28" s="61">
        <f t="shared" si="33"/>
        <v>0</v>
      </c>
      <c r="BT28" s="61">
        <f t="shared" si="34"/>
        <v>0</v>
      </c>
      <c r="BU28" s="61">
        <f t="shared" si="35"/>
        <v>0</v>
      </c>
      <c r="BV28" s="61">
        <f t="shared" si="36"/>
        <v>0</v>
      </c>
      <c r="BW28" s="61">
        <f t="shared" si="37"/>
        <v>0</v>
      </c>
      <c r="BX28" s="61">
        <f t="shared" si="38"/>
        <v>0</v>
      </c>
      <c r="BY28" s="61">
        <f t="shared" si="39"/>
        <v>0</v>
      </c>
      <c r="CB28" s="61">
        <f t="shared" si="40"/>
        <v>0</v>
      </c>
      <c r="CC28" s="61">
        <f t="shared" si="41"/>
        <v>0</v>
      </c>
      <c r="CD28" s="61">
        <f t="shared" si="42"/>
        <v>0</v>
      </c>
      <c r="CE28" s="61">
        <f t="shared" si="43"/>
        <v>0</v>
      </c>
      <c r="CF28" s="61">
        <f t="shared" si="44"/>
        <v>0</v>
      </c>
      <c r="CG28" s="61">
        <f t="shared" si="45"/>
        <v>0</v>
      </c>
      <c r="CH28" s="61">
        <f t="shared" si="46"/>
        <v>0</v>
      </c>
      <c r="CI28" s="61">
        <f t="shared" si="47"/>
        <v>0</v>
      </c>
      <c r="CJ28" s="61">
        <f t="shared" si="48"/>
        <v>0</v>
      </c>
      <c r="CK28" s="61">
        <f t="shared" si="49"/>
        <v>0</v>
      </c>
      <c r="CL28" s="61">
        <f t="shared" si="50"/>
        <v>0</v>
      </c>
      <c r="CM28" s="61">
        <f t="shared" si="51"/>
        <v>0</v>
      </c>
      <c r="CN28" s="61">
        <f t="shared" si="52"/>
        <v>0</v>
      </c>
      <c r="CO28" s="61">
        <f t="shared" si="53"/>
        <v>0</v>
      </c>
      <c r="CP28" s="61">
        <f t="shared" si="54"/>
        <v>0</v>
      </c>
      <c r="CQ28" s="61">
        <f t="shared" si="55"/>
        <v>0</v>
      </c>
      <c r="CR28" s="61">
        <f t="shared" si="56"/>
        <v>0</v>
      </c>
      <c r="CS28" s="61">
        <f t="shared" si="57"/>
        <v>0</v>
      </c>
      <c r="CT28" s="61">
        <f t="shared" si="58"/>
        <v>0</v>
      </c>
      <c r="CU28" s="61">
        <f t="shared" si="59"/>
        <v>0</v>
      </c>
      <c r="CV28" s="61">
        <f t="shared" si="60"/>
        <v>0</v>
      </c>
      <c r="CY28" s="61">
        <f t="shared" si="61"/>
        <v>0</v>
      </c>
      <c r="CZ28" s="61">
        <f t="shared" si="62"/>
        <v>0</v>
      </c>
      <c r="DA28" s="61">
        <f t="shared" si="63"/>
        <v>0</v>
      </c>
      <c r="DB28" s="61">
        <f t="shared" si="64"/>
        <v>0</v>
      </c>
      <c r="DC28" s="61">
        <f t="shared" si="65"/>
        <v>0</v>
      </c>
      <c r="DD28" s="61">
        <f t="shared" si="66"/>
        <v>0</v>
      </c>
      <c r="DE28" s="61">
        <f t="shared" si="67"/>
        <v>0</v>
      </c>
      <c r="DF28" s="61">
        <f t="shared" si="68"/>
        <v>0</v>
      </c>
      <c r="DG28" s="61">
        <f t="shared" si="69"/>
        <v>0</v>
      </c>
      <c r="DH28" s="61">
        <f t="shared" si="70"/>
        <v>0</v>
      </c>
      <c r="DI28" s="61">
        <f t="shared" si="71"/>
        <v>0</v>
      </c>
      <c r="DJ28" s="61">
        <f t="shared" si="72"/>
        <v>0</v>
      </c>
      <c r="DK28" s="61">
        <f t="shared" si="73"/>
        <v>0</v>
      </c>
      <c r="DL28" s="61">
        <f t="shared" si="74"/>
        <v>0</v>
      </c>
    </row>
    <row r="29" spans="1:116" x14ac:dyDescent="0.25">
      <c r="A29" s="492" t="s">
        <v>762</v>
      </c>
      <c r="B29" s="422"/>
      <c r="C29" s="420"/>
      <c r="D29" s="420"/>
      <c r="E29" s="539" t="str">
        <f>IF(D29&lt;&gt;"",IF($C29="Male",VLOOKUP(D29,Titles!$K$3:$L$70,2,FALSE),IF($C29="Female",VLOOKUP(D29,Titles!$P$3:$Q$68,2,FALSE),"")),"")</f>
        <v/>
      </c>
      <c r="F29" s="420"/>
      <c r="G29" s="420"/>
      <c r="H29" s="420"/>
      <c r="I29" s="420"/>
      <c r="J29" s="420"/>
      <c r="K29" s="420"/>
      <c r="L29" s="420"/>
      <c r="M29" s="420"/>
      <c r="N29" s="421"/>
      <c r="O29" s="421"/>
      <c r="P29" s="421"/>
      <c r="Q29" s="421"/>
      <c r="R29" s="421"/>
      <c r="S29" s="421"/>
      <c r="T29" s="421"/>
      <c r="U29" s="421"/>
      <c r="V29" s="421"/>
      <c r="W29" s="421"/>
      <c r="X29" s="421"/>
      <c r="Y29" s="421"/>
      <c r="Z29" s="421"/>
      <c r="AA29" s="421"/>
      <c r="AB29" s="423"/>
      <c r="AD29" s="61">
        <f t="shared" si="13"/>
        <v>0</v>
      </c>
      <c r="AE29" s="61">
        <f t="shared" si="0"/>
        <v>0</v>
      </c>
      <c r="AF29" s="61">
        <f t="shared" si="1"/>
        <v>0</v>
      </c>
      <c r="AG29" s="61">
        <f t="shared" si="2"/>
        <v>0</v>
      </c>
      <c r="AH29" s="61">
        <f t="shared" si="3"/>
        <v>0</v>
      </c>
      <c r="AI29" s="61">
        <f t="shared" si="4"/>
        <v>0</v>
      </c>
      <c r="AJ29" s="61">
        <f t="shared" si="5"/>
        <v>0</v>
      </c>
      <c r="AK29" s="61">
        <f t="shared" si="6"/>
        <v>0</v>
      </c>
      <c r="AL29" s="61">
        <f t="shared" si="7"/>
        <v>0</v>
      </c>
      <c r="AO29" s="61">
        <f t="shared" si="14"/>
        <v>-5</v>
      </c>
      <c r="AP29" s="61">
        <f t="shared" si="15"/>
        <v>-5</v>
      </c>
      <c r="AQ29" s="61">
        <f t="shared" si="75"/>
        <v>-5</v>
      </c>
      <c r="AR29" s="61">
        <f t="shared" si="76"/>
        <v>-5</v>
      </c>
      <c r="AS29" s="61">
        <f t="shared" si="77"/>
        <v>-5</v>
      </c>
      <c r="AT29" s="61">
        <f t="shared" si="78"/>
        <v>-5</v>
      </c>
      <c r="AU29" s="61">
        <f t="shared" si="79"/>
        <v>-5</v>
      </c>
      <c r="AV29" s="61">
        <f t="shared" si="80"/>
        <v>-5</v>
      </c>
      <c r="AW29" s="61">
        <f t="shared" si="81"/>
        <v>-5</v>
      </c>
      <c r="AZ29" s="61">
        <f t="shared" si="16"/>
        <v>0</v>
      </c>
      <c r="BA29" s="61">
        <f t="shared" si="17"/>
        <v>0</v>
      </c>
      <c r="BB29" s="61">
        <f t="shared" si="18"/>
        <v>0</v>
      </c>
      <c r="BC29" s="61">
        <f t="shared" si="19"/>
        <v>0</v>
      </c>
      <c r="BD29" s="61">
        <f t="shared" si="20"/>
        <v>0</v>
      </c>
      <c r="BE29" s="61">
        <f t="shared" si="21"/>
        <v>0</v>
      </c>
      <c r="BF29" s="61">
        <f t="shared" si="22"/>
        <v>0</v>
      </c>
      <c r="BG29" s="61">
        <f t="shared" si="23"/>
        <v>0</v>
      </c>
      <c r="BH29" s="61">
        <f t="shared" si="24"/>
        <v>0</v>
      </c>
      <c r="BI29" s="61">
        <f t="shared" si="25"/>
        <v>0</v>
      </c>
      <c r="BJ29" s="61">
        <f t="shared" si="26"/>
        <v>0</v>
      </c>
      <c r="BK29" s="61">
        <f t="shared" si="27"/>
        <v>0</v>
      </c>
      <c r="BN29" s="61">
        <f t="shared" si="28"/>
        <v>0</v>
      </c>
      <c r="BO29" s="61">
        <f t="shared" si="29"/>
        <v>0</v>
      </c>
      <c r="BP29" s="61">
        <f t="shared" si="30"/>
        <v>0</v>
      </c>
      <c r="BQ29" s="61">
        <f t="shared" si="31"/>
        <v>0</v>
      </c>
      <c r="BR29" s="61">
        <f t="shared" si="32"/>
        <v>0</v>
      </c>
      <c r="BS29" s="61">
        <f t="shared" si="33"/>
        <v>0</v>
      </c>
      <c r="BT29" s="61">
        <f t="shared" si="34"/>
        <v>0</v>
      </c>
      <c r="BU29" s="61">
        <f t="shared" si="35"/>
        <v>0</v>
      </c>
      <c r="BV29" s="61">
        <f t="shared" si="36"/>
        <v>0</v>
      </c>
      <c r="BW29" s="61">
        <f t="shared" si="37"/>
        <v>0</v>
      </c>
      <c r="BX29" s="61">
        <f t="shared" si="38"/>
        <v>0</v>
      </c>
      <c r="BY29" s="61">
        <f t="shared" si="39"/>
        <v>0</v>
      </c>
      <c r="CB29" s="61">
        <f t="shared" si="40"/>
        <v>0</v>
      </c>
      <c r="CC29" s="61">
        <f t="shared" si="41"/>
        <v>0</v>
      </c>
      <c r="CD29" s="61">
        <f t="shared" si="42"/>
        <v>0</v>
      </c>
      <c r="CE29" s="61">
        <f t="shared" si="43"/>
        <v>0</v>
      </c>
      <c r="CF29" s="61">
        <f t="shared" si="44"/>
        <v>0</v>
      </c>
      <c r="CG29" s="61">
        <f t="shared" si="45"/>
        <v>0</v>
      </c>
      <c r="CH29" s="61">
        <f t="shared" si="46"/>
        <v>0</v>
      </c>
      <c r="CI29" s="61">
        <f t="shared" si="47"/>
        <v>0</v>
      </c>
      <c r="CJ29" s="61">
        <f t="shared" si="48"/>
        <v>0</v>
      </c>
      <c r="CK29" s="61">
        <f t="shared" si="49"/>
        <v>0</v>
      </c>
      <c r="CL29" s="61">
        <f t="shared" si="50"/>
        <v>0</v>
      </c>
      <c r="CM29" s="61">
        <f t="shared" si="51"/>
        <v>0</v>
      </c>
      <c r="CN29" s="61">
        <f t="shared" si="52"/>
        <v>0</v>
      </c>
      <c r="CO29" s="61">
        <f t="shared" si="53"/>
        <v>0</v>
      </c>
      <c r="CP29" s="61">
        <f t="shared" si="54"/>
        <v>0</v>
      </c>
      <c r="CQ29" s="61">
        <f t="shared" si="55"/>
        <v>0</v>
      </c>
      <c r="CR29" s="61">
        <f t="shared" si="56"/>
        <v>0</v>
      </c>
      <c r="CS29" s="61">
        <f t="shared" si="57"/>
        <v>0</v>
      </c>
      <c r="CT29" s="61">
        <f t="shared" si="58"/>
        <v>0</v>
      </c>
      <c r="CU29" s="61">
        <f t="shared" si="59"/>
        <v>0</v>
      </c>
      <c r="CV29" s="61">
        <f t="shared" si="60"/>
        <v>0</v>
      </c>
      <c r="CY29" s="61">
        <f t="shared" si="61"/>
        <v>0</v>
      </c>
      <c r="CZ29" s="61">
        <f t="shared" si="62"/>
        <v>0</v>
      </c>
      <c r="DA29" s="61">
        <f t="shared" si="63"/>
        <v>0</v>
      </c>
      <c r="DB29" s="61">
        <f t="shared" si="64"/>
        <v>0</v>
      </c>
      <c r="DC29" s="61">
        <f t="shared" si="65"/>
        <v>0</v>
      </c>
      <c r="DD29" s="61">
        <f t="shared" si="66"/>
        <v>0</v>
      </c>
      <c r="DE29" s="61">
        <f t="shared" si="67"/>
        <v>0</v>
      </c>
      <c r="DF29" s="61">
        <f t="shared" si="68"/>
        <v>0</v>
      </c>
      <c r="DG29" s="61">
        <f t="shared" si="69"/>
        <v>0</v>
      </c>
      <c r="DH29" s="61">
        <f t="shared" si="70"/>
        <v>0</v>
      </c>
      <c r="DI29" s="61">
        <f t="shared" si="71"/>
        <v>0</v>
      </c>
      <c r="DJ29" s="61">
        <f t="shared" si="72"/>
        <v>0</v>
      </c>
      <c r="DK29" s="61">
        <f t="shared" si="73"/>
        <v>0</v>
      </c>
      <c r="DL29" s="61">
        <f t="shared" si="74"/>
        <v>0</v>
      </c>
    </row>
    <row r="30" spans="1:116" x14ac:dyDescent="0.25">
      <c r="A30" s="492" t="s">
        <v>762</v>
      </c>
      <c r="B30" s="422"/>
      <c r="C30" s="420"/>
      <c r="D30" s="420"/>
      <c r="E30" s="539" t="str">
        <f>IF(D30&lt;&gt;"",IF($C30="Male",VLOOKUP(D30,Titles!$K$3:$L$70,2,FALSE),IF($C30="Female",VLOOKUP(D30,Titles!$P$3:$Q$68,2,FALSE),"")),"")</f>
        <v/>
      </c>
      <c r="F30" s="420"/>
      <c r="G30" s="420"/>
      <c r="H30" s="420"/>
      <c r="I30" s="420"/>
      <c r="J30" s="420"/>
      <c r="K30" s="420"/>
      <c r="L30" s="420"/>
      <c r="M30" s="420"/>
      <c r="N30" s="421"/>
      <c r="O30" s="421"/>
      <c r="P30" s="421"/>
      <c r="Q30" s="421"/>
      <c r="R30" s="421"/>
      <c r="S30" s="421"/>
      <c r="T30" s="421"/>
      <c r="U30" s="421"/>
      <c r="V30" s="421"/>
      <c r="W30" s="421"/>
      <c r="X30" s="421"/>
      <c r="Y30" s="421"/>
      <c r="Z30" s="421"/>
      <c r="AA30" s="421"/>
      <c r="AB30" s="423"/>
      <c r="AD30" s="61">
        <f t="shared" si="13"/>
        <v>0</v>
      </c>
      <c r="AE30" s="61">
        <f t="shared" si="0"/>
        <v>0</v>
      </c>
      <c r="AF30" s="61">
        <f t="shared" si="1"/>
        <v>0</v>
      </c>
      <c r="AG30" s="61">
        <f t="shared" si="2"/>
        <v>0</v>
      </c>
      <c r="AH30" s="61">
        <f t="shared" si="3"/>
        <v>0</v>
      </c>
      <c r="AI30" s="61">
        <f t="shared" si="4"/>
        <v>0</v>
      </c>
      <c r="AJ30" s="61">
        <f t="shared" si="5"/>
        <v>0</v>
      </c>
      <c r="AK30" s="61">
        <f t="shared" si="6"/>
        <v>0</v>
      </c>
      <c r="AL30" s="61">
        <f t="shared" si="7"/>
        <v>0</v>
      </c>
      <c r="AO30" s="61">
        <f t="shared" si="14"/>
        <v>-5</v>
      </c>
      <c r="AP30" s="61">
        <f t="shared" si="15"/>
        <v>-5</v>
      </c>
      <c r="AQ30" s="61">
        <f t="shared" si="75"/>
        <v>-5</v>
      </c>
      <c r="AR30" s="61">
        <f t="shared" si="76"/>
        <v>-5</v>
      </c>
      <c r="AS30" s="61">
        <f t="shared" si="77"/>
        <v>-5</v>
      </c>
      <c r="AT30" s="61">
        <f t="shared" si="78"/>
        <v>-5</v>
      </c>
      <c r="AU30" s="61">
        <f t="shared" si="79"/>
        <v>-5</v>
      </c>
      <c r="AV30" s="61">
        <f t="shared" si="80"/>
        <v>-5</v>
      </c>
      <c r="AW30" s="61">
        <f t="shared" si="81"/>
        <v>-5</v>
      </c>
      <c r="AZ30" s="61">
        <f t="shared" si="16"/>
        <v>0</v>
      </c>
      <c r="BA30" s="61">
        <f t="shared" si="17"/>
        <v>0</v>
      </c>
      <c r="BB30" s="61">
        <f t="shared" si="18"/>
        <v>0</v>
      </c>
      <c r="BC30" s="61">
        <f t="shared" si="19"/>
        <v>0</v>
      </c>
      <c r="BD30" s="61">
        <f t="shared" si="20"/>
        <v>0</v>
      </c>
      <c r="BE30" s="61">
        <f t="shared" si="21"/>
        <v>0</v>
      </c>
      <c r="BF30" s="61">
        <f t="shared" si="22"/>
        <v>0</v>
      </c>
      <c r="BG30" s="61">
        <f t="shared" si="23"/>
        <v>0</v>
      </c>
      <c r="BH30" s="61">
        <f t="shared" si="24"/>
        <v>0</v>
      </c>
      <c r="BI30" s="61">
        <f t="shared" si="25"/>
        <v>0</v>
      </c>
      <c r="BJ30" s="61">
        <f t="shared" si="26"/>
        <v>0</v>
      </c>
      <c r="BK30" s="61">
        <f t="shared" si="27"/>
        <v>0</v>
      </c>
      <c r="BN30" s="61">
        <f t="shared" si="28"/>
        <v>0</v>
      </c>
      <c r="BO30" s="61">
        <f t="shared" si="29"/>
        <v>0</v>
      </c>
      <c r="BP30" s="61">
        <f t="shared" si="30"/>
        <v>0</v>
      </c>
      <c r="BQ30" s="61">
        <f t="shared" si="31"/>
        <v>0</v>
      </c>
      <c r="BR30" s="61">
        <f t="shared" si="32"/>
        <v>0</v>
      </c>
      <c r="BS30" s="61">
        <f t="shared" si="33"/>
        <v>0</v>
      </c>
      <c r="BT30" s="61">
        <f t="shared" si="34"/>
        <v>0</v>
      </c>
      <c r="BU30" s="61">
        <f t="shared" si="35"/>
        <v>0</v>
      </c>
      <c r="BV30" s="61">
        <f t="shared" si="36"/>
        <v>0</v>
      </c>
      <c r="BW30" s="61">
        <f t="shared" si="37"/>
        <v>0</v>
      </c>
      <c r="BX30" s="61">
        <f t="shared" si="38"/>
        <v>0</v>
      </c>
      <c r="BY30" s="61">
        <f t="shared" si="39"/>
        <v>0</v>
      </c>
      <c r="CB30" s="61">
        <f t="shared" si="40"/>
        <v>0</v>
      </c>
      <c r="CC30" s="61">
        <f t="shared" si="41"/>
        <v>0</v>
      </c>
      <c r="CD30" s="61">
        <f t="shared" si="42"/>
        <v>0</v>
      </c>
      <c r="CE30" s="61">
        <f t="shared" si="43"/>
        <v>0</v>
      </c>
      <c r="CF30" s="61">
        <f t="shared" si="44"/>
        <v>0</v>
      </c>
      <c r="CG30" s="61">
        <f t="shared" si="45"/>
        <v>0</v>
      </c>
      <c r="CH30" s="61">
        <f t="shared" si="46"/>
        <v>0</v>
      </c>
      <c r="CI30" s="61">
        <f t="shared" si="47"/>
        <v>0</v>
      </c>
      <c r="CJ30" s="61">
        <f t="shared" si="48"/>
        <v>0</v>
      </c>
      <c r="CK30" s="61">
        <f t="shared" si="49"/>
        <v>0</v>
      </c>
      <c r="CL30" s="61">
        <f t="shared" si="50"/>
        <v>0</v>
      </c>
      <c r="CM30" s="61">
        <f t="shared" si="51"/>
        <v>0</v>
      </c>
      <c r="CN30" s="61">
        <f t="shared" si="52"/>
        <v>0</v>
      </c>
      <c r="CO30" s="61">
        <f t="shared" si="53"/>
        <v>0</v>
      </c>
      <c r="CP30" s="61">
        <f t="shared" si="54"/>
        <v>0</v>
      </c>
      <c r="CQ30" s="61">
        <f t="shared" si="55"/>
        <v>0</v>
      </c>
      <c r="CR30" s="61">
        <f t="shared" si="56"/>
        <v>0</v>
      </c>
      <c r="CS30" s="61">
        <f t="shared" si="57"/>
        <v>0</v>
      </c>
      <c r="CT30" s="61">
        <f t="shared" si="58"/>
        <v>0</v>
      </c>
      <c r="CU30" s="61">
        <f t="shared" si="59"/>
        <v>0</v>
      </c>
      <c r="CV30" s="61">
        <f t="shared" si="60"/>
        <v>0</v>
      </c>
      <c r="CY30" s="61">
        <f t="shared" si="61"/>
        <v>0</v>
      </c>
      <c r="CZ30" s="61">
        <f t="shared" si="62"/>
        <v>0</v>
      </c>
      <c r="DA30" s="61">
        <f t="shared" si="63"/>
        <v>0</v>
      </c>
      <c r="DB30" s="61">
        <f t="shared" si="64"/>
        <v>0</v>
      </c>
      <c r="DC30" s="61">
        <f t="shared" si="65"/>
        <v>0</v>
      </c>
      <c r="DD30" s="61">
        <f t="shared" si="66"/>
        <v>0</v>
      </c>
      <c r="DE30" s="61">
        <f t="shared" si="67"/>
        <v>0</v>
      </c>
      <c r="DF30" s="61">
        <f t="shared" si="68"/>
        <v>0</v>
      </c>
      <c r="DG30" s="61">
        <f t="shared" si="69"/>
        <v>0</v>
      </c>
      <c r="DH30" s="61">
        <f t="shared" si="70"/>
        <v>0</v>
      </c>
      <c r="DI30" s="61">
        <f t="shared" si="71"/>
        <v>0</v>
      </c>
      <c r="DJ30" s="61">
        <f t="shared" si="72"/>
        <v>0</v>
      </c>
      <c r="DK30" s="61">
        <f t="shared" si="73"/>
        <v>0</v>
      </c>
      <c r="DL30" s="61">
        <f t="shared" si="74"/>
        <v>0</v>
      </c>
    </row>
    <row r="31" spans="1:116" x14ac:dyDescent="0.25">
      <c r="A31" s="492" t="s">
        <v>762</v>
      </c>
      <c r="B31" s="422"/>
      <c r="C31" s="420"/>
      <c r="D31" s="420"/>
      <c r="E31" s="539" t="str">
        <f>IF(D31&lt;&gt;"",IF($C31="Male",VLOOKUP(D31,Titles!$K$3:$L$70,2,FALSE),IF($C31="Female",VLOOKUP(D31,Titles!$P$3:$Q$68,2,FALSE),"")),"")</f>
        <v/>
      </c>
      <c r="F31" s="420"/>
      <c r="G31" s="420"/>
      <c r="H31" s="420"/>
      <c r="I31" s="420"/>
      <c r="J31" s="420"/>
      <c r="K31" s="420"/>
      <c r="L31" s="420"/>
      <c r="M31" s="420"/>
      <c r="N31" s="421"/>
      <c r="O31" s="421"/>
      <c r="P31" s="421"/>
      <c r="Q31" s="421"/>
      <c r="R31" s="421"/>
      <c r="S31" s="421"/>
      <c r="T31" s="421"/>
      <c r="U31" s="421"/>
      <c r="V31" s="421"/>
      <c r="W31" s="421"/>
      <c r="X31" s="421"/>
      <c r="Y31" s="421"/>
      <c r="Z31" s="421"/>
      <c r="AA31" s="421"/>
      <c r="AB31" s="423"/>
      <c r="AD31" s="61">
        <f t="shared" si="13"/>
        <v>0</v>
      </c>
      <c r="AE31" s="61">
        <f t="shared" si="0"/>
        <v>0</v>
      </c>
      <c r="AF31" s="61">
        <f t="shared" si="1"/>
        <v>0</v>
      </c>
      <c r="AG31" s="61">
        <f t="shared" si="2"/>
        <v>0</v>
      </c>
      <c r="AH31" s="61">
        <f t="shared" si="3"/>
        <v>0</v>
      </c>
      <c r="AI31" s="61">
        <f t="shared" si="4"/>
        <v>0</v>
      </c>
      <c r="AJ31" s="61">
        <f t="shared" si="5"/>
        <v>0</v>
      </c>
      <c r="AK31" s="61">
        <f t="shared" si="6"/>
        <v>0</v>
      </c>
      <c r="AL31" s="61">
        <f t="shared" si="7"/>
        <v>0</v>
      </c>
      <c r="AO31" s="61">
        <f t="shared" si="14"/>
        <v>-5</v>
      </c>
      <c r="AP31" s="61">
        <f t="shared" si="15"/>
        <v>-5</v>
      </c>
      <c r="AQ31" s="61">
        <f t="shared" si="75"/>
        <v>-5</v>
      </c>
      <c r="AR31" s="61">
        <f t="shared" si="76"/>
        <v>-5</v>
      </c>
      <c r="AS31" s="61">
        <f t="shared" si="77"/>
        <v>-5</v>
      </c>
      <c r="AT31" s="61">
        <f t="shared" si="78"/>
        <v>-5</v>
      </c>
      <c r="AU31" s="61">
        <f t="shared" si="79"/>
        <v>-5</v>
      </c>
      <c r="AV31" s="61">
        <f t="shared" si="80"/>
        <v>-5</v>
      </c>
      <c r="AW31" s="61">
        <f t="shared" si="81"/>
        <v>-5</v>
      </c>
      <c r="AZ31" s="61">
        <f t="shared" si="16"/>
        <v>0</v>
      </c>
      <c r="BA31" s="61">
        <f t="shared" si="17"/>
        <v>0</v>
      </c>
      <c r="BB31" s="61">
        <f t="shared" si="18"/>
        <v>0</v>
      </c>
      <c r="BC31" s="61">
        <f t="shared" si="19"/>
        <v>0</v>
      </c>
      <c r="BD31" s="61">
        <f t="shared" si="20"/>
        <v>0</v>
      </c>
      <c r="BE31" s="61">
        <f t="shared" si="21"/>
        <v>0</v>
      </c>
      <c r="BF31" s="61">
        <f t="shared" si="22"/>
        <v>0</v>
      </c>
      <c r="BG31" s="61">
        <f t="shared" si="23"/>
        <v>0</v>
      </c>
      <c r="BH31" s="61">
        <f t="shared" si="24"/>
        <v>0</v>
      </c>
      <c r="BI31" s="61">
        <f t="shared" si="25"/>
        <v>0</v>
      </c>
      <c r="BJ31" s="61">
        <f t="shared" si="26"/>
        <v>0</v>
      </c>
      <c r="BK31" s="61">
        <f t="shared" si="27"/>
        <v>0</v>
      </c>
      <c r="BN31" s="61">
        <f t="shared" si="28"/>
        <v>0</v>
      </c>
      <c r="BO31" s="61">
        <f t="shared" si="29"/>
        <v>0</v>
      </c>
      <c r="BP31" s="61">
        <f t="shared" si="30"/>
        <v>0</v>
      </c>
      <c r="BQ31" s="61">
        <f t="shared" si="31"/>
        <v>0</v>
      </c>
      <c r="BR31" s="61">
        <f t="shared" si="32"/>
        <v>0</v>
      </c>
      <c r="BS31" s="61">
        <f t="shared" si="33"/>
        <v>0</v>
      </c>
      <c r="BT31" s="61">
        <f t="shared" si="34"/>
        <v>0</v>
      </c>
      <c r="BU31" s="61">
        <f t="shared" si="35"/>
        <v>0</v>
      </c>
      <c r="BV31" s="61">
        <f t="shared" si="36"/>
        <v>0</v>
      </c>
      <c r="BW31" s="61">
        <f t="shared" si="37"/>
        <v>0</v>
      </c>
      <c r="BX31" s="61">
        <f t="shared" si="38"/>
        <v>0</v>
      </c>
      <c r="BY31" s="61">
        <f t="shared" si="39"/>
        <v>0</v>
      </c>
      <c r="CB31" s="61">
        <f t="shared" si="40"/>
        <v>0</v>
      </c>
      <c r="CC31" s="61">
        <f t="shared" si="41"/>
        <v>0</v>
      </c>
      <c r="CD31" s="61">
        <f t="shared" si="42"/>
        <v>0</v>
      </c>
      <c r="CE31" s="61">
        <f t="shared" si="43"/>
        <v>0</v>
      </c>
      <c r="CF31" s="61">
        <f t="shared" si="44"/>
        <v>0</v>
      </c>
      <c r="CG31" s="61">
        <f t="shared" si="45"/>
        <v>0</v>
      </c>
      <c r="CH31" s="61">
        <f t="shared" si="46"/>
        <v>0</v>
      </c>
      <c r="CI31" s="61">
        <f t="shared" si="47"/>
        <v>0</v>
      </c>
      <c r="CJ31" s="61">
        <f t="shared" si="48"/>
        <v>0</v>
      </c>
      <c r="CK31" s="61">
        <f t="shared" si="49"/>
        <v>0</v>
      </c>
      <c r="CL31" s="61">
        <f t="shared" si="50"/>
        <v>0</v>
      </c>
      <c r="CM31" s="61">
        <f t="shared" si="51"/>
        <v>0</v>
      </c>
      <c r="CN31" s="61">
        <f t="shared" si="52"/>
        <v>0</v>
      </c>
      <c r="CO31" s="61">
        <f t="shared" si="53"/>
        <v>0</v>
      </c>
      <c r="CP31" s="61">
        <f t="shared" si="54"/>
        <v>0</v>
      </c>
      <c r="CQ31" s="61">
        <f t="shared" si="55"/>
        <v>0</v>
      </c>
      <c r="CR31" s="61">
        <f t="shared" si="56"/>
        <v>0</v>
      </c>
      <c r="CS31" s="61">
        <f t="shared" si="57"/>
        <v>0</v>
      </c>
      <c r="CT31" s="61">
        <f t="shared" si="58"/>
        <v>0</v>
      </c>
      <c r="CU31" s="61">
        <f t="shared" si="59"/>
        <v>0</v>
      </c>
      <c r="CV31" s="61">
        <f t="shared" si="60"/>
        <v>0</v>
      </c>
      <c r="CY31" s="61">
        <f t="shared" si="61"/>
        <v>0</v>
      </c>
      <c r="CZ31" s="61">
        <f t="shared" si="62"/>
        <v>0</v>
      </c>
      <c r="DA31" s="61">
        <f t="shared" si="63"/>
        <v>0</v>
      </c>
      <c r="DB31" s="61">
        <f t="shared" si="64"/>
        <v>0</v>
      </c>
      <c r="DC31" s="61">
        <f t="shared" si="65"/>
        <v>0</v>
      </c>
      <c r="DD31" s="61">
        <f t="shared" si="66"/>
        <v>0</v>
      </c>
      <c r="DE31" s="61">
        <f t="shared" si="67"/>
        <v>0</v>
      </c>
      <c r="DF31" s="61">
        <f t="shared" si="68"/>
        <v>0</v>
      </c>
      <c r="DG31" s="61">
        <f t="shared" si="69"/>
        <v>0</v>
      </c>
      <c r="DH31" s="61">
        <f t="shared" si="70"/>
        <v>0</v>
      </c>
      <c r="DI31" s="61">
        <f t="shared" si="71"/>
        <v>0</v>
      </c>
      <c r="DJ31" s="61">
        <f t="shared" si="72"/>
        <v>0</v>
      </c>
      <c r="DK31" s="61">
        <f t="shared" si="73"/>
        <v>0</v>
      </c>
      <c r="DL31" s="61">
        <f t="shared" si="74"/>
        <v>0</v>
      </c>
    </row>
    <row r="32" spans="1:116" x14ac:dyDescent="0.25">
      <c r="A32" s="492" t="s">
        <v>762</v>
      </c>
      <c r="B32" s="422"/>
      <c r="C32" s="420"/>
      <c r="D32" s="420"/>
      <c r="E32" s="539" t="str">
        <f>IF(D32&lt;&gt;"",IF($C32="Male",VLOOKUP(D32,Titles!$K$3:$L$70,2,FALSE),IF($C32="Female",VLOOKUP(D32,Titles!$P$3:$Q$68,2,FALSE),"")),"")</f>
        <v/>
      </c>
      <c r="F32" s="420"/>
      <c r="G32" s="420"/>
      <c r="H32" s="420"/>
      <c r="I32" s="420"/>
      <c r="J32" s="420"/>
      <c r="K32" s="420"/>
      <c r="L32" s="420"/>
      <c r="M32" s="420"/>
      <c r="N32" s="421"/>
      <c r="O32" s="421"/>
      <c r="P32" s="421"/>
      <c r="Q32" s="421"/>
      <c r="R32" s="421"/>
      <c r="S32" s="421"/>
      <c r="T32" s="421"/>
      <c r="U32" s="421"/>
      <c r="V32" s="421"/>
      <c r="W32" s="421"/>
      <c r="X32" s="421"/>
      <c r="Y32" s="421"/>
      <c r="Z32" s="421"/>
      <c r="AA32" s="421"/>
      <c r="AB32" s="423"/>
      <c r="AD32" s="61">
        <f t="shared" si="13"/>
        <v>0</v>
      </c>
      <c r="AE32" s="61">
        <f t="shared" si="0"/>
        <v>0</v>
      </c>
      <c r="AF32" s="61">
        <f t="shared" si="1"/>
        <v>0</v>
      </c>
      <c r="AG32" s="61">
        <f t="shared" si="2"/>
        <v>0</v>
      </c>
      <c r="AH32" s="61">
        <f t="shared" si="3"/>
        <v>0</v>
      </c>
      <c r="AI32" s="61">
        <f t="shared" si="4"/>
        <v>0</v>
      </c>
      <c r="AJ32" s="61">
        <f t="shared" si="5"/>
        <v>0</v>
      </c>
      <c r="AK32" s="61">
        <f t="shared" si="6"/>
        <v>0</v>
      </c>
      <c r="AL32" s="61">
        <f t="shared" si="7"/>
        <v>0</v>
      </c>
      <c r="AO32" s="61">
        <f t="shared" si="14"/>
        <v>-5</v>
      </c>
      <c r="AP32" s="61">
        <f t="shared" si="15"/>
        <v>-5</v>
      </c>
      <c r="AQ32" s="61">
        <f t="shared" si="75"/>
        <v>-5</v>
      </c>
      <c r="AR32" s="61">
        <f t="shared" si="76"/>
        <v>-5</v>
      </c>
      <c r="AS32" s="61">
        <f t="shared" si="77"/>
        <v>-5</v>
      </c>
      <c r="AT32" s="61">
        <f t="shared" si="78"/>
        <v>-5</v>
      </c>
      <c r="AU32" s="61">
        <f t="shared" si="79"/>
        <v>-5</v>
      </c>
      <c r="AV32" s="61">
        <f t="shared" si="80"/>
        <v>-5</v>
      </c>
      <c r="AW32" s="61">
        <f t="shared" si="81"/>
        <v>-5</v>
      </c>
      <c r="AZ32" s="61">
        <f t="shared" si="16"/>
        <v>0</v>
      </c>
      <c r="BA32" s="61">
        <f t="shared" si="17"/>
        <v>0</v>
      </c>
      <c r="BB32" s="61">
        <f t="shared" si="18"/>
        <v>0</v>
      </c>
      <c r="BC32" s="61">
        <f t="shared" si="19"/>
        <v>0</v>
      </c>
      <c r="BD32" s="61">
        <f t="shared" si="20"/>
        <v>0</v>
      </c>
      <c r="BE32" s="61">
        <f t="shared" si="21"/>
        <v>0</v>
      </c>
      <c r="BF32" s="61">
        <f t="shared" si="22"/>
        <v>0</v>
      </c>
      <c r="BG32" s="61">
        <f t="shared" si="23"/>
        <v>0</v>
      </c>
      <c r="BH32" s="61">
        <f t="shared" si="24"/>
        <v>0</v>
      </c>
      <c r="BI32" s="61">
        <f t="shared" si="25"/>
        <v>0</v>
      </c>
      <c r="BJ32" s="61">
        <f t="shared" si="26"/>
        <v>0</v>
      </c>
      <c r="BK32" s="61">
        <f t="shared" si="27"/>
        <v>0</v>
      </c>
      <c r="BN32" s="61">
        <f t="shared" si="28"/>
        <v>0</v>
      </c>
      <c r="BO32" s="61">
        <f t="shared" si="29"/>
        <v>0</v>
      </c>
      <c r="BP32" s="61">
        <f t="shared" si="30"/>
        <v>0</v>
      </c>
      <c r="BQ32" s="61">
        <f t="shared" si="31"/>
        <v>0</v>
      </c>
      <c r="BR32" s="61">
        <f t="shared" si="32"/>
        <v>0</v>
      </c>
      <c r="BS32" s="61">
        <f t="shared" si="33"/>
        <v>0</v>
      </c>
      <c r="BT32" s="61">
        <f t="shared" si="34"/>
        <v>0</v>
      </c>
      <c r="BU32" s="61">
        <f t="shared" si="35"/>
        <v>0</v>
      </c>
      <c r="BV32" s="61">
        <f t="shared" si="36"/>
        <v>0</v>
      </c>
      <c r="BW32" s="61">
        <f t="shared" si="37"/>
        <v>0</v>
      </c>
      <c r="BX32" s="61">
        <f t="shared" si="38"/>
        <v>0</v>
      </c>
      <c r="BY32" s="61">
        <f t="shared" si="39"/>
        <v>0</v>
      </c>
      <c r="CB32" s="61">
        <f t="shared" si="40"/>
        <v>0</v>
      </c>
      <c r="CC32" s="61">
        <f t="shared" si="41"/>
        <v>0</v>
      </c>
      <c r="CD32" s="61">
        <f t="shared" si="42"/>
        <v>0</v>
      </c>
      <c r="CE32" s="61">
        <f t="shared" si="43"/>
        <v>0</v>
      </c>
      <c r="CF32" s="61">
        <f t="shared" si="44"/>
        <v>0</v>
      </c>
      <c r="CG32" s="61">
        <f t="shared" si="45"/>
        <v>0</v>
      </c>
      <c r="CH32" s="61">
        <f t="shared" si="46"/>
        <v>0</v>
      </c>
      <c r="CI32" s="61">
        <f t="shared" si="47"/>
        <v>0</v>
      </c>
      <c r="CJ32" s="61">
        <f t="shared" si="48"/>
        <v>0</v>
      </c>
      <c r="CK32" s="61">
        <f t="shared" si="49"/>
        <v>0</v>
      </c>
      <c r="CL32" s="61">
        <f t="shared" si="50"/>
        <v>0</v>
      </c>
      <c r="CM32" s="61">
        <f t="shared" si="51"/>
        <v>0</v>
      </c>
      <c r="CN32" s="61">
        <f t="shared" si="52"/>
        <v>0</v>
      </c>
      <c r="CO32" s="61">
        <f t="shared" si="53"/>
        <v>0</v>
      </c>
      <c r="CP32" s="61">
        <f t="shared" si="54"/>
        <v>0</v>
      </c>
      <c r="CQ32" s="61">
        <f t="shared" si="55"/>
        <v>0</v>
      </c>
      <c r="CR32" s="61">
        <f t="shared" si="56"/>
        <v>0</v>
      </c>
      <c r="CS32" s="61">
        <f t="shared" si="57"/>
        <v>0</v>
      </c>
      <c r="CT32" s="61">
        <f t="shared" si="58"/>
        <v>0</v>
      </c>
      <c r="CU32" s="61">
        <f t="shared" si="59"/>
        <v>0</v>
      </c>
      <c r="CV32" s="61">
        <f t="shared" si="60"/>
        <v>0</v>
      </c>
      <c r="CY32" s="61">
        <f t="shared" si="61"/>
        <v>0</v>
      </c>
      <c r="CZ32" s="61">
        <f t="shared" si="62"/>
        <v>0</v>
      </c>
      <c r="DA32" s="61">
        <f t="shared" si="63"/>
        <v>0</v>
      </c>
      <c r="DB32" s="61">
        <f t="shared" si="64"/>
        <v>0</v>
      </c>
      <c r="DC32" s="61">
        <f t="shared" si="65"/>
        <v>0</v>
      </c>
      <c r="DD32" s="61">
        <f t="shared" si="66"/>
        <v>0</v>
      </c>
      <c r="DE32" s="61">
        <f t="shared" si="67"/>
        <v>0</v>
      </c>
      <c r="DF32" s="61">
        <f t="shared" si="68"/>
        <v>0</v>
      </c>
      <c r="DG32" s="61">
        <f t="shared" si="69"/>
        <v>0</v>
      </c>
      <c r="DH32" s="61">
        <f t="shared" si="70"/>
        <v>0</v>
      </c>
      <c r="DI32" s="61">
        <f t="shared" si="71"/>
        <v>0</v>
      </c>
      <c r="DJ32" s="61">
        <f t="shared" si="72"/>
        <v>0</v>
      </c>
      <c r="DK32" s="61">
        <f t="shared" si="73"/>
        <v>0</v>
      </c>
      <c r="DL32" s="61">
        <f t="shared" si="74"/>
        <v>0</v>
      </c>
    </row>
    <row r="33" spans="1:116" x14ac:dyDescent="0.25">
      <c r="A33" s="492" t="s">
        <v>762</v>
      </c>
      <c r="B33" s="422"/>
      <c r="C33" s="420"/>
      <c r="D33" s="420"/>
      <c r="E33" s="539" t="str">
        <f>IF(D33&lt;&gt;"",IF($C33="Male",VLOOKUP(D33,Titles!$K$3:$L$70,2,FALSE),IF($C33="Female",VLOOKUP(D33,Titles!$P$3:$Q$68,2,FALSE),"")),"")</f>
        <v/>
      </c>
      <c r="F33" s="420"/>
      <c r="G33" s="420"/>
      <c r="H33" s="420"/>
      <c r="I33" s="420"/>
      <c r="J33" s="420"/>
      <c r="K33" s="420"/>
      <c r="L33" s="420"/>
      <c r="M33" s="420"/>
      <c r="N33" s="421"/>
      <c r="O33" s="421"/>
      <c r="P33" s="421"/>
      <c r="Q33" s="421"/>
      <c r="R33" s="421"/>
      <c r="S33" s="421"/>
      <c r="T33" s="421"/>
      <c r="U33" s="421"/>
      <c r="V33" s="421"/>
      <c r="W33" s="421"/>
      <c r="X33" s="421"/>
      <c r="Y33" s="421"/>
      <c r="Z33" s="421"/>
      <c r="AA33" s="421"/>
      <c r="AB33" s="423"/>
      <c r="AD33" s="61">
        <f t="shared" si="13"/>
        <v>0</v>
      </c>
      <c r="AE33" s="61">
        <f t="shared" si="0"/>
        <v>0</v>
      </c>
      <c r="AF33" s="61">
        <f t="shared" si="1"/>
        <v>0</v>
      </c>
      <c r="AG33" s="61">
        <f t="shared" si="2"/>
        <v>0</v>
      </c>
      <c r="AH33" s="61">
        <f t="shared" si="3"/>
        <v>0</v>
      </c>
      <c r="AI33" s="61">
        <f t="shared" si="4"/>
        <v>0</v>
      </c>
      <c r="AJ33" s="61">
        <f t="shared" si="5"/>
        <v>0</v>
      </c>
      <c r="AK33" s="61">
        <f t="shared" si="6"/>
        <v>0</v>
      </c>
      <c r="AL33" s="61">
        <f t="shared" si="7"/>
        <v>0</v>
      </c>
      <c r="AO33" s="61">
        <f t="shared" si="14"/>
        <v>-5</v>
      </c>
      <c r="AP33" s="61">
        <f t="shared" si="15"/>
        <v>-5</v>
      </c>
      <c r="AQ33" s="61">
        <f t="shared" si="75"/>
        <v>-5</v>
      </c>
      <c r="AR33" s="61">
        <f t="shared" si="76"/>
        <v>-5</v>
      </c>
      <c r="AS33" s="61">
        <f t="shared" si="77"/>
        <v>-5</v>
      </c>
      <c r="AT33" s="61">
        <f t="shared" si="78"/>
        <v>-5</v>
      </c>
      <c r="AU33" s="61">
        <f t="shared" si="79"/>
        <v>-5</v>
      </c>
      <c r="AV33" s="61">
        <f t="shared" si="80"/>
        <v>-5</v>
      </c>
      <c r="AW33" s="61">
        <f t="shared" si="81"/>
        <v>-5</v>
      </c>
      <c r="AZ33" s="61">
        <f t="shared" si="16"/>
        <v>0</v>
      </c>
      <c r="BA33" s="61">
        <f t="shared" si="17"/>
        <v>0</v>
      </c>
      <c r="BB33" s="61">
        <f t="shared" si="18"/>
        <v>0</v>
      </c>
      <c r="BC33" s="61">
        <f t="shared" si="19"/>
        <v>0</v>
      </c>
      <c r="BD33" s="61">
        <f t="shared" si="20"/>
        <v>0</v>
      </c>
      <c r="BE33" s="61">
        <f t="shared" si="21"/>
        <v>0</v>
      </c>
      <c r="BF33" s="61">
        <f t="shared" si="22"/>
        <v>0</v>
      </c>
      <c r="BG33" s="61">
        <f t="shared" si="23"/>
        <v>0</v>
      </c>
      <c r="BH33" s="61">
        <f t="shared" si="24"/>
        <v>0</v>
      </c>
      <c r="BI33" s="61">
        <f t="shared" si="25"/>
        <v>0</v>
      </c>
      <c r="BJ33" s="61">
        <f t="shared" si="26"/>
        <v>0</v>
      </c>
      <c r="BK33" s="61">
        <f t="shared" si="27"/>
        <v>0</v>
      </c>
      <c r="BN33" s="61">
        <f t="shared" si="28"/>
        <v>0</v>
      </c>
      <c r="BO33" s="61">
        <f t="shared" si="29"/>
        <v>0</v>
      </c>
      <c r="BP33" s="61">
        <f t="shared" si="30"/>
        <v>0</v>
      </c>
      <c r="BQ33" s="61">
        <f t="shared" si="31"/>
        <v>0</v>
      </c>
      <c r="BR33" s="61">
        <f t="shared" si="32"/>
        <v>0</v>
      </c>
      <c r="BS33" s="61">
        <f t="shared" si="33"/>
        <v>0</v>
      </c>
      <c r="BT33" s="61">
        <f t="shared" si="34"/>
        <v>0</v>
      </c>
      <c r="BU33" s="61">
        <f t="shared" si="35"/>
        <v>0</v>
      </c>
      <c r="BV33" s="61">
        <f t="shared" si="36"/>
        <v>0</v>
      </c>
      <c r="BW33" s="61">
        <f t="shared" si="37"/>
        <v>0</v>
      </c>
      <c r="BX33" s="61">
        <f t="shared" si="38"/>
        <v>0</v>
      </c>
      <c r="BY33" s="61">
        <f t="shared" si="39"/>
        <v>0</v>
      </c>
      <c r="CB33" s="61">
        <f t="shared" si="40"/>
        <v>0</v>
      </c>
      <c r="CC33" s="61">
        <f t="shared" si="41"/>
        <v>0</v>
      </c>
      <c r="CD33" s="61">
        <f t="shared" si="42"/>
        <v>0</v>
      </c>
      <c r="CE33" s="61">
        <f t="shared" si="43"/>
        <v>0</v>
      </c>
      <c r="CF33" s="61">
        <f t="shared" si="44"/>
        <v>0</v>
      </c>
      <c r="CG33" s="61">
        <f t="shared" si="45"/>
        <v>0</v>
      </c>
      <c r="CH33" s="61">
        <f t="shared" si="46"/>
        <v>0</v>
      </c>
      <c r="CI33" s="61">
        <f t="shared" si="47"/>
        <v>0</v>
      </c>
      <c r="CJ33" s="61">
        <f t="shared" si="48"/>
        <v>0</v>
      </c>
      <c r="CK33" s="61">
        <f t="shared" si="49"/>
        <v>0</v>
      </c>
      <c r="CL33" s="61">
        <f t="shared" si="50"/>
        <v>0</v>
      </c>
      <c r="CM33" s="61">
        <f t="shared" si="51"/>
        <v>0</v>
      </c>
      <c r="CN33" s="61">
        <f t="shared" si="52"/>
        <v>0</v>
      </c>
      <c r="CO33" s="61">
        <f t="shared" si="53"/>
        <v>0</v>
      </c>
      <c r="CP33" s="61">
        <f t="shared" si="54"/>
        <v>0</v>
      </c>
      <c r="CQ33" s="61">
        <f t="shared" si="55"/>
        <v>0</v>
      </c>
      <c r="CR33" s="61">
        <f t="shared" si="56"/>
        <v>0</v>
      </c>
      <c r="CS33" s="61">
        <f t="shared" si="57"/>
        <v>0</v>
      </c>
      <c r="CT33" s="61">
        <f t="shared" si="58"/>
        <v>0</v>
      </c>
      <c r="CU33" s="61">
        <f t="shared" si="59"/>
        <v>0</v>
      </c>
      <c r="CV33" s="61">
        <f t="shared" si="60"/>
        <v>0</v>
      </c>
      <c r="CY33" s="61">
        <f t="shared" si="61"/>
        <v>0</v>
      </c>
      <c r="CZ33" s="61">
        <f t="shared" si="62"/>
        <v>0</v>
      </c>
      <c r="DA33" s="61">
        <f t="shared" si="63"/>
        <v>0</v>
      </c>
      <c r="DB33" s="61">
        <f t="shared" si="64"/>
        <v>0</v>
      </c>
      <c r="DC33" s="61">
        <f t="shared" si="65"/>
        <v>0</v>
      </c>
      <c r="DD33" s="61">
        <f t="shared" si="66"/>
        <v>0</v>
      </c>
      <c r="DE33" s="61">
        <f t="shared" si="67"/>
        <v>0</v>
      </c>
      <c r="DF33" s="61">
        <f t="shared" si="68"/>
        <v>0</v>
      </c>
      <c r="DG33" s="61">
        <f t="shared" si="69"/>
        <v>0</v>
      </c>
      <c r="DH33" s="61">
        <f t="shared" si="70"/>
        <v>0</v>
      </c>
      <c r="DI33" s="61">
        <f t="shared" si="71"/>
        <v>0</v>
      </c>
      <c r="DJ33" s="61">
        <f t="shared" si="72"/>
        <v>0</v>
      </c>
      <c r="DK33" s="61">
        <f t="shared" si="73"/>
        <v>0</v>
      </c>
      <c r="DL33" s="61">
        <f t="shared" si="74"/>
        <v>0</v>
      </c>
    </row>
    <row r="34" spans="1:116" x14ac:dyDescent="0.25">
      <c r="A34" s="492" t="s">
        <v>762</v>
      </c>
      <c r="B34" s="422"/>
      <c r="C34" s="420"/>
      <c r="D34" s="420"/>
      <c r="E34" s="539" t="str">
        <f>IF(D34&lt;&gt;"",IF($C34="Male",VLOOKUP(D34,Titles!$K$3:$L$70,2,FALSE),IF($C34="Female",VLOOKUP(D34,Titles!$P$3:$Q$68,2,FALSE),"")),"")</f>
        <v/>
      </c>
      <c r="F34" s="420"/>
      <c r="G34" s="420"/>
      <c r="H34" s="420"/>
      <c r="I34" s="420"/>
      <c r="J34" s="420"/>
      <c r="K34" s="420"/>
      <c r="L34" s="420"/>
      <c r="M34" s="420"/>
      <c r="N34" s="421"/>
      <c r="O34" s="421"/>
      <c r="P34" s="421"/>
      <c r="Q34" s="421"/>
      <c r="R34" s="421"/>
      <c r="S34" s="421"/>
      <c r="T34" s="421"/>
      <c r="U34" s="421"/>
      <c r="V34" s="421"/>
      <c r="W34" s="421"/>
      <c r="X34" s="421"/>
      <c r="Y34" s="421"/>
      <c r="Z34" s="421"/>
      <c r="AA34" s="421"/>
      <c r="AB34" s="423"/>
      <c r="AD34" s="61">
        <f t="shared" si="13"/>
        <v>0</v>
      </c>
      <c r="AE34" s="61">
        <f t="shared" si="0"/>
        <v>0</v>
      </c>
      <c r="AF34" s="61">
        <f t="shared" si="1"/>
        <v>0</v>
      </c>
      <c r="AG34" s="61">
        <f t="shared" si="2"/>
        <v>0</v>
      </c>
      <c r="AH34" s="61">
        <f t="shared" si="3"/>
        <v>0</v>
      </c>
      <c r="AI34" s="61">
        <f t="shared" si="4"/>
        <v>0</v>
      </c>
      <c r="AJ34" s="61">
        <f t="shared" si="5"/>
        <v>0</v>
      </c>
      <c r="AK34" s="61">
        <f t="shared" si="6"/>
        <v>0</v>
      </c>
      <c r="AL34" s="61">
        <f t="shared" si="7"/>
        <v>0</v>
      </c>
      <c r="AO34" s="61">
        <f t="shared" si="14"/>
        <v>-5</v>
      </c>
      <c r="AP34" s="61">
        <f t="shared" si="15"/>
        <v>-5</v>
      </c>
      <c r="AQ34" s="61">
        <f t="shared" si="75"/>
        <v>-5</v>
      </c>
      <c r="AR34" s="61">
        <f t="shared" si="76"/>
        <v>-5</v>
      </c>
      <c r="AS34" s="61">
        <f t="shared" si="77"/>
        <v>-5</v>
      </c>
      <c r="AT34" s="61">
        <f t="shared" si="78"/>
        <v>-5</v>
      </c>
      <c r="AU34" s="61">
        <f t="shared" si="79"/>
        <v>-5</v>
      </c>
      <c r="AV34" s="61">
        <f t="shared" si="80"/>
        <v>-5</v>
      </c>
      <c r="AW34" s="61">
        <f t="shared" si="81"/>
        <v>-5</v>
      </c>
      <c r="AZ34" s="61">
        <f t="shared" si="16"/>
        <v>0</v>
      </c>
      <c r="BA34" s="61">
        <f t="shared" si="17"/>
        <v>0</v>
      </c>
      <c r="BB34" s="61">
        <f t="shared" si="18"/>
        <v>0</v>
      </c>
      <c r="BC34" s="61">
        <f t="shared" si="19"/>
        <v>0</v>
      </c>
      <c r="BD34" s="61">
        <f t="shared" si="20"/>
        <v>0</v>
      </c>
      <c r="BE34" s="61">
        <f t="shared" si="21"/>
        <v>0</v>
      </c>
      <c r="BF34" s="61">
        <f t="shared" si="22"/>
        <v>0</v>
      </c>
      <c r="BG34" s="61">
        <f t="shared" si="23"/>
        <v>0</v>
      </c>
      <c r="BH34" s="61">
        <f t="shared" si="24"/>
        <v>0</v>
      </c>
      <c r="BI34" s="61">
        <f t="shared" si="25"/>
        <v>0</v>
      </c>
      <c r="BJ34" s="61">
        <f t="shared" si="26"/>
        <v>0</v>
      </c>
      <c r="BK34" s="61">
        <f t="shared" si="27"/>
        <v>0</v>
      </c>
      <c r="BN34" s="61">
        <f t="shared" si="28"/>
        <v>0</v>
      </c>
      <c r="BO34" s="61">
        <f t="shared" si="29"/>
        <v>0</v>
      </c>
      <c r="BP34" s="61">
        <f t="shared" si="30"/>
        <v>0</v>
      </c>
      <c r="BQ34" s="61">
        <f t="shared" si="31"/>
        <v>0</v>
      </c>
      <c r="BR34" s="61">
        <f t="shared" si="32"/>
        <v>0</v>
      </c>
      <c r="BS34" s="61">
        <f t="shared" si="33"/>
        <v>0</v>
      </c>
      <c r="BT34" s="61">
        <f t="shared" si="34"/>
        <v>0</v>
      </c>
      <c r="BU34" s="61">
        <f t="shared" si="35"/>
        <v>0</v>
      </c>
      <c r="BV34" s="61">
        <f t="shared" si="36"/>
        <v>0</v>
      </c>
      <c r="BW34" s="61">
        <f t="shared" si="37"/>
        <v>0</v>
      </c>
      <c r="BX34" s="61">
        <f t="shared" si="38"/>
        <v>0</v>
      </c>
      <c r="BY34" s="61">
        <f t="shared" si="39"/>
        <v>0</v>
      </c>
      <c r="CB34" s="61">
        <f t="shared" si="40"/>
        <v>0</v>
      </c>
      <c r="CC34" s="61">
        <f t="shared" si="41"/>
        <v>0</v>
      </c>
      <c r="CD34" s="61">
        <f t="shared" si="42"/>
        <v>0</v>
      </c>
      <c r="CE34" s="61">
        <f t="shared" si="43"/>
        <v>0</v>
      </c>
      <c r="CF34" s="61">
        <f t="shared" si="44"/>
        <v>0</v>
      </c>
      <c r="CG34" s="61">
        <f t="shared" si="45"/>
        <v>0</v>
      </c>
      <c r="CH34" s="61">
        <f t="shared" si="46"/>
        <v>0</v>
      </c>
      <c r="CI34" s="61">
        <f t="shared" si="47"/>
        <v>0</v>
      </c>
      <c r="CJ34" s="61">
        <f t="shared" si="48"/>
        <v>0</v>
      </c>
      <c r="CK34" s="61">
        <f t="shared" si="49"/>
        <v>0</v>
      </c>
      <c r="CL34" s="61">
        <f t="shared" si="50"/>
        <v>0</v>
      </c>
      <c r="CM34" s="61">
        <f t="shared" si="51"/>
        <v>0</v>
      </c>
      <c r="CN34" s="61">
        <f t="shared" si="52"/>
        <v>0</v>
      </c>
      <c r="CO34" s="61">
        <f t="shared" si="53"/>
        <v>0</v>
      </c>
      <c r="CP34" s="61">
        <f t="shared" si="54"/>
        <v>0</v>
      </c>
      <c r="CQ34" s="61">
        <f t="shared" si="55"/>
        <v>0</v>
      </c>
      <c r="CR34" s="61">
        <f t="shared" si="56"/>
        <v>0</v>
      </c>
      <c r="CS34" s="61">
        <f t="shared" si="57"/>
        <v>0</v>
      </c>
      <c r="CT34" s="61">
        <f t="shared" si="58"/>
        <v>0</v>
      </c>
      <c r="CU34" s="61">
        <f t="shared" si="59"/>
        <v>0</v>
      </c>
      <c r="CV34" s="61">
        <f t="shared" si="60"/>
        <v>0</v>
      </c>
      <c r="CY34" s="61">
        <f t="shared" si="61"/>
        <v>0</v>
      </c>
      <c r="CZ34" s="61">
        <f t="shared" si="62"/>
        <v>0</v>
      </c>
      <c r="DA34" s="61">
        <f t="shared" si="63"/>
        <v>0</v>
      </c>
      <c r="DB34" s="61">
        <f t="shared" si="64"/>
        <v>0</v>
      </c>
      <c r="DC34" s="61">
        <f t="shared" si="65"/>
        <v>0</v>
      </c>
      <c r="DD34" s="61">
        <f t="shared" si="66"/>
        <v>0</v>
      </c>
      <c r="DE34" s="61">
        <f t="shared" si="67"/>
        <v>0</v>
      </c>
      <c r="DF34" s="61">
        <f t="shared" si="68"/>
        <v>0</v>
      </c>
      <c r="DG34" s="61">
        <f t="shared" si="69"/>
        <v>0</v>
      </c>
      <c r="DH34" s="61">
        <f t="shared" si="70"/>
        <v>0</v>
      </c>
      <c r="DI34" s="61">
        <f t="shared" si="71"/>
        <v>0</v>
      </c>
      <c r="DJ34" s="61">
        <f t="shared" si="72"/>
        <v>0</v>
      </c>
      <c r="DK34" s="61">
        <f t="shared" si="73"/>
        <v>0</v>
      </c>
      <c r="DL34" s="61">
        <f t="shared" si="74"/>
        <v>0</v>
      </c>
    </row>
    <row r="35" spans="1:116" x14ac:dyDescent="0.25">
      <c r="A35" s="492" t="s">
        <v>762</v>
      </c>
      <c r="B35" s="422"/>
      <c r="C35" s="420"/>
      <c r="D35" s="420"/>
      <c r="E35" s="539" t="str">
        <f>IF(D35&lt;&gt;"",IF($C35="Male",VLOOKUP(D35,Titles!$K$3:$L$70,2,FALSE),IF($C35="Female",VLOOKUP(D35,Titles!$P$3:$Q$68,2,FALSE),"")),"")</f>
        <v/>
      </c>
      <c r="F35" s="420"/>
      <c r="G35" s="420"/>
      <c r="H35" s="420"/>
      <c r="I35" s="420"/>
      <c r="J35" s="420"/>
      <c r="K35" s="420"/>
      <c r="L35" s="420"/>
      <c r="M35" s="420"/>
      <c r="N35" s="421"/>
      <c r="O35" s="421"/>
      <c r="P35" s="421"/>
      <c r="Q35" s="421"/>
      <c r="R35" s="421"/>
      <c r="S35" s="421"/>
      <c r="T35" s="421"/>
      <c r="U35" s="421"/>
      <c r="V35" s="421"/>
      <c r="W35" s="421"/>
      <c r="X35" s="421"/>
      <c r="Y35" s="421"/>
      <c r="Z35" s="421"/>
      <c r="AA35" s="421"/>
      <c r="AB35" s="423"/>
      <c r="AD35" s="61">
        <f t="shared" si="13"/>
        <v>0</v>
      </c>
      <c r="AE35" s="61">
        <f t="shared" si="0"/>
        <v>0</v>
      </c>
      <c r="AF35" s="61">
        <f t="shared" si="1"/>
        <v>0</v>
      </c>
      <c r="AG35" s="61">
        <f t="shared" si="2"/>
        <v>0</v>
      </c>
      <c r="AH35" s="61">
        <f t="shared" si="3"/>
        <v>0</v>
      </c>
      <c r="AI35" s="61">
        <f t="shared" si="4"/>
        <v>0</v>
      </c>
      <c r="AJ35" s="61">
        <f t="shared" si="5"/>
        <v>0</v>
      </c>
      <c r="AK35" s="61">
        <f t="shared" si="6"/>
        <v>0</v>
      </c>
      <c r="AL35" s="61">
        <f t="shared" si="7"/>
        <v>0</v>
      </c>
      <c r="AO35" s="61">
        <f t="shared" si="14"/>
        <v>-5</v>
      </c>
      <c r="AP35" s="61">
        <f t="shared" si="15"/>
        <v>-5</v>
      </c>
      <c r="AQ35" s="61">
        <f t="shared" si="75"/>
        <v>-5</v>
      </c>
      <c r="AR35" s="61">
        <f t="shared" si="76"/>
        <v>-5</v>
      </c>
      <c r="AS35" s="61">
        <f t="shared" si="77"/>
        <v>-5</v>
      </c>
      <c r="AT35" s="61">
        <f t="shared" si="78"/>
        <v>-5</v>
      </c>
      <c r="AU35" s="61">
        <f t="shared" si="79"/>
        <v>-5</v>
      </c>
      <c r="AV35" s="61">
        <f t="shared" si="80"/>
        <v>-5</v>
      </c>
      <c r="AW35" s="61">
        <f t="shared" si="81"/>
        <v>-5</v>
      </c>
      <c r="AZ35" s="61">
        <f t="shared" si="16"/>
        <v>0</v>
      </c>
      <c r="BA35" s="61">
        <f t="shared" si="17"/>
        <v>0</v>
      </c>
      <c r="BB35" s="61">
        <f t="shared" si="18"/>
        <v>0</v>
      </c>
      <c r="BC35" s="61">
        <f t="shared" si="19"/>
        <v>0</v>
      </c>
      <c r="BD35" s="61">
        <f t="shared" si="20"/>
        <v>0</v>
      </c>
      <c r="BE35" s="61">
        <f t="shared" si="21"/>
        <v>0</v>
      </c>
      <c r="BF35" s="61">
        <f t="shared" si="22"/>
        <v>0</v>
      </c>
      <c r="BG35" s="61">
        <f t="shared" si="23"/>
        <v>0</v>
      </c>
      <c r="BH35" s="61">
        <f t="shared" si="24"/>
        <v>0</v>
      </c>
      <c r="BI35" s="61">
        <f t="shared" si="25"/>
        <v>0</v>
      </c>
      <c r="BJ35" s="61">
        <f t="shared" si="26"/>
        <v>0</v>
      </c>
      <c r="BK35" s="61">
        <f t="shared" si="27"/>
        <v>0</v>
      </c>
      <c r="BN35" s="61">
        <f t="shared" si="28"/>
        <v>0</v>
      </c>
      <c r="BO35" s="61">
        <f t="shared" si="29"/>
        <v>0</v>
      </c>
      <c r="BP35" s="61">
        <f t="shared" si="30"/>
        <v>0</v>
      </c>
      <c r="BQ35" s="61">
        <f t="shared" si="31"/>
        <v>0</v>
      </c>
      <c r="BR35" s="61">
        <f t="shared" si="32"/>
        <v>0</v>
      </c>
      <c r="BS35" s="61">
        <f t="shared" si="33"/>
        <v>0</v>
      </c>
      <c r="BT35" s="61">
        <f t="shared" si="34"/>
        <v>0</v>
      </c>
      <c r="BU35" s="61">
        <f t="shared" si="35"/>
        <v>0</v>
      </c>
      <c r="BV35" s="61">
        <f t="shared" si="36"/>
        <v>0</v>
      </c>
      <c r="BW35" s="61">
        <f t="shared" si="37"/>
        <v>0</v>
      </c>
      <c r="BX35" s="61">
        <f t="shared" si="38"/>
        <v>0</v>
      </c>
      <c r="BY35" s="61">
        <f t="shared" si="39"/>
        <v>0</v>
      </c>
      <c r="CB35" s="61">
        <f t="shared" si="40"/>
        <v>0</v>
      </c>
      <c r="CC35" s="61">
        <f t="shared" si="41"/>
        <v>0</v>
      </c>
      <c r="CD35" s="61">
        <f t="shared" si="42"/>
        <v>0</v>
      </c>
      <c r="CE35" s="61">
        <f t="shared" si="43"/>
        <v>0</v>
      </c>
      <c r="CF35" s="61">
        <f t="shared" si="44"/>
        <v>0</v>
      </c>
      <c r="CG35" s="61">
        <f t="shared" si="45"/>
        <v>0</v>
      </c>
      <c r="CH35" s="61">
        <f t="shared" si="46"/>
        <v>0</v>
      </c>
      <c r="CI35" s="61">
        <f t="shared" si="47"/>
        <v>0</v>
      </c>
      <c r="CJ35" s="61">
        <f t="shared" si="48"/>
        <v>0</v>
      </c>
      <c r="CK35" s="61">
        <f t="shared" si="49"/>
        <v>0</v>
      </c>
      <c r="CL35" s="61">
        <f t="shared" si="50"/>
        <v>0</v>
      </c>
      <c r="CM35" s="61">
        <f t="shared" si="51"/>
        <v>0</v>
      </c>
      <c r="CN35" s="61">
        <f t="shared" si="52"/>
        <v>0</v>
      </c>
      <c r="CO35" s="61">
        <f t="shared" si="53"/>
        <v>0</v>
      </c>
      <c r="CP35" s="61">
        <f t="shared" si="54"/>
        <v>0</v>
      </c>
      <c r="CQ35" s="61">
        <f t="shared" si="55"/>
        <v>0</v>
      </c>
      <c r="CR35" s="61">
        <f t="shared" si="56"/>
        <v>0</v>
      </c>
      <c r="CS35" s="61">
        <f t="shared" si="57"/>
        <v>0</v>
      </c>
      <c r="CT35" s="61">
        <f t="shared" si="58"/>
        <v>0</v>
      </c>
      <c r="CU35" s="61">
        <f t="shared" si="59"/>
        <v>0</v>
      </c>
      <c r="CV35" s="61">
        <f t="shared" si="60"/>
        <v>0</v>
      </c>
      <c r="CY35" s="61">
        <f t="shared" si="61"/>
        <v>0</v>
      </c>
      <c r="CZ35" s="61">
        <f t="shared" si="62"/>
        <v>0</v>
      </c>
      <c r="DA35" s="61">
        <f t="shared" si="63"/>
        <v>0</v>
      </c>
      <c r="DB35" s="61">
        <f t="shared" si="64"/>
        <v>0</v>
      </c>
      <c r="DC35" s="61">
        <f t="shared" si="65"/>
        <v>0</v>
      </c>
      <c r="DD35" s="61">
        <f t="shared" si="66"/>
        <v>0</v>
      </c>
      <c r="DE35" s="61">
        <f t="shared" si="67"/>
        <v>0</v>
      </c>
      <c r="DF35" s="61">
        <f t="shared" si="68"/>
        <v>0</v>
      </c>
      <c r="DG35" s="61">
        <f t="shared" si="69"/>
        <v>0</v>
      </c>
      <c r="DH35" s="61">
        <f t="shared" si="70"/>
        <v>0</v>
      </c>
      <c r="DI35" s="61">
        <f t="shared" si="71"/>
        <v>0</v>
      </c>
      <c r="DJ35" s="61">
        <f t="shared" si="72"/>
        <v>0</v>
      </c>
      <c r="DK35" s="61">
        <f t="shared" si="73"/>
        <v>0</v>
      </c>
      <c r="DL35" s="61">
        <f t="shared" si="74"/>
        <v>0</v>
      </c>
    </row>
    <row r="36" spans="1:116" x14ac:dyDescent="0.25">
      <c r="A36" s="492" t="s">
        <v>762</v>
      </c>
      <c r="B36" s="422"/>
      <c r="C36" s="420"/>
      <c r="D36" s="420"/>
      <c r="E36" s="539" t="str">
        <f>IF(D36&lt;&gt;"",IF($C36="Male",VLOOKUP(D36,Titles!$K$3:$L$70,2,FALSE),IF($C36="Female",VLOOKUP(D36,Titles!$P$3:$Q$68,2,FALSE),"")),"")</f>
        <v/>
      </c>
      <c r="F36" s="420"/>
      <c r="G36" s="420"/>
      <c r="H36" s="420"/>
      <c r="I36" s="420"/>
      <c r="J36" s="420"/>
      <c r="K36" s="420"/>
      <c r="L36" s="420"/>
      <c r="M36" s="420"/>
      <c r="N36" s="421"/>
      <c r="O36" s="421"/>
      <c r="P36" s="421"/>
      <c r="Q36" s="421"/>
      <c r="R36" s="421"/>
      <c r="S36" s="421"/>
      <c r="T36" s="421"/>
      <c r="U36" s="421"/>
      <c r="V36" s="421"/>
      <c r="W36" s="421"/>
      <c r="X36" s="421"/>
      <c r="Y36" s="421"/>
      <c r="Z36" s="421"/>
      <c r="AA36" s="421"/>
      <c r="AB36" s="423"/>
      <c r="AD36" s="61">
        <f t="shared" si="13"/>
        <v>0</v>
      </c>
      <c r="AE36" s="61">
        <f t="shared" ref="AE36:AE55" si="82">IF(ISBLANK(B36),0,(IF(L36&gt;=M36,L36,M36)))</f>
        <v>0</v>
      </c>
      <c r="AF36" s="61">
        <f t="shared" ref="AF36:AF55" si="83">IF(ISBLANK(B36),0,IF(H36&gt;=M36,H36,M36))</f>
        <v>0</v>
      </c>
      <c r="AG36" s="61">
        <f t="shared" ref="AG36:AG55" si="84">IF(ISBLANK(B36),0,IF(K36&gt;=M36,K36,M36))</f>
        <v>0</v>
      </c>
      <c r="AH36" s="61">
        <f t="shared" ref="AH36:AH55" si="85">IF(ISBLANK(B36),0,IF(I36&gt;=L36,I36,L36))</f>
        <v>0</v>
      </c>
      <c r="AI36" s="61">
        <f t="shared" ref="AI36:AI55" si="86">IF(ISBLANK(B36),0,IF(H36&gt;=I36,H36,I36))</f>
        <v>0</v>
      </c>
      <c r="AJ36" s="61">
        <f t="shared" ref="AJ36:AJ55" si="87">IF(ISBLANK(B36),0,IF(I36&gt;=K36,I36,K36))</f>
        <v>0</v>
      </c>
      <c r="AK36" s="61">
        <f t="shared" ref="AK36:AK55" si="88">IF(ISBLANK(B36),0,IF(K36&gt;=L36,K36,L36))</f>
        <v>0</v>
      </c>
      <c r="AL36" s="61">
        <f t="shared" ref="AL36:AL55" si="89">IF(ISBLANK(B36),0,IF(H36&gt;=J36,H36,J36))</f>
        <v>0</v>
      </c>
      <c r="AO36" s="61">
        <f t="shared" si="14"/>
        <v>-5</v>
      </c>
      <c r="AP36" s="61">
        <f t="shared" si="15"/>
        <v>-5</v>
      </c>
      <c r="AQ36" s="61">
        <f t="shared" si="75"/>
        <v>-5</v>
      </c>
      <c r="AR36" s="61">
        <f t="shared" si="76"/>
        <v>-5</v>
      </c>
      <c r="AS36" s="61">
        <f t="shared" si="77"/>
        <v>-5</v>
      </c>
      <c r="AT36" s="61">
        <f t="shared" si="78"/>
        <v>-5</v>
      </c>
      <c r="AU36" s="61">
        <f t="shared" si="79"/>
        <v>-5</v>
      </c>
      <c r="AV36" s="61">
        <f t="shared" si="80"/>
        <v>-5</v>
      </c>
      <c r="AW36" s="61">
        <f t="shared" si="81"/>
        <v>-5</v>
      </c>
      <c r="AZ36" s="61">
        <f t="shared" si="16"/>
        <v>0</v>
      </c>
      <c r="BA36" s="61">
        <f t="shared" si="17"/>
        <v>0</v>
      </c>
      <c r="BB36" s="61">
        <f t="shared" si="18"/>
        <v>0</v>
      </c>
      <c r="BC36" s="61">
        <f t="shared" si="19"/>
        <v>0</v>
      </c>
      <c r="BD36" s="61">
        <f t="shared" si="20"/>
        <v>0</v>
      </c>
      <c r="BE36" s="61">
        <f t="shared" si="21"/>
        <v>0</v>
      </c>
      <c r="BF36" s="61">
        <f t="shared" si="22"/>
        <v>0</v>
      </c>
      <c r="BG36" s="61">
        <f t="shared" si="23"/>
        <v>0</v>
      </c>
      <c r="BH36" s="61">
        <f t="shared" si="24"/>
        <v>0</v>
      </c>
      <c r="BI36" s="61">
        <f t="shared" si="25"/>
        <v>0</v>
      </c>
      <c r="BJ36" s="61">
        <f t="shared" si="26"/>
        <v>0</v>
      </c>
      <c r="BK36" s="61">
        <f t="shared" si="27"/>
        <v>0</v>
      </c>
      <c r="BN36" s="61">
        <f t="shared" si="28"/>
        <v>0</v>
      </c>
      <c r="BO36" s="61">
        <f t="shared" si="29"/>
        <v>0</v>
      </c>
      <c r="BP36" s="61">
        <f t="shared" si="30"/>
        <v>0</v>
      </c>
      <c r="BQ36" s="61">
        <f t="shared" si="31"/>
        <v>0</v>
      </c>
      <c r="BR36" s="61">
        <f t="shared" si="32"/>
        <v>0</v>
      </c>
      <c r="BS36" s="61">
        <f t="shared" si="33"/>
        <v>0</v>
      </c>
      <c r="BT36" s="61">
        <f t="shared" si="34"/>
        <v>0</v>
      </c>
      <c r="BU36" s="61">
        <f t="shared" si="35"/>
        <v>0</v>
      </c>
      <c r="BV36" s="61">
        <f t="shared" si="36"/>
        <v>0</v>
      </c>
      <c r="BW36" s="61">
        <f t="shared" si="37"/>
        <v>0</v>
      </c>
      <c r="BX36" s="61">
        <f t="shared" si="38"/>
        <v>0</v>
      </c>
      <c r="BY36" s="61">
        <f t="shared" si="39"/>
        <v>0</v>
      </c>
      <c r="CB36" s="61">
        <f t="shared" si="40"/>
        <v>0</v>
      </c>
      <c r="CC36" s="61">
        <f t="shared" si="41"/>
        <v>0</v>
      </c>
      <c r="CD36" s="61">
        <f t="shared" si="42"/>
        <v>0</v>
      </c>
      <c r="CE36" s="61">
        <f t="shared" si="43"/>
        <v>0</v>
      </c>
      <c r="CF36" s="61">
        <f t="shared" si="44"/>
        <v>0</v>
      </c>
      <c r="CG36" s="61">
        <f t="shared" si="45"/>
        <v>0</v>
      </c>
      <c r="CH36" s="61">
        <f t="shared" si="46"/>
        <v>0</v>
      </c>
      <c r="CI36" s="61">
        <f t="shared" si="47"/>
        <v>0</v>
      </c>
      <c r="CJ36" s="61">
        <f t="shared" si="48"/>
        <v>0</v>
      </c>
      <c r="CK36" s="61">
        <f t="shared" si="49"/>
        <v>0</v>
      </c>
      <c r="CL36" s="61">
        <f t="shared" si="50"/>
        <v>0</v>
      </c>
      <c r="CM36" s="61">
        <f t="shared" si="51"/>
        <v>0</v>
      </c>
      <c r="CN36" s="61">
        <f t="shared" si="52"/>
        <v>0</v>
      </c>
      <c r="CO36" s="61">
        <f t="shared" si="53"/>
        <v>0</v>
      </c>
      <c r="CP36" s="61">
        <f t="shared" si="54"/>
        <v>0</v>
      </c>
      <c r="CQ36" s="61">
        <f t="shared" si="55"/>
        <v>0</v>
      </c>
      <c r="CR36" s="61">
        <f t="shared" si="56"/>
        <v>0</v>
      </c>
      <c r="CS36" s="61">
        <f t="shared" si="57"/>
        <v>0</v>
      </c>
      <c r="CT36" s="61">
        <f t="shared" si="58"/>
        <v>0</v>
      </c>
      <c r="CU36" s="61">
        <f t="shared" si="59"/>
        <v>0</v>
      </c>
      <c r="CV36" s="61">
        <f t="shared" si="60"/>
        <v>0</v>
      </c>
      <c r="CY36" s="61">
        <f t="shared" si="61"/>
        <v>0</v>
      </c>
      <c r="CZ36" s="61">
        <f t="shared" si="62"/>
        <v>0</v>
      </c>
      <c r="DA36" s="61">
        <f t="shared" si="63"/>
        <v>0</v>
      </c>
      <c r="DB36" s="61">
        <f t="shared" si="64"/>
        <v>0</v>
      </c>
      <c r="DC36" s="61">
        <f t="shared" si="65"/>
        <v>0</v>
      </c>
      <c r="DD36" s="61">
        <f t="shared" si="66"/>
        <v>0</v>
      </c>
      <c r="DE36" s="61">
        <f t="shared" si="67"/>
        <v>0</v>
      </c>
      <c r="DF36" s="61">
        <f t="shared" si="68"/>
        <v>0</v>
      </c>
      <c r="DG36" s="61">
        <f t="shared" si="69"/>
        <v>0</v>
      </c>
      <c r="DH36" s="61">
        <f t="shared" si="70"/>
        <v>0</v>
      </c>
      <c r="DI36" s="61">
        <f t="shared" si="71"/>
        <v>0</v>
      </c>
      <c r="DJ36" s="61">
        <f t="shared" si="72"/>
        <v>0</v>
      </c>
      <c r="DK36" s="61">
        <f t="shared" si="73"/>
        <v>0</v>
      </c>
      <c r="DL36" s="61">
        <f t="shared" si="74"/>
        <v>0</v>
      </c>
    </row>
    <row r="37" spans="1:116" x14ac:dyDescent="0.25">
      <c r="A37" s="492" t="s">
        <v>762</v>
      </c>
      <c r="B37" s="422"/>
      <c r="C37" s="420"/>
      <c r="D37" s="420"/>
      <c r="E37" s="539" t="str">
        <f>IF(D37&lt;&gt;"",IF($C37="Male",VLOOKUP(D37,Titles!$K$3:$L$70,2,FALSE),IF($C37="Female",VLOOKUP(D37,Titles!$P$3:$Q$68,2,FALSE),"")),"")</f>
        <v/>
      </c>
      <c r="F37" s="420"/>
      <c r="G37" s="420"/>
      <c r="H37" s="420"/>
      <c r="I37" s="420"/>
      <c r="J37" s="420"/>
      <c r="K37" s="420"/>
      <c r="L37" s="420"/>
      <c r="M37" s="420"/>
      <c r="N37" s="421"/>
      <c r="O37" s="421"/>
      <c r="P37" s="421"/>
      <c r="Q37" s="421"/>
      <c r="R37" s="421"/>
      <c r="S37" s="421"/>
      <c r="T37" s="421"/>
      <c r="U37" s="421"/>
      <c r="V37" s="421"/>
      <c r="W37" s="421"/>
      <c r="X37" s="421"/>
      <c r="Y37" s="421"/>
      <c r="Z37" s="421"/>
      <c r="AA37" s="421"/>
      <c r="AB37" s="423"/>
      <c r="AD37" s="61">
        <f t="shared" si="13"/>
        <v>0</v>
      </c>
      <c r="AE37" s="61">
        <f t="shared" si="82"/>
        <v>0</v>
      </c>
      <c r="AF37" s="61">
        <f t="shared" si="83"/>
        <v>0</v>
      </c>
      <c r="AG37" s="61">
        <f t="shared" si="84"/>
        <v>0</v>
      </c>
      <c r="AH37" s="61">
        <f t="shared" si="85"/>
        <v>0</v>
      </c>
      <c r="AI37" s="61">
        <f t="shared" si="86"/>
        <v>0</v>
      </c>
      <c r="AJ37" s="61">
        <f t="shared" si="87"/>
        <v>0</v>
      </c>
      <c r="AK37" s="61">
        <f t="shared" si="88"/>
        <v>0</v>
      </c>
      <c r="AL37" s="61">
        <f t="shared" si="89"/>
        <v>0</v>
      </c>
      <c r="AO37" s="61">
        <f t="shared" si="14"/>
        <v>-5</v>
      </c>
      <c r="AP37" s="61">
        <f t="shared" si="15"/>
        <v>-5</v>
      </c>
      <c r="AQ37" s="61">
        <f t="shared" si="75"/>
        <v>-5</v>
      </c>
      <c r="AR37" s="61">
        <f t="shared" si="76"/>
        <v>-5</v>
      </c>
      <c r="AS37" s="61">
        <f t="shared" si="77"/>
        <v>-5</v>
      </c>
      <c r="AT37" s="61">
        <f t="shared" si="78"/>
        <v>-5</v>
      </c>
      <c r="AU37" s="61">
        <f t="shared" si="79"/>
        <v>-5</v>
      </c>
      <c r="AV37" s="61">
        <f t="shared" si="80"/>
        <v>-5</v>
      </c>
      <c r="AW37" s="61">
        <f t="shared" si="81"/>
        <v>-5</v>
      </c>
      <c r="AZ37" s="61">
        <f t="shared" si="16"/>
        <v>0</v>
      </c>
      <c r="BA37" s="61">
        <f t="shared" si="17"/>
        <v>0</v>
      </c>
      <c r="BB37" s="61">
        <f t="shared" si="18"/>
        <v>0</v>
      </c>
      <c r="BC37" s="61">
        <f t="shared" si="19"/>
        <v>0</v>
      </c>
      <c r="BD37" s="61">
        <f t="shared" si="20"/>
        <v>0</v>
      </c>
      <c r="BE37" s="61">
        <f t="shared" si="21"/>
        <v>0</v>
      </c>
      <c r="BF37" s="61">
        <f t="shared" si="22"/>
        <v>0</v>
      </c>
      <c r="BG37" s="61">
        <f t="shared" si="23"/>
        <v>0</v>
      </c>
      <c r="BH37" s="61">
        <f t="shared" si="24"/>
        <v>0</v>
      </c>
      <c r="BI37" s="61">
        <f t="shared" si="25"/>
        <v>0</v>
      </c>
      <c r="BJ37" s="61">
        <f t="shared" si="26"/>
        <v>0</v>
      </c>
      <c r="BK37" s="61">
        <f t="shared" si="27"/>
        <v>0</v>
      </c>
      <c r="BN37" s="61">
        <f t="shared" si="28"/>
        <v>0</v>
      </c>
      <c r="BO37" s="61">
        <f t="shared" si="29"/>
        <v>0</v>
      </c>
      <c r="BP37" s="61">
        <f t="shared" si="30"/>
        <v>0</v>
      </c>
      <c r="BQ37" s="61">
        <f t="shared" si="31"/>
        <v>0</v>
      </c>
      <c r="BR37" s="61">
        <f t="shared" si="32"/>
        <v>0</v>
      </c>
      <c r="BS37" s="61">
        <f t="shared" si="33"/>
        <v>0</v>
      </c>
      <c r="BT37" s="61">
        <f t="shared" si="34"/>
        <v>0</v>
      </c>
      <c r="BU37" s="61">
        <f t="shared" si="35"/>
        <v>0</v>
      </c>
      <c r="BV37" s="61">
        <f t="shared" si="36"/>
        <v>0</v>
      </c>
      <c r="BW37" s="61">
        <f t="shared" si="37"/>
        <v>0</v>
      </c>
      <c r="BX37" s="61">
        <f t="shared" si="38"/>
        <v>0</v>
      </c>
      <c r="BY37" s="61">
        <f t="shared" si="39"/>
        <v>0</v>
      </c>
      <c r="CB37" s="61">
        <f t="shared" si="40"/>
        <v>0</v>
      </c>
      <c r="CC37" s="61">
        <f t="shared" si="41"/>
        <v>0</v>
      </c>
      <c r="CD37" s="61">
        <f t="shared" si="42"/>
        <v>0</v>
      </c>
      <c r="CE37" s="61">
        <f t="shared" si="43"/>
        <v>0</v>
      </c>
      <c r="CF37" s="61">
        <f t="shared" si="44"/>
        <v>0</v>
      </c>
      <c r="CG37" s="61">
        <f t="shared" si="45"/>
        <v>0</v>
      </c>
      <c r="CH37" s="61">
        <f t="shared" si="46"/>
        <v>0</v>
      </c>
      <c r="CI37" s="61">
        <f t="shared" si="47"/>
        <v>0</v>
      </c>
      <c r="CJ37" s="61">
        <f t="shared" si="48"/>
        <v>0</v>
      </c>
      <c r="CK37" s="61">
        <f t="shared" si="49"/>
        <v>0</v>
      </c>
      <c r="CL37" s="61">
        <f t="shared" si="50"/>
        <v>0</v>
      </c>
      <c r="CM37" s="61">
        <f t="shared" si="51"/>
        <v>0</v>
      </c>
      <c r="CN37" s="61">
        <f t="shared" si="52"/>
        <v>0</v>
      </c>
      <c r="CO37" s="61">
        <f t="shared" si="53"/>
        <v>0</v>
      </c>
      <c r="CP37" s="61">
        <f t="shared" si="54"/>
        <v>0</v>
      </c>
      <c r="CQ37" s="61">
        <f t="shared" si="55"/>
        <v>0</v>
      </c>
      <c r="CR37" s="61">
        <f t="shared" si="56"/>
        <v>0</v>
      </c>
      <c r="CS37" s="61">
        <f t="shared" si="57"/>
        <v>0</v>
      </c>
      <c r="CT37" s="61">
        <f t="shared" si="58"/>
        <v>0</v>
      </c>
      <c r="CU37" s="61">
        <f t="shared" si="59"/>
        <v>0</v>
      </c>
      <c r="CV37" s="61">
        <f t="shared" si="60"/>
        <v>0</v>
      </c>
      <c r="CY37" s="61">
        <f t="shared" si="61"/>
        <v>0</v>
      </c>
      <c r="CZ37" s="61">
        <f t="shared" si="62"/>
        <v>0</v>
      </c>
      <c r="DA37" s="61">
        <f t="shared" si="63"/>
        <v>0</v>
      </c>
      <c r="DB37" s="61">
        <f t="shared" si="64"/>
        <v>0</v>
      </c>
      <c r="DC37" s="61">
        <f t="shared" si="65"/>
        <v>0</v>
      </c>
      <c r="DD37" s="61">
        <f t="shared" si="66"/>
        <v>0</v>
      </c>
      <c r="DE37" s="61">
        <f t="shared" si="67"/>
        <v>0</v>
      </c>
      <c r="DF37" s="61">
        <f t="shared" si="68"/>
        <v>0</v>
      </c>
      <c r="DG37" s="61">
        <f t="shared" si="69"/>
        <v>0</v>
      </c>
      <c r="DH37" s="61">
        <f t="shared" si="70"/>
        <v>0</v>
      </c>
      <c r="DI37" s="61">
        <f t="shared" si="71"/>
        <v>0</v>
      </c>
      <c r="DJ37" s="61">
        <f t="shared" si="72"/>
        <v>0</v>
      </c>
      <c r="DK37" s="61">
        <f t="shared" si="73"/>
        <v>0</v>
      </c>
      <c r="DL37" s="61">
        <f t="shared" si="74"/>
        <v>0</v>
      </c>
    </row>
    <row r="38" spans="1:116" x14ac:dyDescent="0.25">
      <c r="A38" s="492" t="s">
        <v>762</v>
      </c>
      <c r="B38" s="422"/>
      <c r="C38" s="420"/>
      <c r="D38" s="420"/>
      <c r="E38" s="539" t="str">
        <f>IF(D38&lt;&gt;"",IF($C38="Male",VLOOKUP(D38,Titles!$K$3:$L$70,2,FALSE),IF($C38="Female",VLOOKUP(D38,Titles!$P$3:$Q$68,2,FALSE),"")),"")</f>
        <v/>
      </c>
      <c r="F38" s="420"/>
      <c r="G38" s="420"/>
      <c r="H38" s="420"/>
      <c r="I38" s="420"/>
      <c r="J38" s="420"/>
      <c r="K38" s="420"/>
      <c r="L38" s="420"/>
      <c r="M38" s="420"/>
      <c r="N38" s="421"/>
      <c r="O38" s="421"/>
      <c r="P38" s="421"/>
      <c r="Q38" s="421"/>
      <c r="R38" s="421"/>
      <c r="S38" s="421"/>
      <c r="T38" s="421"/>
      <c r="U38" s="421"/>
      <c r="V38" s="421"/>
      <c r="W38" s="421"/>
      <c r="X38" s="421"/>
      <c r="Y38" s="421"/>
      <c r="Z38" s="421"/>
      <c r="AA38" s="421"/>
      <c r="AB38" s="423"/>
      <c r="AD38" s="61">
        <f t="shared" si="13"/>
        <v>0</v>
      </c>
      <c r="AE38" s="61">
        <f t="shared" si="82"/>
        <v>0</v>
      </c>
      <c r="AF38" s="61">
        <f t="shared" si="83"/>
        <v>0</v>
      </c>
      <c r="AG38" s="61">
        <f t="shared" si="84"/>
        <v>0</v>
      </c>
      <c r="AH38" s="61">
        <f t="shared" si="85"/>
        <v>0</v>
      </c>
      <c r="AI38" s="61">
        <f t="shared" si="86"/>
        <v>0</v>
      </c>
      <c r="AJ38" s="61">
        <f t="shared" si="87"/>
        <v>0</v>
      </c>
      <c r="AK38" s="61">
        <f t="shared" si="88"/>
        <v>0</v>
      </c>
      <c r="AL38" s="61">
        <f t="shared" si="89"/>
        <v>0</v>
      </c>
      <c r="AO38" s="61">
        <f t="shared" si="14"/>
        <v>-5</v>
      </c>
      <c r="AP38" s="61">
        <f t="shared" si="15"/>
        <v>-5</v>
      </c>
      <c r="AQ38" s="61">
        <f t="shared" si="75"/>
        <v>-5</v>
      </c>
      <c r="AR38" s="61">
        <f t="shared" si="76"/>
        <v>-5</v>
      </c>
      <c r="AS38" s="61">
        <f t="shared" si="77"/>
        <v>-5</v>
      </c>
      <c r="AT38" s="61">
        <f t="shared" si="78"/>
        <v>-5</v>
      </c>
      <c r="AU38" s="61">
        <f t="shared" si="79"/>
        <v>-5</v>
      </c>
      <c r="AV38" s="61">
        <f t="shared" si="80"/>
        <v>-5</v>
      </c>
      <c r="AW38" s="61">
        <f t="shared" si="81"/>
        <v>-5</v>
      </c>
      <c r="AZ38" s="61">
        <f t="shared" si="16"/>
        <v>0</v>
      </c>
      <c r="BA38" s="61">
        <f t="shared" si="17"/>
        <v>0</v>
      </c>
      <c r="BB38" s="61">
        <f t="shared" si="18"/>
        <v>0</v>
      </c>
      <c r="BC38" s="61">
        <f t="shared" si="19"/>
        <v>0</v>
      </c>
      <c r="BD38" s="61">
        <f t="shared" si="20"/>
        <v>0</v>
      </c>
      <c r="BE38" s="61">
        <f t="shared" si="21"/>
        <v>0</v>
      </c>
      <c r="BF38" s="61">
        <f t="shared" si="22"/>
        <v>0</v>
      </c>
      <c r="BG38" s="61">
        <f t="shared" si="23"/>
        <v>0</v>
      </c>
      <c r="BH38" s="61">
        <f t="shared" si="24"/>
        <v>0</v>
      </c>
      <c r="BI38" s="61">
        <f t="shared" si="25"/>
        <v>0</v>
      </c>
      <c r="BJ38" s="61">
        <f t="shared" si="26"/>
        <v>0</v>
      </c>
      <c r="BK38" s="61">
        <f t="shared" si="27"/>
        <v>0</v>
      </c>
      <c r="BN38" s="61">
        <f t="shared" si="28"/>
        <v>0</v>
      </c>
      <c r="BO38" s="61">
        <f t="shared" si="29"/>
        <v>0</v>
      </c>
      <c r="BP38" s="61">
        <f t="shared" si="30"/>
        <v>0</v>
      </c>
      <c r="BQ38" s="61">
        <f t="shared" si="31"/>
        <v>0</v>
      </c>
      <c r="BR38" s="61">
        <f t="shared" si="32"/>
        <v>0</v>
      </c>
      <c r="BS38" s="61">
        <f t="shared" si="33"/>
        <v>0</v>
      </c>
      <c r="BT38" s="61">
        <f t="shared" si="34"/>
        <v>0</v>
      </c>
      <c r="BU38" s="61">
        <f t="shared" si="35"/>
        <v>0</v>
      </c>
      <c r="BV38" s="61">
        <f t="shared" si="36"/>
        <v>0</v>
      </c>
      <c r="BW38" s="61">
        <f t="shared" si="37"/>
        <v>0</v>
      </c>
      <c r="BX38" s="61">
        <f t="shared" si="38"/>
        <v>0</v>
      </c>
      <c r="BY38" s="61">
        <f t="shared" si="39"/>
        <v>0</v>
      </c>
      <c r="CB38" s="61">
        <f t="shared" si="40"/>
        <v>0</v>
      </c>
      <c r="CC38" s="61">
        <f t="shared" si="41"/>
        <v>0</v>
      </c>
      <c r="CD38" s="61">
        <f t="shared" si="42"/>
        <v>0</v>
      </c>
      <c r="CE38" s="61">
        <f t="shared" si="43"/>
        <v>0</v>
      </c>
      <c r="CF38" s="61">
        <f t="shared" si="44"/>
        <v>0</v>
      </c>
      <c r="CG38" s="61">
        <f t="shared" si="45"/>
        <v>0</v>
      </c>
      <c r="CH38" s="61">
        <f t="shared" si="46"/>
        <v>0</v>
      </c>
      <c r="CI38" s="61">
        <f t="shared" si="47"/>
        <v>0</v>
      </c>
      <c r="CJ38" s="61">
        <f t="shared" si="48"/>
        <v>0</v>
      </c>
      <c r="CK38" s="61">
        <f t="shared" si="49"/>
        <v>0</v>
      </c>
      <c r="CL38" s="61">
        <f t="shared" si="50"/>
        <v>0</v>
      </c>
      <c r="CM38" s="61">
        <f t="shared" si="51"/>
        <v>0</v>
      </c>
      <c r="CN38" s="61">
        <f t="shared" si="52"/>
        <v>0</v>
      </c>
      <c r="CO38" s="61">
        <f t="shared" si="53"/>
        <v>0</v>
      </c>
      <c r="CP38" s="61">
        <f t="shared" si="54"/>
        <v>0</v>
      </c>
      <c r="CQ38" s="61">
        <f t="shared" si="55"/>
        <v>0</v>
      </c>
      <c r="CR38" s="61">
        <f t="shared" si="56"/>
        <v>0</v>
      </c>
      <c r="CS38" s="61">
        <f t="shared" si="57"/>
        <v>0</v>
      </c>
      <c r="CT38" s="61">
        <f t="shared" si="58"/>
        <v>0</v>
      </c>
      <c r="CU38" s="61">
        <f t="shared" si="59"/>
        <v>0</v>
      </c>
      <c r="CV38" s="61">
        <f t="shared" si="60"/>
        <v>0</v>
      </c>
      <c r="CY38" s="61">
        <f t="shared" si="61"/>
        <v>0</v>
      </c>
      <c r="CZ38" s="61">
        <f t="shared" si="62"/>
        <v>0</v>
      </c>
      <c r="DA38" s="61">
        <f t="shared" si="63"/>
        <v>0</v>
      </c>
      <c r="DB38" s="61">
        <f t="shared" si="64"/>
        <v>0</v>
      </c>
      <c r="DC38" s="61">
        <f t="shared" si="65"/>
        <v>0</v>
      </c>
      <c r="DD38" s="61">
        <f t="shared" si="66"/>
        <v>0</v>
      </c>
      <c r="DE38" s="61">
        <f t="shared" si="67"/>
        <v>0</v>
      </c>
      <c r="DF38" s="61">
        <f t="shared" si="68"/>
        <v>0</v>
      </c>
      <c r="DG38" s="61">
        <f t="shared" si="69"/>
        <v>0</v>
      </c>
      <c r="DH38" s="61">
        <f t="shared" si="70"/>
        <v>0</v>
      </c>
      <c r="DI38" s="61">
        <f t="shared" si="71"/>
        <v>0</v>
      </c>
      <c r="DJ38" s="61">
        <f t="shared" si="72"/>
        <v>0</v>
      </c>
      <c r="DK38" s="61">
        <f t="shared" si="73"/>
        <v>0</v>
      </c>
      <c r="DL38" s="61">
        <f t="shared" si="74"/>
        <v>0</v>
      </c>
    </row>
    <row r="39" spans="1:116" x14ac:dyDescent="0.25">
      <c r="A39" s="492" t="s">
        <v>762</v>
      </c>
      <c r="B39" s="422"/>
      <c r="C39" s="420"/>
      <c r="D39" s="420"/>
      <c r="E39" s="539" t="str">
        <f>IF(D39&lt;&gt;"",IF($C39="Male",VLOOKUP(D39,Titles!$K$3:$L$70,2,FALSE),IF($C39="Female",VLOOKUP(D39,Titles!$P$3:$Q$68,2,FALSE),"")),"")</f>
        <v/>
      </c>
      <c r="F39" s="420"/>
      <c r="G39" s="420"/>
      <c r="H39" s="420"/>
      <c r="I39" s="420"/>
      <c r="J39" s="420"/>
      <c r="K39" s="420"/>
      <c r="L39" s="420"/>
      <c r="M39" s="420"/>
      <c r="N39" s="421"/>
      <c r="O39" s="421"/>
      <c r="P39" s="421"/>
      <c r="Q39" s="421"/>
      <c r="R39" s="421"/>
      <c r="S39" s="421"/>
      <c r="T39" s="421"/>
      <c r="U39" s="421"/>
      <c r="V39" s="421"/>
      <c r="W39" s="421"/>
      <c r="X39" s="421"/>
      <c r="Y39" s="421"/>
      <c r="Z39" s="421"/>
      <c r="AA39" s="421"/>
      <c r="AB39" s="423"/>
      <c r="AD39" s="61">
        <f t="shared" si="13"/>
        <v>0</v>
      </c>
      <c r="AE39" s="61">
        <f t="shared" si="82"/>
        <v>0</v>
      </c>
      <c r="AF39" s="61">
        <f t="shared" si="83"/>
        <v>0</v>
      </c>
      <c r="AG39" s="61">
        <f t="shared" si="84"/>
        <v>0</v>
      </c>
      <c r="AH39" s="61">
        <f t="shared" si="85"/>
        <v>0</v>
      </c>
      <c r="AI39" s="61">
        <f t="shared" si="86"/>
        <v>0</v>
      </c>
      <c r="AJ39" s="61">
        <f t="shared" si="87"/>
        <v>0</v>
      </c>
      <c r="AK39" s="61">
        <f t="shared" si="88"/>
        <v>0</v>
      </c>
      <c r="AL39" s="61">
        <f t="shared" si="89"/>
        <v>0</v>
      </c>
      <c r="AO39" s="61">
        <f t="shared" si="14"/>
        <v>-5</v>
      </c>
      <c r="AP39" s="61">
        <f t="shared" si="15"/>
        <v>-5</v>
      </c>
      <c r="AQ39" s="61">
        <f t="shared" si="75"/>
        <v>-5</v>
      </c>
      <c r="AR39" s="61">
        <f t="shared" si="76"/>
        <v>-5</v>
      </c>
      <c r="AS39" s="61">
        <f t="shared" si="77"/>
        <v>-5</v>
      </c>
      <c r="AT39" s="61">
        <f t="shared" si="78"/>
        <v>-5</v>
      </c>
      <c r="AU39" s="61">
        <f t="shared" si="79"/>
        <v>-5</v>
      </c>
      <c r="AV39" s="61">
        <f t="shared" si="80"/>
        <v>-5</v>
      </c>
      <c r="AW39" s="61">
        <f t="shared" si="81"/>
        <v>-5</v>
      </c>
      <c r="AZ39" s="61">
        <f t="shared" si="16"/>
        <v>0</v>
      </c>
      <c r="BA39" s="61">
        <f t="shared" si="17"/>
        <v>0</v>
      </c>
      <c r="BB39" s="61">
        <f t="shared" si="18"/>
        <v>0</v>
      </c>
      <c r="BC39" s="61">
        <f t="shared" si="19"/>
        <v>0</v>
      </c>
      <c r="BD39" s="61">
        <f t="shared" si="20"/>
        <v>0</v>
      </c>
      <c r="BE39" s="61">
        <f t="shared" si="21"/>
        <v>0</v>
      </c>
      <c r="BF39" s="61">
        <f t="shared" si="22"/>
        <v>0</v>
      </c>
      <c r="BG39" s="61">
        <f t="shared" si="23"/>
        <v>0</v>
      </c>
      <c r="BH39" s="61">
        <f t="shared" si="24"/>
        <v>0</v>
      </c>
      <c r="BI39" s="61">
        <f t="shared" si="25"/>
        <v>0</v>
      </c>
      <c r="BJ39" s="61">
        <f t="shared" si="26"/>
        <v>0</v>
      </c>
      <c r="BK39" s="61">
        <f t="shared" si="27"/>
        <v>0</v>
      </c>
      <c r="BN39" s="61">
        <f t="shared" si="28"/>
        <v>0</v>
      </c>
      <c r="BO39" s="61">
        <f t="shared" si="29"/>
        <v>0</v>
      </c>
      <c r="BP39" s="61">
        <f t="shared" si="30"/>
        <v>0</v>
      </c>
      <c r="BQ39" s="61">
        <f t="shared" si="31"/>
        <v>0</v>
      </c>
      <c r="BR39" s="61">
        <f t="shared" si="32"/>
        <v>0</v>
      </c>
      <c r="BS39" s="61">
        <f t="shared" si="33"/>
        <v>0</v>
      </c>
      <c r="BT39" s="61">
        <f t="shared" si="34"/>
        <v>0</v>
      </c>
      <c r="BU39" s="61">
        <f t="shared" si="35"/>
        <v>0</v>
      </c>
      <c r="BV39" s="61">
        <f t="shared" si="36"/>
        <v>0</v>
      </c>
      <c r="BW39" s="61">
        <f t="shared" si="37"/>
        <v>0</v>
      </c>
      <c r="BX39" s="61">
        <f t="shared" si="38"/>
        <v>0</v>
      </c>
      <c r="BY39" s="61">
        <f t="shared" si="39"/>
        <v>0</v>
      </c>
      <c r="CB39" s="61">
        <f t="shared" si="40"/>
        <v>0</v>
      </c>
      <c r="CC39" s="61">
        <f t="shared" si="41"/>
        <v>0</v>
      </c>
      <c r="CD39" s="61">
        <f t="shared" si="42"/>
        <v>0</v>
      </c>
      <c r="CE39" s="61">
        <f t="shared" si="43"/>
        <v>0</v>
      </c>
      <c r="CF39" s="61">
        <f t="shared" si="44"/>
        <v>0</v>
      </c>
      <c r="CG39" s="61">
        <f t="shared" si="45"/>
        <v>0</v>
      </c>
      <c r="CH39" s="61">
        <f t="shared" si="46"/>
        <v>0</v>
      </c>
      <c r="CI39" s="61">
        <f t="shared" si="47"/>
        <v>0</v>
      </c>
      <c r="CJ39" s="61">
        <f t="shared" si="48"/>
        <v>0</v>
      </c>
      <c r="CK39" s="61">
        <f t="shared" si="49"/>
        <v>0</v>
      </c>
      <c r="CL39" s="61">
        <f t="shared" si="50"/>
        <v>0</v>
      </c>
      <c r="CM39" s="61">
        <f t="shared" si="51"/>
        <v>0</v>
      </c>
      <c r="CN39" s="61">
        <f t="shared" si="52"/>
        <v>0</v>
      </c>
      <c r="CO39" s="61">
        <f t="shared" si="53"/>
        <v>0</v>
      </c>
      <c r="CP39" s="61">
        <f t="shared" si="54"/>
        <v>0</v>
      </c>
      <c r="CQ39" s="61">
        <f t="shared" si="55"/>
        <v>0</v>
      </c>
      <c r="CR39" s="61">
        <f t="shared" si="56"/>
        <v>0</v>
      </c>
      <c r="CS39" s="61">
        <f t="shared" si="57"/>
        <v>0</v>
      </c>
      <c r="CT39" s="61">
        <f t="shared" si="58"/>
        <v>0</v>
      </c>
      <c r="CU39" s="61">
        <f t="shared" si="59"/>
        <v>0</v>
      </c>
      <c r="CV39" s="61">
        <f t="shared" si="60"/>
        <v>0</v>
      </c>
      <c r="CY39" s="61">
        <f t="shared" si="61"/>
        <v>0</v>
      </c>
      <c r="CZ39" s="61">
        <f t="shared" si="62"/>
        <v>0</v>
      </c>
      <c r="DA39" s="61">
        <f t="shared" si="63"/>
        <v>0</v>
      </c>
      <c r="DB39" s="61">
        <f t="shared" si="64"/>
        <v>0</v>
      </c>
      <c r="DC39" s="61">
        <f t="shared" si="65"/>
        <v>0</v>
      </c>
      <c r="DD39" s="61">
        <f t="shared" si="66"/>
        <v>0</v>
      </c>
      <c r="DE39" s="61">
        <f t="shared" si="67"/>
        <v>0</v>
      </c>
      <c r="DF39" s="61">
        <f t="shared" si="68"/>
        <v>0</v>
      </c>
      <c r="DG39" s="61">
        <f t="shared" si="69"/>
        <v>0</v>
      </c>
      <c r="DH39" s="61">
        <f t="shared" si="70"/>
        <v>0</v>
      </c>
      <c r="DI39" s="61">
        <f t="shared" si="71"/>
        <v>0</v>
      </c>
      <c r="DJ39" s="61">
        <f t="shared" si="72"/>
        <v>0</v>
      </c>
      <c r="DK39" s="61">
        <f t="shared" si="73"/>
        <v>0</v>
      </c>
      <c r="DL39" s="61">
        <f t="shared" si="74"/>
        <v>0</v>
      </c>
    </row>
    <row r="40" spans="1:116" x14ac:dyDescent="0.25">
      <c r="A40" s="492" t="s">
        <v>762</v>
      </c>
      <c r="B40" s="422"/>
      <c r="C40" s="420"/>
      <c r="D40" s="420"/>
      <c r="E40" s="539" t="str">
        <f>IF(D40&lt;&gt;"",IF($C40="Male",VLOOKUP(D40,Titles!$K$3:$L$70,2,FALSE),IF($C40="Female",VLOOKUP(D40,Titles!$P$3:$Q$68,2,FALSE),"")),"")</f>
        <v/>
      </c>
      <c r="F40" s="420"/>
      <c r="G40" s="420"/>
      <c r="H40" s="420"/>
      <c r="I40" s="420"/>
      <c r="J40" s="420"/>
      <c r="K40" s="420"/>
      <c r="L40" s="420"/>
      <c r="M40" s="420"/>
      <c r="N40" s="421"/>
      <c r="O40" s="421"/>
      <c r="P40" s="421"/>
      <c r="Q40" s="421"/>
      <c r="R40" s="421"/>
      <c r="S40" s="421"/>
      <c r="T40" s="421"/>
      <c r="U40" s="421"/>
      <c r="V40" s="421"/>
      <c r="W40" s="421"/>
      <c r="X40" s="421"/>
      <c r="Y40" s="421"/>
      <c r="Z40" s="421"/>
      <c r="AA40" s="421"/>
      <c r="AB40" s="423"/>
      <c r="AD40" s="61">
        <f t="shared" si="13"/>
        <v>0</v>
      </c>
      <c r="AE40" s="61">
        <f t="shared" si="82"/>
        <v>0</v>
      </c>
      <c r="AF40" s="61">
        <f t="shared" si="83"/>
        <v>0</v>
      </c>
      <c r="AG40" s="61">
        <f t="shared" si="84"/>
        <v>0</v>
      </c>
      <c r="AH40" s="61">
        <f t="shared" si="85"/>
        <v>0</v>
      </c>
      <c r="AI40" s="61">
        <f t="shared" si="86"/>
        <v>0</v>
      </c>
      <c r="AJ40" s="61">
        <f t="shared" si="87"/>
        <v>0</v>
      </c>
      <c r="AK40" s="61">
        <f t="shared" si="88"/>
        <v>0</v>
      </c>
      <c r="AL40" s="61">
        <f t="shared" si="89"/>
        <v>0</v>
      </c>
      <c r="AO40" s="61">
        <f t="shared" si="14"/>
        <v>-5</v>
      </c>
      <c r="AP40" s="61">
        <f t="shared" si="15"/>
        <v>-5</v>
      </c>
      <c r="AQ40" s="61">
        <f t="shared" si="75"/>
        <v>-5</v>
      </c>
      <c r="AR40" s="61">
        <f t="shared" si="76"/>
        <v>-5</v>
      </c>
      <c r="AS40" s="61">
        <f t="shared" si="77"/>
        <v>-5</v>
      </c>
      <c r="AT40" s="61">
        <f t="shared" si="78"/>
        <v>-5</v>
      </c>
      <c r="AU40" s="61">
        <f t="shared" si="79"/>
        <v>-5</v>
      </c>
      <c r="AV40" s="61">
        <f t="shared" si="80"/>
        <v>-5</v>
      </c>
      <c r="AW40" s="61">
        <f t="shared" si="81"/>
        <v>-5</v>
      </c>
      <c r="AZ40" s="61">
        <f t="shared" si="16"/>
        <v>0</v>
      </c>
      <c r="BA40" s="61">
        <f t="shared" si="17"/>
        <v>0</v>
      </c>
      <c r="BB40" s="61">
        <f t="shared" si="18"/>
        <v>0</v>
      </c>
      <c r="BC40" s="61">
        <f t="shared" si="19"/>
        <v>0</v>
      </c>
      <c r="BD40" s="61">
        <f t="shared" si="20"/>
        <v>0</v>
      </c>
      <c r="BE40" s="61">
        <f t="shared" si="21"/>
        <v>0</v>
      </c>
      <c r="BF40" s="61">
        <f t="shared" si="22"/>
        <v>0</v>
      </c>
      <c r="BG40" s="61">
        <f t="shared" si="23"/>
        <v>0</v>
      </c>
      <c r="BH40" s="61">
        <f t="shared" si="24"/>
        <v>0</v>
      </c>
      <c r="BI40" s="61">
        <f t="shared" si="25"/>
        <v>0</v>
      </c>
      <c r="BJ40" s="61">
        <f t="shared" si="26"/>
        <v>0</v>
      </c>
      <c r="BK40" s="61">
        <f t="shared" si="27"/>
        <v>0</v>
      </c>
      <c r="BN40" s="61">
        <f t="shared" si="28"/>
        <v>0</v>
      </c>
      <c r="BO40" s="61">
        <f t="shared" si="29"/>
        <v>0</v>
      </c>
      <c r="BP40" s="61">
        <f t="shared" si="30"/>
        <v>0</v>
      </c>
      <c r="BQ40" s="61">
        <f t="shared" si="31"/>
        <v>0</v>
      </c>
      <c r="BR40" s="61">
        <f t="shared" si="32"/>
        <v>0</v>
      </c>
      <c r="BS40" s="61">
        <f t="shared" si="33"/>
        <v>0</v>
      </c>
      <c r="BT40" s="61">
        <f t="shared" si="34"/>
        <v>0</v>
      </c>
      <c r="BU40" s="61">
        <f t="shared" si="35"/>
        <v>0</v>
      </c>
      <c r="BV40" s="61">
        <f t="shared" si="36"/>
        <v>0</v>
      </c>
      <c r="BW40" s="61">
        <f t="shared" si="37"/>
        <v>0</v>
      </c>
      <c r="BX40" s="61">
        <f t="shared" si="38"/>
        <v>0</v>
      </c>
      <c r="BY40" s="61">
        <f t="shared" si="39"/>
        <v>0</v>
      </c>
      <c r="CB40" s="61">
        <f t="shared" si="40"/>
        <v>0</v>
      </c>
      <c r="CC40" s="61">
        <f t="shared" si="41"/>
        <v>0</v>
      </c>
      <c r="CD40" s="61">
        <f t="shared" si="42"/>
        <v>0</v>
      </c>
      <c r="CE40" s="61">
        <f t="shared" si="43"/>
        <v>0</v>
      </c>
      <c r="CF40" s="61">
        <f t="shared" si="44"/>
        <v>0</v>
      </c>
      <c r="CG40" s="61">
        <f t="shared" si="45"/>
        <v>0</v>
      </c>
      <c r="CH40" s="61">
        <f t="shared" si="46"/>
        <v>0</v>
      </c>
      <c r="CI40" s="61">
        <f t="shared" si="47"/>
        <v>0</v>
      </c>
      <c r="CJ40" s="61">
        <f t="shared" si="48"/>
        <v>0</v>
      </c>
      <c r="CK40" s="61">
        <f t="shared" si="49"/>
        <v>0</v>
      </c>
      <c r="CL40" s="61">
        <f t="shared" si="50"/>
        <v>0</v>
      </c>
      <c r="CM40" s="61">
        <f t="shared" si="51"/>
        <v>0</v>
      </c>
      <c r="CN40" s="61">
        <f t="shared" si="52"/>
        <v>0</v>
      </c>
      <c r="CO40" s="61">
        <f t="shared" si="53"/>
        <v>0</v>
      </c>
      <c r="CP40" s="61">
        <f t="shared" si="54"/>
        <v>0</v>
      </c>
      <c r="CQ40" s="61">
        <f t="shared" si="55"/>
        <v>0</v>
      </c>
      <c r="CR40" s="61">
        <f t="shared" si="56"/>
        <v>0</v>
      </c>
      <c r="CS40" s="61">
        <f t="shared" si="57"/>
        <v>0</v>
      </c>
      <c r="CT40" s="61">
        <f t="shared" si="58"/>
        <v>0</v>
      </c>
      <c r="CU40" s="61">
        <f t="shared" si="59"/>
        <v>0</v>
      </c>
      <c r="CV40" s="61">
        <f t="shared" si="60"/>
        <v>0</v>
      </c>
      <c r="CY40" s="61">
        <f t="shared" si="61"/>
        <v>0</v>
      </c>
      <c r="CZ40" s="61">
        <f t="shared" si="62"/>
        <v>0</v>
      </c>
      <c r="DA40" s="61">
        <f t="shared" si="63"/>
        <v>0</v>
      </c>
      <c r="DB40" s="61">
        <f t="shared" si="64"/>
        <v>0</v>
      </c>
      <c r="DC40" s="61">
        <f t="shared" si="65"/>
        <v>0</v>
      </c>
      <c r="DD40" s="61">
        <f t="shared" si="66"/>
        <v>0</v>
      </c>
      <c r="DE40" s="61">
        <f t="shared" si="67"/>
        <v>0</v>
      </c>
      <c r="DF40" s="61">
        <f t="shared" si="68"/>
        <v>0</v>
      </c>
      <c r="DG40" s="61">
        <f t="shared" si="69"/>
        <v>0</v>
      </c>
      <c r="DH40" s="61">
        <f t="shared" si="70"/>
        <v>0</v>
      </c>
      <c r="DI40" s="61">
        <f t="shared" si="71"/>
        <v>0</v>
      </c>
      <c r="DJ40" s="61">
        <f t="shared" si="72"/>
        <v>0</v>
      </c>
      <c r="DK40" s="61">
        <f t="shared" si="73"/>
        <v>0</v>
      </c>
      <c r="DL40" s="61">
        <f t="shared" si="74"/>
        <v>0</v>
      </c>
    </row>
    <row r="41" spans="1:116" x14ac:dyDescent="0.25">
      <c r="A41" s="492" t="s">
        <v>762</v>
      </c>
      <c r="B41" s="422"/>
      <c r="C41" s="420"/>
      <c r="D41" s="420"/>
      <c r="E41" s="539" t="str">
        <f>IF(D41&lt;&gt;"",IF($C41="Male",VLOOKUP(D41,Titles!$K$3:$L$70,2,FALSE),IF($C41="Female",VLOOKUP(D41,Titles!$P$3:$Q$68,2,FALSE),"")),"")</f>
        <v/>
      </c>
      <c r="F41" s="420"/>
      <c r="G41" s="420"/>
      <c r="H41" s="420"/>
      <c r="I41" s="420"/>
      <c r="J41" s="420"/>
      <c r="K41" s="420"/>
      <c r="L41" s="420"/>
      <c r="M41" s="420"/>
      <c r="N41" s="421"/>
      <c r="O41" s="421"/>
      <c r="P41" s="421"/>
      <c r="Q41" s="421"/>
      <c r="R41" s="421"/>
      <c r="S41" s="421"/>
      <c r="T41" s="421"/>
      <c r="U41" s="421"/>
      <c r="V41" s="421"/>
      <c r="W41" s="421"/>
      <c r="X41" s="421"/>
      <c r="Y41" s="421"/>
      <c r="Z41" s="421"/>
      <c r="AA41" s="421"/>
      <c r="AB41" s="423"/>
      <c r="AD41" s="61">
        <f t="shared" si="13"/>
        <v>0</v>
      </c>
      <c r="AE41" s="61">
        <f t="shared" si="82"/>
        <v>0</v>
      </c>
      <c r="AF41" s="61">
        <f t="shared" si="83"/>
        <v>0</v>
      </c>
      <c r="AG41" s="61">
        <f t="shared" si="84"/>
        <v>0</v>
      </c>
      <c r="AH41" s="61">
        <f t="shared" si="85"/>
        <v>0</v>
      </c>
      <c r="AI41" s="61">
        <f t="shared" si="86"/>
        <v>0</v>
      </c>
      <c r="AJ41" s="61">
        <f t="shared" si="87"/>
        <v>0</v>
      </c>
      <c r="AK41" s="61">
        <f t="shared" si="88"/>
        <v>0</v>
      </c>
      <c r="AL41" s="61">
        <f t="shared" si="89"/>
        <v>0</v>
      </c>
      <c r="AO41" s="61">
        <f t="shared" si="14"/>
        <v>-5</v>
      </c>
      <c r="AP41" s="61">
        <f t="shared" si="15"/>
        <v>-5</v>
      </c>
      <c r="AQ41" s="61">
        <f t="shared" si="75"/>
        <v>-5</v>
      </c>
      <c r="AR41" s="61">
        <f t="shared" si="76"/>
        <v>-5</v>
      </c>
      <c r="AS41" s="61">
        <f t="shared" si="77"/>
        <v>-5</v>
      </c>
      <c r="AT41" s="61">
        <f t="shared" si="78"/>
        <v>-5</v>
      </c>
      <c r="AU41" s="61">
        <f t="shared" si="79"/>
        <v>-5</v>
      </c>
      <c r="AV41" s="61">
        <f t="shared" si="80"/>
        <v>-5</v>
      </c>
      <c r="AW41" s="61">
        <f t="shared" si="81"/>
        <v>-5</v>
      </c>
      <c r="AZ41" s="61">
        <f t="shared" si="16"/>
        <v>0</v>
      </c>
      <c r="BA41" s="61">
        <f t="shared" si="17"/>
        <v>0</v>
      </c>
      <c r="BB41" s="61">
        <f t="shared" si="18"/>
        <v>0</v>
      </c>
      <c r="BC41" s="61">
        <f t="shared" si="19"/>
        <v>0</v>
      </c>
      <c r="BD41" s="61">
        <f t="shared" si="20"/>
        <v>0</v>
      </c>
      <c r="BE41" s="61">
        <f t="shared" si="21"/>
        <v>0</v>
      </c>
      <c r="BF41" s="61">
        <f t="shared" si="22"/>
        <v>0</v>
      </c>
      <c r="BG41" s="61">
        <f t="shared" si="23"/>
        <v>0</v>
      </c>
      <c r="BH41" s="61">
        <f t="shared" si="24"/>
        <v>0</v>
      </c>
      <c r="BI41" s="61">
        <f t="shared" si="25"/>
        <v>0</v>
      </c>
      <c r="BJ41" s="61">
        <f t="shared" si="26"/>
        <v>0</v>
      </c>
      <c r="BK41" s="61">
        <f t="shared" si="27"/>
        <v>0</v>
      </c>
      <c r="BN41" s="61">
        <f t="shared" si="28"/>
        <v>0</v>
      </c>
      <c r="BO41" s="61">
        <f t="shared" si="29"/>
        <v>0</v>
      </c>
      <c r="BP41" s="61">
        <f t="shared" si="30"/>
        <v>0</v>
      </c>
      <c r="BQ41" s="61">
        <f t="shared" si="31"/>
        <v>0</v>
      </c>
      <c r="BR41" s="61">
        <f t="shared" si="32"/>
        <v>0</v>
      </c>
      <c r="BS41" s="61">
        <f t="shared" si="33"/>
        <v>0</v>
      </c>
      <c r="BT41" s="61">
        <f t="shared" si="34"/>
        <v>0</v>
      </c>
      <c r="BU41" s="61">
        <f t="shared" si="35"/>
        <v>0</v>
      </c>
      <c r="BV41" s="61">
        <f t="shared" si="36"/>
        <v>0</v>
      </c>
      <c r="BW41" s="61">
        <f t="shared" si="37"/>
        <v>0</v>
      </c>
      <c r="BX41" s="61">
        <f t="shared" si="38"/>
        <v>0</v>
      </c>
      <c r="BY41" s="61">
        <f t="shared" si="39"/>
        <v>0</v>
      </c>
      <c r="CB41" s="61">
        <f t="shared" si="40"/>
        <v>0</v>
      </c>
      <c r="CC41" s="61">
        <f t="shared" si="41"/>
        <v>0</v>
      </c>
      <c r="CD41" s="61">
        <f t="shared" si="42"/>
        <v>0</v>
      </c>
      <c r="CE41" s="61">
        <f t="shared" si="43"/>
        <v>0</v>
      </c>
      <c r="CF41" s="61">
        <f t="shared" si="44"/>
        <v>0</v>
      </c>
      <c r="CG41" s="61">
        <f t="shared" si="45"/>
        <v>0</v>
      </c>
      <c r="CH41" s="61">
        <f t="shared" si="46"/>
        <v>0</v>
      </c>
      <c r="CI41" s="61">
        <f t="shared" si="47"/>
        <v>0</v>
      </c>
      <c r="CJ41" s="61">
        <f t="shared" si="48"/>
        <v>0</v>
      </c>
      <c r="CK41" s="61">
        <f t="shared" si="49"/>
        <v>0</v>
      </c>
      <c r="CL41" s="61">
        <f t="shared" si="50"/>
        <v>0</v>
      </c>
      <c r="CM41" s="61">
        <f t="shared" si="51"/>
        <v>0</v>
      </c>
      <c r="CN41" s="61">
        <f t="shared" si="52"/>
        <v>0</v>
      </c>
      <c r="CO41" s="61">
        <f t="shared" si="53"/>
        <v>0</v>
      </c>
      <c r="CP41" s="61">
        <f t="shared" si="54"/>
        <v>0</v>
      </c>
      <c r="CQ41" s="61">
        <f t="shared" si="55"/>
        <v>0</v>
      </c>
      <c r="CR41" s="61">
        <f t="shared" si="56"/>
        <v>0</v>
      </c>
      <c r="CS41" s="61">
        <f t="shared" si="57"/>
        <v>0</v>
      </c>
      <c r="CT41" s="61">
        <f t="shared" si="58"/>
        <v>0</v>
      </c>
      <c r="CU41" s="61">
        <f t="shared" si="59"/>
        <v>0</v>
      </c>
      <c r="CV41" s="61">
        <f t="shared" si="60"/>
        <v>0</v>
      </c>
      <c r="CY41" s="61">
        <f t="shared" si="61"/>
        <v>0</v>
      </c>
      <c r="CZ41" s="61">
        <f t="shared" si="62"/>
        <v>0</v>
      </c>
      <c r="DA41" s="61">
        <f t="shared" si="63"/>
        <v>0</v>
      </c>
      <c r="DB41" s="61">
        <f t="shared" si="64"/>
        <v>0</v>
      </c>
      <c r="DC41" s="61">
        <f t="shared" si="65"/>
        <v>0</v>
      </c>
      <c r="DD41" s="61">
        <f t="shared" si="66"/>
        <v>0</v>
      </c>
      <c r="DE41" s="61">
        <f t="shared" si="67"/>
        <v>0</v>
      </c>
      <c r="DF41" s="61">
        <f t="shared" si="68"/>
        <v>0</v>
      </c>
      <c r="DG41" s="61">
        <f t="shared" si="69"/>
        <v>0</v>
      </c>
      <c r="DH41" s="61">
        <f t="shared" si="70"/>
        <v>0</v>
      </c>
      <c r="DI41" s="61">
        <f t="shared" si="71"/>
        <v>0</v>
      </c>
      <c r="DJ41" s="61">
        <f t="shared" si="72"/>
        <v>0</v>
      </c>
      <c r="DK41" s="61">
        <f t="shared" si="73"/>
        <v>0</v>
      </c>
      <c r="DL41" s="61">
        <f t="shared" si="74"/>
        <v>0</v>
      </c>
    </row>
    <row r="42" spans="1:116" x14ac:dyDescent="0.25">
      <c r="A42" s="492" t="s">
        <v>762</v>
      </c>
      <c r="B42" s="422"/>
      <c r="C42" s="420"/>
      <c r="D42" s="420"/>
      <c r="E42" s="539" t="str">
        <f>IF(D42&lt;&gt;"",IF($C42="Male",VLOOKUP(D42,Titles!$K$3:$L$70,2,FALSE),IF($C42="Female",VLOOKUP(D42,Titles!$P$3:$Q$68,2,FALSE),"")),"")</f>
        <v/>
      </c>
      <c r="F42" s="420"/>
      <c r="G42" s="420"/>
      <c r="H42" s="420"/>
      <c r="I42" s="420"/>
      <c r="J42" s="420"/>
      <c r="K42" s="420"/>
      <c r="L42" s="420"/>
      <c r="M42" s="420"/>
      <c r="N42" s="421"/>
      <c r="O42" s="421"/>
      <c r="P42" s="421"/>
      <c r="Q42" s="421"/>
      <c r="R42" s="421"/>
      <c r="S42" s="421"/>
      <c r="T42" s="421"/>
      <c r="U42" s="421"/>
      <c r="V42" s="421"/>
      <c r="W42" s="421"/>
      <c r="X42" s="421"/>
      <c r="Y42" s="421"/>
      <c r="Z42" s="421"/>
      <c r="AA42" s="421"/>
      <c r="AB42" s="423"/>
      <c r="AD42" s="61">
        <f t="shared" si="13"/>
        <v>0</v>
      </c>
      <c r="AE42" s="61">
        <f t="shared" si="82"/>
        <v>0</v>
      </c>
      <c r="AF42" s="61">
        <f t="shared" si="83"/>
        <v>0</v>
      </c>
      <c r="AG42" s="61">
        <f t="shared" si="84"/>
        <v>0</v>
      </c>
      <c r="AH42" s="61">
        <f t="shared" si="85"/>
        <v>0</v>
      </c>
      <c r="AI42" s="61">
        <f t="shared" si="86"/>
        <v>0</v>
      </c>
      <c r="AJ42" s="61">
        <f t="shared" si="87"/>
        <v>0</v>
      </c>
      <c r="AK42" s="61">
        <f t="shared" si="88"/>
        <v>0</v>
      </c>
      <c r="AL42" s="61">
        <f t="shared" si="89"/>
        <v>0</v>
      </c>
      <c r="AO42" s="61">
        <f t="shared" si="14"/>
        <v>-5</v>
      </c>
      <c r="AP42" s="61">
        <f t="shared" si="15"/>
        <v>-5</v>
      </c>
      <c r="AQ42" s="61">
        <f t="shared" si="75"/>
        <v>-5</v>
      </c>
      <c r="AR42" s="61">
        <f t="shared" si="76"/>
        <v>-5</v>
      </c>
      <c r="AS42" s="61">
        <f t="shared" si="77"/>
        <v>-5</v>
      </c>
      <c r="AT42" s="61">
        <f t="shared" si="78"/>
        <v>-5</v>
      </c>
      <c r="AU42" s="61">
        <f t="shared" si="79"/>
        <v>-5</v>
      </c>
      <c r="AV42" s="61">
        <f t="shared" si="80"/>
        <v>-5</v>
      </c>
      <c r="AW42" s="61">
        <f t="shared" si="81"/>
        <v>-5</v>
      </c>
      <c r="AZ42" s="61">
        <f t="shared" si="16"/>
        <v>0</v>
      </c>
      <c r="BA42" s="61">
        <f t="shared" si="17"/>
        <v>0</v>
      </c>
      <c r="BB42" s="61">
        <f t="shared" si="18"/>
        <v>0</v>
      </c>
      <c r="BC42" s="61">
        <f t="shared" si="19"/>
        <v>0</v>
      </c>
      <c r="BD42" s="61">
        <f t="shared" si="20"/>
        <v>0</v>
      </c>
      <c r="BE42" s="61">
        <f t="shared" si="21"/>
        <v>0</v>
      </c>
      <c r="BF42" s="61">
        <f t="shared" si="22"/>
        <v>0</v>
      </c>
      <c r="BG42" s="61">
        <f t="shared" si="23"/>
        <v>0</v>
      </c>
      <c r="BH42" s="61">
        <f t="shared" si="24"/>
        <v>0</v>
      </c>
      <c r="BI42" s="61">
        <f t="shared" si="25"/>
        <v>0</v>
      </c>
      <c r="BJ42" s="61">
        <f t="shared" si="26"/>
        <v>0</v>
      </c>
      <c r="BK42" s="61">
        <f t="shared" si="27"/>
        <v>0</v>
      </c>
      <c r="BN42" s="61">
        <f t="shared" si="28"/>
        <v>0</v>
      </c>
      <c r="BO42" s="61">
        <f t="shared" si="29"/>
        <v>0</v>
      </c>
      <c r="BP42" s="61">
        <f t="shared" si="30"/>
        <v>0</v>
      </c>
      <c r="BQ42" s="61">
        <f t="shared" si="31"/>
        <v>0</v>
      </c>
      <c r="BR42" s="61">
        <f t="shared" si="32"/>
        <v>0</v>
      </c>
      <c r="BS42" s="61">
        <f t="shared" si="33"/>
        <v>0</v>
      </c>
      <c r="BT42" s="61">
        <f t="shared" si="34"/>
        <v>0</v>
      </c>
      <c r="BU42" s="61">
        <f t="shared" si="35"/>
        <v>0</v>
      </c>
      <c r="BV42" s="61">
        <f t="shared" si="36"/>
        <v>0</v>
      </c>
      <c r="BW42" s="61">
        <f t="shared" si="37"/>
        <v>0</v>
      </c>
      <c r="BX42" s="61">
        <f t="shared" si="38"/>
        <v>0</v>
      </c>
      <c r="BY42" s="61">
        <f t="shared" si="39"/>
        <v>0</v>
      </c>
      <c r="CB42" s="61">
        <f t="shared" si="40"/>
        <v>0</v>
      </c>
      <c r="CC42" s="61">
        <f t="shared" si="41"/>
        <v>0</v>
      </c>
      <c r="CD42" s="61">
        <f t="shared" si="42"/>
        <v>0</v>
      </c>
      <c r="CE42" s="61">
        <f t="shared" si="43"/>
        <v>0</v>
      </c>
      <c r="CF42" s="61">
        <f t="shared" si="44"/>
        <v>0</v>
      </c>
      <c r="CG42" s="61">
        <f t="shared" si="45"/>
        <v>0</v>
      </c>
      <c r="CH42" s="61">
        <f t="shared" si="46"/>
        <v>0</v>
      </c>
      <c r="CI42" s="61">
        <f t="shared" si="47"/>
        <v>0</v>
      </c>
      <c r="CJ42" s="61">
        <f t="shared" si="48"/>
        <v>0</v>
      </c>
      <c r="CK42" s="61">
        <f t="shared" si="49"/>
        <v>0</v>
      </c>
      <c r="CL42" s="61">
        <f t="shared" si="50"/>
        <v>0</v>
      </c>
      <c r="CM42" s="61">
        <f t="shared" si="51"/>
        <v>0</v>
      </c>
      <c r="CN42" s="61">
        <f t="shared" si="52"/>
        <v>0</v>
      </c>
      <c r="CO42" s="61">
        <f t="shared" si="53"/>
        <v>0</v>
      </c>
      <c r="CP42" s="61">
        <f t="shared" si="54"/>
        <v>0</v>
      </c>
      <c r="CQ42" s="61">
        <f t="shared" si="55"/>
        <v>0</v>
      </c>
      <c r="CR42" s="61">
        <f t="shared" si="56"/>
        <v>0</v>
      </c>
      <c r="CS42" s="61">
        <f t="shared" si="57"/>
        <v>0</v>
      </c>
      <c r="CT42" s="61">
        <f t="shared" si="58"/>
        <v>0</v>
      </c>
      <c r="CU42" s="61">
        <f t="shared" si="59"/>
        <v>0</v>
      </c>
      <c r="CV42" s="61">
        <f t="shared" si="60"/>
        <v>0</v>
      </c>
      <c r="CY42" s="61">
        <f t="shared" si="61"/>
        <v>0</v>
      </c>
      <c r="CZ42" s="61">
        <f t="shared" si="62"/>
        <v>0</v>
      </c>
      <c r="DA42" s="61">
        <f t="shared" si="63"/>
        <v>0</v>
      </c>
      <c r="DB42" s="61">
        <f t="shared" si="64"/>
        <v>0</v>
      </c>
      <c r="DC42" s="61">
        <f t="shared" si="65"/>
        <v>0</v>
      </c>
      <c r="DD42" s="61">
        <f t="shared" si="66"/>
        <v>0</v>
      </c>
      <c r="DE42" s="61">
        <f t="shared" si="67"/>
        <v>0</v>
      </c>
      <c r="DF42" s="61">
        <f t="shared" si="68"/>
        <v>0</v>
      </c>
      <c r="DG42" s="61">
        <f t="shared" si="69"/>
        <v>0</v>
      </c>
      <c r="DH42" s="61">
        <f t="shared" si="70"/>
        <v>0</v>
      </c>
      <c r="DI42" s="61">
        <f t="shared" si="71"/>
        <v>0</v>
      </c>
      <c r="DJ42" s="61">
        <f t="shared" si="72"/>
        <v>0</v>
      </c>
      <c r="DK42" s="61">
        <f t="shared" si="73"/>
        <v>0</v>
      </c>
      <c r="DL42" s="61">
        <f t="shared" si="74"/>
        <v>0</v>
      </c>
    </row>
    <row r="43" spans="1:116" x14ac:dyDescent="0.25">
      <c r="A43" s="492" t="s">
        <v>762</v>
      </c>
      <c r="B43" s="422"/>
      <c r="C43" s="420"/>
      <c r="D43" s="420"/>
      <c r="E43" s="539" t="str">
        <f>IF(D43&lt;&gt;"",IF($C43="Male",VLOOKUP(D43,Titles!$K$3:$L$70,2,FALSE),IF($C43="Female",VLOOKUP(D43,Titles!$P$3:$Q$68,2,FALSE),"")),"")</f>
        <v/>
      </c>
      <c r="F43" s="420"/>
      <c r="G43" s="420"/>
      <c r="H43" s="420"/>
      <c r="I43" s="420"/>
      <c r="J43" s="420"/>
      <c r="K43" s="420"/>
      <c r="L43" s="420"/>
      <c r="M43" s="420"/>
      <c r="N43" s="421"/>
      <c r="O43" s="421"/>
      <c r="P43" s="421"/>
      <c r="Q43" s="421"/>
      <c r="R43" s="421"/>
      <c r="S43" s="421"/>
      <c r="T43" s="421"/>
      <c r="U43" s="421"/>
      <c r="V43" s="421"/>
      <c r="W43" s="421"/>
      <c r="X43" s="421"/>
      <c r="Y43" s="421"/>
      <c r="Z43" s="421"/>
      <c r="AA43" s="421"/>
      <c r="AB43" s="423"/>
      <c r="AD43" s="61">
        <f t="shared" si="13"/>
        <v>0</v>
      </c>
      <c r="AE43" s="61">
        <f t="shared" si="82"/>
        <v>0</v>
      </c>
      <c r="AF43" s="61">
        <f t="shared" si="83"/>
        <v>0</v>
      </c>
      <c r="AG43" s="61">
        <f t="shared" si="84"/>
        <v>0</v>
      </c>
      <c r="AH43" s="61">
        <f t="shared" si="85"/>
        <v>0</v>
      </c>
      <c r="AI43" s="61">
        <f t="shared" si="86"/>
        <v>0</v>
      </c>
      <c r="AJ43" s="61">
        <f t="shared" si="87"/>
        <v>0</v>
      </c>
      <c r="AK43" s="61">
        <f t="shared" si="88"/>
        <v>0</v>
      </c>
      <c r="AL43" s="61">
        <f t="shared" si="89"/>
        <v>0</v>
      </c>
      <c r="AO43" s="61">
        <f t="shared" si="14"/>
        <v>-5</v>
      </c>
      <c r="AP43" s="61">
        <f t="shared" si="15"/>
        <v>-5</v>
      </c>
      <c r="AQ43" s="61">
        <f t="shared" si="75"/>
        <v>-5</v>
      </c>
      <c r="AR43" s="61">
        <f t="shared" si="76"/>
        <v>-5</v>
      </c>
      <c r="AS43" s="61">
        <f t="shared" si="77"/>
        <v>-5</v>
      </c>
      <c r="AT43" s="61">
        <f t="shared" si="78"/>
        <v>-5</v>
      </c>
      <c r="AU43" s="61">
        <f t="shared" si="79"/>
        <v>-5</v>
      </c>
      <c r="AV43" s="61">
        <f t="shared" si="80"/>
        <v>-5</v>
      </c>
      <c r="AW43" s="61">
        <f t="shared" si="81"/>
        <v>-5</v>
      </c>
      <c r="AZ43" s="61">
        <f t="shared" si="16"/>
        <v>0</v>
      </c>
      <c r="BA43" s="61">
        <f t="shared" si="17"/>
        <v>0</v>
      </c>
      <c r="BB43" s="61">
        <f t="shared" si="18"/>
        <v>0</v>
      </c>
      <c r="BC43" s="61">
        <f t="shared" si="19"/>
        <v>0</v>
      </c>
      <c r="BD43" s="61">
        <f t="shared" si="20"/>
        <v>0</v>
      </c>
      <c r="BE43" s="61">
        <f t="shared" si="21"/>
        <v>0</v>
      </c>
      <c r="BF43" s="61">
        <f t="shared" si="22"/>
        <v>0</v>
      </c>
      <c r="BG43" s="61">
        <f t="shared" si="23"/>
        <v>0</v>
      </c>
      <c r="BH43" s="61">
        <f t="shared" si="24"/>
        <v>0</v>
      </c>
      <c r="BI43" s="61">
        <f t="shared" si="25"/>
        <v>0</v>
      </c>
      <c r="BJ43" s="61">
        <f t="shared" si="26"/>
        <v>0</v>
      </c>
      <c r="BK43" s="61">
        <f t="shared" si="27"/>
        <v>0</v>
      </c>
      <c r="BN43" s="61">
        <f t="shared" si="28"/>
        <v>0</v>
      </c>
      <c r="BO43" s="61">
        <f t="shared" si="29"/>
        <v>0</v>
      </c>
      <c r="BP43" s="61">
        <f t="shared" si="30"/>
        <v>0</v>
      </c>
      <c r="BQ43" s="61">
        <f t="shared" si="31"/>
        <v>0</v>
      </c>
      <c r="BR43" s="61">
        <f t="shared" si="32"/>
        <v>0</v>
      </c>
      <c r="BS43" s="61">
        <f t="shared" si="33"/>
        <v>0</v>
      </c>
      <c r="BT43" s="61">
        <f t="shared" si="34"/>
        <v>0</v>
      </c>
      <c r="BU43" s="61">
        <f t="shared" si="35"/>
        <v>0</v>
      </c>
      <c r="BV43" s="61">
        <f t="shared" si="36"/>
        <v>0</v>
      </c>
      <c r="BW43" s="61">
        <f t="shared" si="37"/>
        <v>0</v>
      </c>
      <c r="BX43" s="61">
        <f t="shared" si="38"/>
        <v>0</v>
      </c>
      <c r="BY43" s="61">
        <f t="shared" si="39"/>
        <v>0</v>
      </c>
      <c r="CB43" s="61">
        <f t="shared" si="40"/>
        <v>0</v>
      </c>
      <c r="CC43" s="61">
        <f t="shared" si="41"/>
        <v>0</v>
      </c>
      <c r="CD43" s="61">
        <f t="shared" si="42"/>
        <v>0</v>
      </c>
      <c r="CE43" s="61">
        <f t="shared" si="43"/>
        <v>0</v>
      </c>
      <c r="CF43" s="61">
        <f t="shared" si="44"/>
        <v>0</v>
      </c>
      <c r="CG43" s="61">
        <f t="shared" si="45"/>
        <v>0</v>
      </c>
      <c r="CH43" s="61">
        <f t="shared" si="46"/>
        <v>0</v>
      </c>
      <c r="CI43" s="61">
        <f t="shared" si="47"/>
        <v>0</v>
      </c>
      <c r="CJ43" s="61">
        <f t="shared" si="48"/>
        <v>0</v>
      </c>
      <c r="CK43" s="61">
        <f t="shared" si="49"/>
        <v>0</v>
      </c>
      <c r="CL43" s="61">
        <f t="shared" si="50"/>
        <v>0</v>
      </c>
      <c r="CM43" s="61">
        <f t="shared" si="51"/>
        <v>0</v>
      </c>
      <c r="CN43" s="61">
        <f t="shared" si="52"/>
        <v>0</v>
      </c>
      <c r="CO43" s="61">
        <f t="shared" si="53"/>
        <v>0</v>
      </c>
      <c r="CP43" s="61">
        <f t="shared" si="54"/>
        <v>0</v>
      </c>
      <c r="CQ43" s="61">
        <f t="shared" si="55"/>
        <v>0</v>
      </c>
      <c r="CR43" s="61">
        <f t="shared" si="56"/>
        <v>0</v>
      </c>
      <c r="CS43" s="61">
        <f t="shared" si="57"/>
        <v>0</v>
      </c>
      <c r="CT43" s="61">
        <f t="shared" si="58"/>
        <v>0</v>
      </c>
      <c r="CU43" s="61">
        <f t="shared" si="59"/>
        <v>0</v>
      </c>
      <c r="CV43" s="61">
        <f t="shared" si="60"/>
        <v>0</v>
      </c>
      <c r="CY43" s="61">
        <f t="shared" si="61"/>
        <v>0</v>
      </c>
      <c r="CZ43" s="61">
        <f t="shared" si="62"/>
        <v>0</v>
      </c>
      <c r="DA43" s="61">
        <f t="shared" si="63"/>
        <v>0</v>
      </c>
      <c r="DB43" s="61">
        <f t="shared" si="64"/>
        <v>0</v>
      </c>
      <c r="DC43" s="61">
        <f t="shared" si="65"/>
        <v>0</v>
      </c>
      <c r="DD43" s="61">
        <f t="shared" si="66"/>
        <v>0</v>
      </c>
      <c r="DE43" s="61">
        <f t="shared" si="67"/>
        <v>0</v>
      </c>
      <c r="DF43" s="61">
        <f t="shared" si="68"/>
        <v>0</v>
      </c>
      <c r="DG43" s="61">
        <f t="shared" si="69"/>
        <v>0</v>
      </c>
      <c r="DH43" s="61">
        <f t="shared" si="70"/>
        <v>0</v>
      </c>
      <c r="DI43" s="61">
        <f t="shared" si="71"/>
        <v>0</v>
      </c>
      <c r="DJ43" s="61">
        <f t="shared" si="72"/>
        <v>0</v>
      </c>
      <c r="DK43" s="61">
        <f t="shared" si="73"/>
        <v>0</v>
      </c>
      <c r="DL43" s="61">
        <f t="shared" si="74"/>
        <v>0</v>
      </c>
    </row>
    <row r="44" spans="1:116" x14ac:dyDescent="0.25">
      <c r="A44" s="492" t="s">
        <v>762</v>
      </c>
      <c r="B44" s="422"/>
      <c r="C44" s="420"/>
      <c r="D44" s="420"/>
      <c r="E44" s="539" t="str">
        <f>IF(D44&lt;&gt;"",IF($C44="Male",VLOOKUP(D44,Titles!$K$3:$L$70,2,FALSE),IF($C44="Female",VLOOKUP(D44,Titles!$P$3:$Q$68,2,FALSE),"")),"")</f>
        <v/>
      </c>
      <c r="F44" s="420"/>
      <c r="G44" s="420"/>
      <c r="H44" s="420"/>
      <c r="I44" s="420"/>
      <c r="J44" s="420"/>
      <c r="K44" s="420"/>
      <c r="L44" s="420"/>
      <c r="M44" s="420"/>
      <c r="N44" s="421"/>
      <c r="O44" s="421"/>
      <c r="P44" s="421"/>
      <c r="Q44" s="421"/>
      <c r="R44" s="421"/>
      <c r="S44" s="421"/>
      <c r="T44" s="421"/>
      <c r="U44" s="421"/>
      <c r="V44" s="421"/>
      <c r="W44" s="421"/>
      <c r="X44" s="421"/>
      <c r="Y44" s="421"/>
      <c r="Z44" s="421"/>
      <c r="AA44" s="421"/>
      <c r="AB44" s="423"/>
      <c r="AD44" s="61">
        <f t="shared" si="13"/>
        <v>0</v>
      </c>
      <c r="AE44" s="61">
        <f t="shared" si="82"/>
        <v>0</v>
      </c>
      <c r="AF44" s="61">
        <f t="shared" si="83"/>
        <v>0</v>
      </c>
      <c r="AG44" s="61">
        <f t="shared" si="84"/>
        <v>0</v>
      </c>
      <c r="AH44" s="61">
        <f t="shared" si="85"/>
        <v>0</v>
      </c>
      <c r="AI44" s="61">
        <f t="shared" si="86"/>
        <v>0</v>
      </c>
      <c r="AJ44" s="61">
        <f t="shared" si="87"/>
        <v>0</v>
      </c>
      <c r="AK44" s="61">
        <f t="shared" si="88"/>
        <v>0</v>
      </c>
      <c r="AL44" s="61">
        <f t="shared" si="89"/>
        <v>0</v>
      </c>
      <c r="AO44" s="61">
        <f t="shared" si="14"/>
        <v>-5</v>
      </c>
      <c r="AP44" s="61">
        <f t="shared" si="15"/>
        <v>-5</v>
      </c>
      <c r="AQ44" s="61">
        <f t="shared" si="75"/>
        <v>-5</v>
      </c>
      <c r="AR44" s="61">
        <f t="shared" si="76"/>
        <v>-5</v>
      </c>
      <c r="AS44" s="61">
        <f t="shared" si="77"/>
        <v>-5</v>
      </c>
      <c r="AT44" s="61">
        <f t="shared" si="78"/>
        <v>-5</v>
      </c>
      <c r="AU44" s="61">
        <f t="shared" si="79"/>
        <v>-5</v>
      </c>
      <c r="AV44" s="61">
        <f t="shared" si="80"/>
        <v>-5</v>
      </c>
      <c r="AW44" s="61">
        <f t="shared" si="81"/>
        <v>-5</v>
      </c>
      <c r="AZ44" s="61">
        <f t="shared" si="16"/>
        <v>0</v>
      </c>
      <c r="BA44" s="61">
        <f t="shared" si="17"/>
        <v>0</v>
      </c>
      <c r="BB44" s="61">
        <f t="shared" si="18"/>
        <v>0</v>
      </c>
      <c r="BC44" s="61">
        <f t="shared" si="19"/>
        <v>0</v>
      </c>
      <c r="BD44" s="61">
        <f t="shared" si="20"/>
        <v>0</v>
      </c>
      <c r="BE44" s="61">
        <f t="shared" si="21"/>
        <v>0</v>
      </c>
      <c r="BF44" s="61">
        <f t="shared" si="22"/>
        <v>0</v>
      </c>
      <c r="BG44" s="61">
        <f t="shared" si="23"/>
        <v>0</v>
      </c>
      <c r="BH44" s="61">
        <f t="shared" si="24"/>
        <v>0</v>
      </c>
      <c r="BI44" s="61">
        <f t="shared" si="25"/>
        <v>0</v>
      </c>
      <c r="BJ44" s="61">
        <f t="shared" si="26"/>
        <v>0</v>
      </c>
      <c r="BK44" s="61">
        <f t="shared" si="27"/>
        <v>0</v>
      </c>
      <c r="BN44" s="61">
        <f t="shared" si="28"/>
        <v>0</v>
      </c>
      <c r="BO44" s="61">
        <f t="shared" si="29"/>
        <v>0</v>
      </c>
      <c r="BP44" s="61">
        <f t="shared" si="30"/>
        <v>0</v>
      </c>
      <c r="BQ44" s="61">
        <f t="shared" si="31"/>
        <v>0</v>
      </c>
      <c r="BR44" s="61">
        <f t="shared" si="32"/>
        <v>0</v>
      </c>
      <c r="BS44" s="61">
        <f t="shared" si="33"/>
        <v>0</v>
      </c>
      <c r="BT44" s="61">
        <f t="shared" si="34"/>
        <v>0</v>
      </c>
      <c r="BU44" s="61">
        <f t="shared" si="35"/>
        <v>0</v>
      </c>
      <c r="BV44" s="61">
        <f t="shared" si="36"/>
        <v>0</v>
      </c>
      <c r="BW44" s="61">
        <f t="shared" si="37"/>
        <v>0</v>
      </c>
      <c r="BX44" s="61">
        <f t="shared" si="38"/>
        <v>0</v>
      </c>
      <c r="BY44" s="61">
        <f t="shared" si="39"/>
        <v>0</v>
      </c>
      <c r="CB44" s="61">
        <f t="shared" si="40"/>
        <v>0</v>
      </c>
      <c r="CC44" s="61">
        <f t="shared" si="41"/>
        <v>0</v>
      </c>
      <c r="CD44" s="61">
        <f t="shared" si="42"/>
        <v>0</v>
      </c>
      <c r="CE44" s="61">
        <f t="shared" si="43"/>
        <v>0</v>
      </c>
      <c r="CF44" s="61">
        <f t="shared" si="44"/>
        <v>0</v>
      </c>
      <c r="CG44" s="61">
        <f t="shared" si="45"/>
        <v>0</v>
      </c>
      <c r="CH44" s="61">
        <f t="shared" si="46"/>
        <v>0</v>
      </c>
      <c r="CI44" s="61">
        <f t="shared" si="47"/>
        <v>0</v>
      </c>
      <c r="CJ44" s="61">
        <f t="shared" si="48"/>
        <v>0</v>
      </c>
      <c r="CK44" s="61">
        <f t="shared" si="49"/>
        <v>0</v>
      </c>
      <c r="CL44" s="61">
        <f t="shared" si="50"/>
        <v>0</v>
      </c>
      <c r="CM44" s="61">
        <f t="shared" si="51"/>
        <v>0</v>
      </c>
      <c r="CN44" s="61">
        <f t="shared" si="52"/>
        <v>0</v>
      </c>
      <c r="CO44" s="61">
        <f t="shared" si="53"/>
        <v>0</v>
      </c>
      <c r="CP44" s="61">
        <f t="shared" si="54"/>
        <v>0</v>
      </c>
      <c r="CQ44" s="61">
        <f t="shared" si="55"/>
        <v>0</v>
      </c>
      <c r="CR44" s="61">
        <f t="shared" si="56"/>
        <v>0</v>
      </c>
      <c r="CS44" s="61">
        <f t="shared" si="57"/>
        <v>0</v>
      </c>
      <c r="CT44" s="61">
        <f t="shared" si="58"/>
        <v>0</v>
      </c>
      <c r="CU44" s="61">
        <f t="shared" si="59"/>
        <v>0</v>
      </c>
      <c r="CV44" s="61">
        <f t="shared" si="60"/>
        <v>0</v>
      </c>
      <c r="CY44" s="61">
        <f t="shared" si="61"/>
        <v>0</v>
      </c>
      <c r="CZ44" s="61">
        <f t="shared" si="62"/>
        <v>0</v>
      </c>
      <c r="DA44" s="61">
        <f t="shared" si="63"/>
        <v>0</v>
      </c>
      <c r="DB44" s="61">
        <f t="shared" si="64"/>
        <v>0</v>
      </c>
      <c r="DC44" s="61">
        <f t="shared" si="65"/>
        <v>0</v>
      </c>
      <c r="DD44" s="61">
        <f t="shared" si="66"/>
        <v>0</v>
      </c>
      <c r="DE44" s="61">
        <f t="shared" si="67"/>
        <v>0</v>
      </c>
      <c r="DF44" s="61">
        <f t="shared" si="68"/>
        <v>0</v>
      </c>
      <c r="DG44" s="61">
        <f t="shared" si="69"/>
        <v>0</v>
      </c>
      <c r="DH44" s="61">
        <f t="shared" si="70"/>
        <v>0</v>
      </c>
      <c r="DI44" s="61">
        <f t="shared" si="71"/>
        <v>0</v>
      </c>
      <c r="DJ44" s="61">
        <f t="shared" si="72"/>
        <v>0</v>
      </c>
      <c r="DK44" s="61">
        <f t="shared" si="73"/>
        <v>0</v>
      </c>
      <c r="DL44" s="61">
        <f t="shared" si="74"/>
        <v>0</v>
      </c>
    </row>
    <row r="45" spans="1:116" x14ac:dyDescent="0.25">
      <c r="A45" s="492" t="s">
        <v>762</v>
      </c>
      <c r="B45" s="422"/>
      <c r="C45" s="420"/>
      <c r="D45" s="420"/>
      <c r="E45" s="539" t="str">
        <f>IF(D45&lt;&gt;"",IF($C45="Male",VLOOKUP(D45,Titles!$K$3:$L$70,2,FALSE),IF($C45="Female",VLOOKUP(D45,Titles!$P$3:$Q$68,2,FALSE),"")),"")</f>
        <v/>
      </c>
      <c r="F45" s="420"/>
      <c r="G45" s="420"/>
      <c r="H45" s="420"/>
      <c r="I45" s="420"/>
      <c r="J45" s="420"/>
      <c r="K45" s="420"/>
      <c r="L45" s="420"/>
      <c r="M45" s="420"/>
      <c r="N45" s="421"/>
      <c r="O45" s="421"/>
      <c r="P45" s="421"/>
      <c r="Q45" s="421"/>
      <c r="R45" s="421"/>
      <c r="S45" s="421"/>
      <c r="T45" s="421"/>
      <c r="U45" s="421"/>
      <c r="V45" s="421"/>
      <c r="W45" s="421"/>
      <c r="X45" s="421"/>
      <c r="Y45" s="421"/>
      <c r="Z45" s="421"/>
      <c r="AA45" s="421"/>
      <c r="AB45" s="423"/>
      <c r="AD45" s="61">
        <f t="shared" si="13"/>
        <v>0</v>
      </c>
      <c r="AE45" s="61">
        <f t="shared" si="82"/>
        <v>0</v>
      </c>
      <c r="AF45" s="61">
        <f t="shared" si="83"/>
        <v>0</v>
      </c>
      <c r="AG45" s="61">
        <f t="shared" si="84"/>
        <v>0</v>
      </c>
      <c r="AH45" s="61">
        <f t="shared" si="85"/>
        <v>0</v>
      </c>
      <c r="AI45" s="61">
        <f t="shared" si="86"/>
        <v>0</v>
      </c>
      <c r="AJ45" s="61">
        <f t="shared" si="87"/>
        <v>0</v>
      </c>
      <c r="AK45" s="61">
        <f t="shared" si="88"/>
        <v>0</v>
      </c>
      <c r="AL45" s="61">
        <f t="shared" si="89"/>
        <v>0</v>
      </c>
      <c r="AO45" s="61">
        <f t="shared" si="14"/>
        <v>-5</v>
      </c>
      <c r="AP45" s="61">
        <f t="shared" si="15"/>
        <v>-5</v>
      </c>
      <c r="AQ45" s="61">
        <f t="shared" si="75"/>
        <v>-5</v>
      </c>
      <c r="AR45" s="61">
        <f t="shared" si="76"/>
        <v>-5</v>
      </c>
      <c r="AS45" s="61">
        <f t="shared" si="77"/>
        <v>-5</v>
      </c>
      <c r="AT45" s="61">
        <f t="shared" si="78"/>
        <v>-5</v>
      </c>
      <c r="AU45" s="61">
        <f t="shared" si="79"/>
        <v>-5</v>
      </c>
      <c r="AV45" s="61">
        <f t="shared" si="80"/>
        <v>-5</v>
      </c>
      <c r="AW45" s="61">
        <f t="shared" si="81"/>
        <v>-5</v>
      </c>
      <c r="AZ45" s="61">
        <f t="shared" si="16"/>
        <v>0</v>
      </c>
      <c r="BA45" s="61">
        <f t="shared" si="17"/>
        <v>0</v>
      </c>
      <c r="BB45" s="61">
        <f t="shared" si="18"/>
        <v>0</v>
      </c>
      <c r="BC45" s="61">
        <f t="shared" si="19"/>
        <v>0</v>
      </c>
      <c r="BD45" s="61">
        <f t="shared" si="20"/>
        <v>0</v>
      </c>
      <c r="BE45" s="61">
        <f t="shared" si="21"/>
        <v>0</v>
      </c>
      <c r="BF45" s="61">
        <f t="shared" si="22"/>
        <v>0</v>
      </c>
      <c r="BG45" s="61">
        <f t="shared" si="23"/>
        <v>0</v>
      </c>
      <c r="BH45" s="61">
        <f t="shared" si="24"/>
        <v>0</v>
      </c>
      <c r="BI45" s="61">
        <f t="shared" si="25"/>
        <v>0</v>
      </c>
      <c r="BJ45" s="61">
        <f t="shared" si="26"/>
        <v>0</v>
      </c>
      <c r="BK45" s="61">
        <f t="shared" si="27"/>
        <v>0</v>
      </c>
      <c r="BN45" s="61">
        <f t="shared" si="28"/>
        <v>0</v>
      </c>
      <c r="BO45" s="61">
        <f t="shared" si="29"/>
        <v>0</v>
      </c>
      <c r="BP45" s="61">
        <f t="shared" si="30"/>
        <v>0</v>
      </c>
      <c r="BQ45" s="61">
        <f t="shared" si="31"/>
        <v>0</v>
      </c>
      <c r="BR45" s="61">
        <f t="shared" si="32"/>
        <v>0</v>
      </c>
      <c r="BS45" s="61">
        <f t="shared" si="33"/>
        <v>0</v>
      </c>
      <c r="BT45" s="61">
        <f t="shared" si="34"/>
        <v>0</v>
      </c>
      <c r="BU45" s="61">
        <f t="shared" si="35"/>
        <v>0</v>
      </c>
      <c r="BV45" s="61">
        <f t="shared" si="36"/>
        <v>0</v>
      </c>
      <c r="BW45" s="61">
        <f t="shared" si="37"/>
        <v>0</v>
      </c>
      <c r="BX45" s="61">
        <f t="shared" si="38"/>
        <v>0</v>
      </c>
      <c r="BY45" s="61">
        <f t="shared" si="39"/>
        <v>0</v>
      </c>
      <c r="CB45" s="61">
        <f t="shared" si="40"/>
        <v>0</v>
      </c>
      <c r="CC45" s="61">
        <f t="shared" si="41"/>
        <v>0</v>
      </c>
      <c r="CD45" s="61">
        <f t="shared" si="42"/>
        <v>0</v>
      </c>
      <c r="CE45" s="61">
        <f t="shared" si="43"/>
        <v>0</v>
      </c>
      <c r="CF45" s="61">
        <f t="shared" si="44"/>
        <v>0</v>
      </c>
      <c r="CG45" s="61">
        <f t="shared" si="45"/>
        <v>0</v>
      </c>
      <c r="CH45" s="61">
        <f t="shared" si="46"/>
        <v>0</v>
      </c>
      <c r="CI45" s="61">
        <f t="shared" si="47"/>
        <v>0</v>
      </c>
      <c r="CJ45" s="61">
        <f t="shared" si="48"/>
        <v>0</v>
      </c>
      <c r="CK45" s="61">
        <f t="shared" si="49"/>
        <v>0</v>
      </c>
      <c r="CL45" s="61">
        <f t="shared" si="50"/>
        <v>0</v>
      </c>
      <c r="CM45" s="61">
        <f t="shared" si="51"/>
        <v>0</v>
      </c>
      <c r="CN45" s="61">
        <f t="shared" si="52"/>
        <v>0</v>
      </c>
      <c r="CO45" s="61">
        <f t="shared" si="53"/>
        <v>0</v>
      </c>
      <c r="CP45" s="61">
        <f t="shared" si="54"/>
        <v>0</v>
      </c>
      <c r="CQ45" s="61">
        <f t="shared" si="55"/>
        <v>0</v>
      </c>
      <c r="CR45" s="61">
        <f t="shared" si="56"/>
        <v>0</v>
      </c>
      <c r="CS45" s="61">
        <f t="shared" si="57"/>
        <v>0</v>
      </c>
      <c r="CT45" s="61">
        <f t="shared" si="58"/>
        <v>0</v>
      </c>
      <c r="CU45" s="61">
        <f t="shared" si="59"/>
        <v>0</v>
      </c>
      <c r="CV45" s="61">
        <f t="shared" si="60"/>
        <v>0</v>
      </c>
      <c r="CY45" s="61">
        <f t="shared" si="61"/>
        <v>0</v>
      </c>
      <c r="CZ45" s="61">
        <f t="shared" si="62"/>
        <v>0</v>
      </c>
      <c r="DA45" s="61">
        <f t="shared" si="63"/>
        <v>0</v>
      </c>
      <c r="DB45" s="61">
        <f t="shared" si="64"/>
        <v>0</v>
      </c>
      <c r="DC45" s="61">
        <f t="shared" si="65"/>
        <v>0</v>
      </c>
      <c r="DD45" s="61">
        <f t="shared" si="66"/>
        <v>0</v>
      </c>
      <c r="DE45" s="61">
        <f t="shared" si="67"/>
        <v>0</v>
      </c>
      <c r="DF45" s="61">
        <f t="shared" si="68"/>
        <v>0</v>
      </c>
      <c r="DG45" s="61">
        <f t="shared" si="69"/>
        <v>0</v>
      </c>
      <c r="DH45" s="61">
        <f t="shared" si="70"/>
        <v>0</v>
      </c>
      <c r="DI45" s="61">
        <f t="shared" si="71"/>
        <v>0</v>
      </c>
      <c r="DJ45" s="61">
        <f t="shared" si="72"/>
        <v>0</v>
      </c>
      <c r="DK45" s="61">
        <f t="shared" si="73"/>
        <v>0</v>
      </c>
      <c r="DL45" s="61">
        <f t="shared" si="74"/>
        <v>0</v>
      </c>
    </row>
    <row r="46" spans="1:116" x14ac:dyDescent="0.25">
      <c r="A46" s="492" t="s">
        <v>762</v>
      </c>
      <c r="B46" s="422"/>
      <c r="C46" s="420"/>
      <c r="D46" s="420"/>
      <c r="E46" s="539" t="str">
        <f>IF(D46&lt;&gt;"",IF($C46="Male",VLOOKUP(D46,Titles!$K$3:$L$70,2,FALSE),IF($C46="Female",VLOOKUP(D46,Titles!$P$3:$Q$68,2,FALSE),"")),"")</f>
        <v/>
      </c>
      <c r="F46" s="420"/>
      <c r="G46" s="420"/>
      <c r="H46" s="420"/>
      <c r="I46" s="420"/>
      <c r="J46" s="420"/>
      <c r="K46" s="420"/>
      <c r="L46" s="420"/>
      <c r="M46" s="420"/>
      <c r="N46" s="421"/>
      <c r="O46" s="421"/>
      <c r="P46" s="421"/>
      <c r="Q46" s="421"/>
      <c r="R46" s="421"/>
      <c r="S46" s="421"/>
      <c r="T46" s="421"/>
      <c r="U46" s="421"/>
      <c r="V46" s="421"/>
      <c r="W46" s="421"/>
      <c r="X46" s="421"/>
      <c r="Y46" s="421"/>
      <c r="Z46" s="421"/>
      <c r="AA46" s="421"/>
      <c r="AB46" s="423"/>
      <c r="AD46" s="61">
        <f t="shared" si="13"/>
        <v>0</v>
      </c>
      <c r="AE46" s="61">
        <f t="shared" si="82"/>
        <v>0</v>
      </c>
      <c r="AF46" s="61">
        <f t="shared" si="83"/>
        <v>0</v>
      </c>
      <c r="AG46" s="61">
        <f t="shared" si="84"/>
        <v>0</v>
      </c>
      <c r="AH46" s="61">
        <f t="shared" si="85"/>
        <v>0</v>
      </c>
      <c r="AI46" s="61">
        <f t="shared" si="86"/>
        <v>0</v>
      </c>
      <c r="AJ46" s="61">
        <f t="shared" si="87"/>
        <v>0</v>
      </c>
      <c r="AK46" s="61">
        <f t="shared" si="88"/>
        <v>0</v>
      </c>
      <c r="AL46" s="61">
        <f t="shared" si="89"/>
        <v>0</v>
      </c>
      <c r="AO46" s="61">
        <f t="shared" si="14"/>
        <v>-5</v>
      </c>
      <c r="AP46" s="61">
        <f t="shared" si="15"/>
        <v>-5</v>
      </c>
      <c r="AQ46" s="61">
        <f t="shared" si="75"/>
        <v>-5</v>
      </c>
      <c r="AR46" s="61">
        <f t="shared" si="76"/>
        <v>-5</v>
      </c>
      <c r="AS46" s="61">
        <f t="shared" si="77"/>
        <v>-5</v>
      </c>
      <c r="AT46" s="61">
        <f t="shared" si="78"/>
        <v>-5</v>
      </c>
      <c r="AU46" s="61">
        <f t="shared" si="79"/>
        <v>-5</v>
      </c>
      <c r="AV46" s="61">
        <f t="shared" si="80"/>
        <v>-5</v>
      </c>
      <c r="AW46" s="61">
        <f t="shared" si="81"/>
        <v>-5</v>
      </c>
      <c r="AZ46" s="61">
        <f t="shared" si="16"/>
        <v>0</v>
      </c>
      <c r="BA46" s="61">
        <f t="shared" si="17"/>
        <v>0</v>
      </c>
      <c r="BB46" s="61">
        <f t="shared" si="18"/>
        <v>0</v>
      </c>
      <c r="BC46" s="61">
        <f t="shared" si="19"/>
        <v>0</v>
      </c>
      <c r="BD46" s="61">
        <f t="shared" si="20"/>
        <v>0</v>
      </c>
      <c r="BE46" s="61">
        <f t="shared" si="21"/>
        <v>0</v>
      </c>
      <c r="BF46" s="61">
        <f t="shared" si="22"/>
        <v>0</v>
      </c>
      <c r="BG46" s="61">
        <f t="shared" si="23"/>
        <v>0</v>
      </c>
      <c r="BH46" s="61">
        <f t="shared" si="24"/>
        <v>0</v>
      </c>
      <c r="BI46" s="61">
        <f t="shared" si="25"/>
        <v>0</v>
      </c>
      <c r="BJ46" s="61">
        <f t="shared" si="26"/>
        <v>0</v>
      </c>
      <c r="BK46" s="61">
        <f t="shared" si="27"/>
        <v>0</v>
      </c>
      <c r="BN46" s="61">
        <f t="shared" si="28"/>
        <v>0</v>
      </c>
      <c r="BO46" s="61">
        <f t="shared" si="29"/>
        <v>0</v>
      </c>
      <c r="BP46" s="61">
        <f t="shared" si="30"/>
        <v>0</v>
      </c>
      <c r="BQ46" s="61">
        <f t="shared" si="31"/>
        <v>0</v>
      </c>
      <c r="BR46" s="61">
        <f t="shared" si="32"/>
        <v>0</v>
      </c>
      <c r="BS46" s="61">
        <f t="shared" si="33"/>
        <v>0</v>
      </c>
      <c r="BT46" s="61">
        <f t="shared" si="34"/>
        <v>0</v>
      </c>
      <c r="BU46" s="61">
        <f t="shared" si="35"/>
        <v>0</v>
      </c>
      <c r="BV46" s="61">
        <f t="shared" si="36"/>
        <v>0</v>
      </c>
      <c r="BW46" s="61">
        <f t="shared" si="37"/>
        <v>0</v>
      </c>
      <c r="BX46" s="61">
        <f t="shared" si="38"/>
        <v>0</v>
      </c>
      <c r="BY46" s="61">
        <f t="shared" si="39"/>
        <v>0</v>
      </c>
      <c r="CB46" s="61">
        <f t="shared" si="40"/>
        <v>0</v>
      </c>
      <c r="CC46" s="61">
        <f t="shared" si="41"/>
        <v>0</v>
      </c>
      <c r="CD46" s="61">
        <f t="shared" si="42"/>
        <v>0</v>
      </c>
      <c r="CE46" s="61">
        <f t="shared" si="43"/>
        <v>0</v>
      </c>
      <c r="CF46" s="61">
        <f t="shared" si="44"/>
        <v>0</v>
      </c>
      <c r="CG46" s="61">
        <f t="shared" si="45"/>
        <v>0</v>
      </c>
      <c r="CH46" s="61">
        <f t="shared" si="46"/>
        <v>0</v>
      </c>
      <c r="CI46" s="61">
        <f t="shared" si="47"/>
        <v>0</v>
      </c>
      <c r="CJ46" s="61">
        <f t="shared" si="48"/>
        <v>0</v>
      </c>
      <c r="CK46" s="61">
        <f t="shared" si="49"/>
        <v>0</v>
      </c>
      <c r="CL46" s="61">
        <f t="shared" si="50"/>
        <v>0</v>
      </c>
      <c r="CM46" s="61">
        <f t="shared" si="51"/>
        <v>0</v>
      </c>
      <c r="CN46" s="61">
        <f t="shared" si="52"/>
        <v>0</v>
      </c>
      <c r="CO46" s="61">
        <f t="shared" si="53"/>
        <v>0</v>
      </c>
      <c r="CP46" s="61">
        <f t="shared" si="54"/>
        <v>0</v>
      </c>
      <c r="CQ46" s="61">
        <f t="shared" si="55"/>
        <v>0</v>
      </c>
      <c r="CR46" s="61">
        <f t="shared" si="56"/>
        <v>0</v>
      </c>
      <c r="CS46" s="61">
        <f t="shared" si="57"/>
        <v>0</v>
      </c>
      <c r="CT46" s="61">
        <f t="shared" si="58"/>
        <v>0</v>
      </c>
      <c r="CU46" s="61">
        <f t="shared" si="59"/>
        <v>0</v>
      </c>
      <c r="CV46" s="61">
        <f t="shared" si="60"/>
        <v>0</v>
      </c>
      <c r="CY46" s="61">
        <f t="shared" si="61"/>
        <v>0</v>
      </c>
      <c r="CZ46" s="61">
        <f t="shared" si="62"/>
        <v>0</v>
      </c>
      <c r="DA46" s="61">
        <f t="shared" si="63"/>
        <v>0</v>
      </c>
      <c r="DB46" s="61">
        <f t="shared" si="64"/>
        <v>0</v>
      </c>
      <c r="DC46" s="61">
        <f t="shared" si="65"/>
        <v>0</v>
      </c>
      <c r="DD46" s="61">
        <f t="shared" si="66"/>
        <v>0</v>
      </c>
      <c r="DE46" s="61">
        <f t="shared" si="67"/>
        <v>0</v>
      </c>
      <c r="DF46" s="61">
        <f t="shared" si="68"/>
        <v>0</v>
      </c>
      <c r="DG46" s="61">
        <f t="shared" si="69"/>
        <v>0</v>
      </c>
      <c r="DH46" s="61">
        <f t="shared" si="70"/>
        <v>0</v>
      </c>
      <c r="DI46" s="61">
        <f t="shared" si="71"/>
        <v>0</v>
      </c>
      <c r="DJ46" s="61">
        <f t="shared" si="72"/>
        <v>0</v>
      </c>
      <c r="DK46" s="61">
        <f t="shared" si="73"/>
        <v>0</v>
      </c>
      <c r="DL46" s="61">
        <f t="shared" si="74"/>
        <v>0</v>
      </c>
    </row>
    <row r="47" spans="1:116" x14ac:dyDescent="0.25">
      <c r="A47" s="492" t="s">
        <v>762</v>
      </c>
      <c r="B47" s="422"/>
      <c r="C47" s="420"/>
      <c r="D47" s="420"/>
      <c r="E47" s="539" t="str">
        <f>IF(D47&lt;&gt;"",IF($C47="Male",VLOOKUP(D47,Titles!$K$3:$L$70,2,FALSE),IF($C47="Female",VLOOKUP(D47,Titles!$P$3:$Q$68,2,FALSE),"")),"")</f>
        <v/>
      </c>
      <c r="F47" s="420"/>
      <c r="G47" s="420"/>
      <c r="H47" s="420"/>
      <c r="I47" s="420"/>
      <c r="J47" s="420"/>
      <c r="K47" s="420"/>
      <c r="L47" s="420"/>
      <c r="M47" s="420"/>
      <c r="N47" s="421"/>
      <c r="O47" s="421"/>
      <c r="P47" s="421"/>
      <c r="Q47" s="421"/>
      <c r="R47" s="421"/>
      <c r="S47" s="421"/>
      <c r="T47" s="421"/>
      <c r="U47" s="421"/>
      <c r="V47" s="421"/>
      <c r="W47" s="421"/>
      <c r="X47" s="421"/>
      <c r="Y47" s="421"/>
      <c r="Z47" s="421"/>
      <c r="AA47" s="421"/>
      <c r="AB47" s="423"/>
      <c r="AD47" s="61">
        <f t="shared" si="13"/>
        <v>0</v>
      </c>
      <c r="AE47" s="61">
        <f t="shared" si="82"/>
        <v>0</v>
      </c>
      <c r="AF47" s="61">
        <f t="shared" si="83"/>
        <v>0</v>
      </c>
      <c r="AG47" s="61">
        <f t="shared" si="84"/>
        <v>0</v>
      </c>
      <c r="AH47" s="61">
        <f t="shared" si="85"/>
        <v>0</v>
      </c>
      <c r="AI47" s="61">
        <f t="shared" si="86"/>
        <v>0</v>
      </c>
      <c r="AJ47" s="61">
        <f t="shared" si="87"/>
        <v>0</v>
      </c>
      <c r="AK47" s="61">
        <f t="shared" si="88"/>
        <v>0</v>
      </c>
      <c r="AL47" s="61">
        <f t="shared" si="89"/>
        <v>0</v>
      </c>
      <c r="AO47" s="61">
        <f t="shared" si="14"/>
        <v>-5</v>
      </c>
      <c r="AP47" s="61">
        <f t="shared" si="15"/>
        <v>-5</v>
      </c>
      <c r="AQ47" s="61">
        <f t="shared" si="75"/>
        <v>-5</v>
      </c>
      <c r="AR47" s="61">
        <f t="shared" si="76"/>
        <v>-5</v>
      </c>
      <c r="AS47" s="61">
        <f t="shared" si="77"/>
        <v>-5</v>
      </c>
      <c r="AT47" s="61">
        <f t="shared" si="78"/>
        <v>-5</v>
      </c>
      <c r="AU47" s="61">
        <f t="shared" si="79"/>
        <v>-5</v>
      </c>
      <c r="AV47" s="61">
        <f t="shared" si="80"/>
        <v>-5</v>
      </c>
      <c r="AW47" s="61">
        <f t="shared" si="81"/>
        <v>-5</v>
      </c>
      <c r="AZ47" s="61">
        <f t="shared" si="16"/>
        <v>0</v>
      </c>
      <c r="BA47" s="61">
        <f t="shared" si="17"/>
        <v>0</v>
      </c>
      <c r="BB47" s="61">
        <f t="shared" si="18"/>
        <v>0</v>
      </c>
      <c r="BC47" s="61">
        <f t="shared" si="19"/>
        <v>0</v>
      </c>
      <c r="BD47" s="61">
        <f t="shared" si="20"/>
        <v>0</v>
      </c>
      <c r="BE47" s="61">
        <f t="shared" si="21"/>
        <v>0</v>
      </c>
      <c r="BF47" s="61">
        <f t="shared" si="22"/>
        <v>0</v>
      </c>
      <c r="BG47" s="61">
        <f t="shared" si="23"/>
        <v>0</v>
      </c>
      <c r="BH47" s="61">
        <f t="shared" si="24"/>
        <v>0</v>
      </c>
      <c r="BI47" s="61">
        <f t="shared" si="25"/>
        <v>0</v>
      </c>
      <c r="BJ47" s="61">
        <f t="shared" si="26"/>
        <v>0</v>
      </c>
      <c r="BK47" s="61">
        <f t="shared" si="27"/>
        <v>0</v>
      </c>
      <c r="BN47" s="61">
        <f t="shared" si="28"/>
        <v>0</v>
      </c>
      <c r="BO47" s="61">
        <f t="shared" si="29"/>
        <v>0</v>
      </c>
      <c r="BP47" s="61">
        <f t="shared" si="30"/>
        <v>0</v>
      </c>
      <c r="BQ47" s="61">
        <f t="shared" si="31"/>
        <v>0</v>
      </c>
      <c r="BR47" s="61">
        <f t="shared" si="32"/>
        <v>0</v>
      </c>
      <c r="BS47" s="61">
        <f t="shared" si="33"/>
        <v>0</v>
      </c>
      <c r="BT47" s="61">
        <f t="shared" si="34"/>
        <v>0</v>
      </c>
      <c r="BU47" s="61">
        <f t="shared" si="35"/>
        <v>0</v>
      </c>
      <c r="BV47" s="61">
        <f t="shared" si="36"/>
        <v>0</v>
      </c>
      <c r="BW47" s="61">
        <f t="shared" si="37"/>
        <v>0</v>
      </c>
      <c r="BX47" s="61">
        <f t="shared" si="38"/>
        <v>0</v>
      </c>
      <c r="BY47" s="61">
        <f t="shared" si="39"/>
        <v>0</v>
      </c>
      <c r="CB47" s="61">
        <f t="shared" si="40"/>
        <v>0</v>
      </c>
      <c r="CC47" s="61">
        <f t="shared" si="41"/>
        <v>0</v>
      </c>
      <c r="CD47" s="61">
        <f t="shared" si="42"/>
        <v>0</v>
      </c>
      <c r="CE47" s="61">
        <f t="shared" si="43"/>
        <v>0</v>
      </c>
      <c r="CF47" s="61">
        <f t="shared" si="44"/>
        <v>0</v>
      </c>
      <c r="CG47" s="61">
        <f t="shared" si="45"/>
        <v>0</v>
      </c>
      <c r="CH47" s="61">
        <f t="shared" si="46"/>
        <v>0</v>
      </c>
      <c r="CI47" s="61">
        <f t="shared" si="47"/>
        <v>0</v>
      </c>
      <c r="CJ47" s="61">
        <f t="shared" si="48"/>
        <v>0</v>
      </c>
      <c r="CK47" s="61">
        <f t="shared" si="49"/>
        <v>0</v>
      </c>
      <c r="CL47" s="61">
        <f t="shared" si="50"/>
        <v>0</v>
      </c>
      <c r="CM47" s="61">
        <f t="shared" si="51"/>
        <v>0</v>
      </c>
      <c r="CN47" s="61">
        <f t="shared" si="52"/>
        <v>0</v>
      </c>
      <c r="CO47" s="61">
        <f t="shared" si="53"/>
        <v>0</v>
      </c>
      <c r="CP47" s="61">
        <f t="shared" si="54"/>
        <v>0</v>
      </c>
      <c r="CQ47" s="61">
        <f t="shared" si="55"/>
        <v>0</v>
      </c>
      <c r="CR47" s="61">
        <f t="shared" si="56"/>
        <v>0</v>
      </c>
      <c r="CS47" s="61">
        <f t="shared" si="57"/>
        <v>0</v>
      </c>
      <c r="CT47" s="61">
        <f t="shared" si="58"/>
        <v>0</v>
      </c>
      <c r="CU47" s="61">
        <f t="shared" si="59"/>
        <v>0</v>
      </c>
      <c r="CV47" s="61">
        <f t="shared" si="60"/>
        <v>0</v>
      </c>
      <c r="CY47" s="61">
        <f t="shared" si="61"/>
        <v>0</v>
      </c>
      <c r="CZ47" s="61">
        <f t="shared" si="62"/>
        <v>0</v>
      </c>
      <c r="DA47" s="61">
        <f t="shared" si="63"/>
        <v>0</v>
      </c>
      <c r="DB47" s="61">
        <f t="shared" si="64"/>
        <v>0</v>
      </c>
      <c r="DC47" s="61">
        <f t="shared" si="65"/>
        <v>0</v>
      </c>
      <c r="DD47" s="61">
        <f t="shared" si="66"/>
        <v>0</v>
      </c>
      <c r="DE47" s="61">
        <f t="shared" si="67"/>
        <v>0</v>
      </c>
      <c r="DF47" s="61">
        <f t="shared" si="68"/>
        <v>0</v>
      </c>
      <c r="DG47" s="61">
        <f t="shared" si="69"/>
        <v>0</v>
      </c>
      <c r="DH47" s="61">
        <f t="shared" si="70"/>
        <v>0</v>
      </c>
      <c r="DI47" s="61">
        <f t="shared" si="71"/>
        <v>0</v>
      </c>
      <c r="DJ47" s="61">
        <f t="shared" si="72"/>
        <v>0</v>
      </c>
      <c r="DK47" s="61">
        <f t="shared" si="73"/>
        <v>0</v>
      </c>
      <c r="DL47" s="61">
        <f t="shared" si="74"/>
        <v>0</v>
      </c>
    </row>
    <row r="48" spans="1:116" x14ac:dyDescent="0.25">
      <c r="A48" s="492" t="s">
        <v>762</v>
      </c>
      <c r="B48" s="422"/>
      <c r="C48" s="420"/>
      <c r="D48" s="420"/>
      <c r="E48" s="539" t="str">
        <f>IF(D48&lt;&gt;"",IF($C48="Male",VLOOKUP(D48,Titles!$K$3:$L$70,2,FALSE),IF($C48="Female",VLOOKUP(D48,Titles!$P$3:$Q$68,2,FALSE),"")),"")</f>
        <v/>
      </c>
      <c r="F48" s="420"/>
      <c r="G48" s="420"/>
      <c r="H48" s="420"/>
      <c r="I48" s="420"/>
      <c r="J48" s="420"/>
      <c r="K48" s="420"/>
      <c r="L48" s="420"/>
      <c r="M48" s="420"/>
      <c r="N48" s="421"/>
      <c r="O48" s="421"/>
      <c r="P48" s="421"/>
      <c r="Q48" s="421"/>
      <c r="R48" s="421"/>
      <c r="S48" s="421"/>
      <c r="T48" s="421"/>
      <c r="U48" s="421"/>
      <c r="V48" s="421"/>
      <c r="W48" s="421"/>
      <c r="X48" s="421"/>
      <c r="Y48" s="421"/>
      <c r="Z48" s="421"/>
      <c r="AA48" s="421"/>
      <c r="AB48" s="423"/>
      <c r="AD48" s="61">
        <f t="shared" si="13"/>
        <v>0</v>
      </c>
      <c r="AE48" s="61">
        <f t="shared" si="82"/>
        <v>0</v>
      </c>
      <c r="AF48" s="61">
        <f t="shared" si="83"/>
        <v>0</v>
      </c>
      <c r="AG48" s="61">
        <f t="shared" si="84"/>
        <v>0</v>
      </c>
      <c r="AH48" s="61">
        <f t="shared" si="85"/>
        <v>0</v>
      </c>
      <c r="AI48" s="61">
        <f t="shared" si="86"/>
        <v>0</v>
      </c>
      <c r="AJ48" s="61">
        <f t="shared" si="87"/>
        <v>0</v>
      </c>
      <c r="AK48" s="61">
        <f t="shared" si="88"/>
        <v>0</v>
      </c>
      <c r="AL48" s="61">
        <f t="shared" si="89"/>
        <v>0</v>
      </c>
      <c r="AO48" s="61">
        <f t="shared" si="14"/>
        <v>-5</v>
      </c>
      <c r="AP48" s="61">
        <f t="shared" si="15"/>
        <v>-5</v>
      </c>
      <c r="AQ48" s="61">
        <f t="shared" si="75"/>
        <v>-5</v>
      </c>
      <c r="AR48" s="61">
        <f t="shared" si="76"/>
        <v>-5</v>
      </c>
      <c r="AS48" s="61">
        <f t="shared" si="77"/>
        <v>-5</v>
      </c>
      <c r="AT48" s="61">
        <f t="shared" si="78"/>
        <v>-5</v>
      </c>
      <c r="AU48" s="61">
        <f t="shared" si="79"/>
        <v>-5</v>
      </c>
      <c r="AV48" s="61">
        <f t="shared" si="80"/>
        <v>-5</v>
      </c>
      <c r="AW48" s="61">
        <f t="shared" si="81"/>
        <v>-5</v>
      </c>
      <c r="AZ48" s="61">
        <f t="shared" si="16"/>
        <v>0</v>
      </c>
      <c r="BA48" s="61">
        <f t="shared" si="17"/>
        <v>0</v>
      </c>
      <c r="BB48" s="61">
        <f t="shared" si="18"/>
        <v>0</v>
      </c>
      <c r="BC48" s="61">
        <f t="shared" si="19"/>
        <v>0</v>
      </c>
      <c r="BD48" s="61">
        <f t="shared" si="20"/>
        <v>0</v>
      </c>
      <c r="BE48" s="61">
        <f t="shared" si="21"/>
        <v>0</v>
      </c>
      <c r="BF48" s="61">
        <f t="shared" si="22"/>
        <v>0</v>
      </c>
      <c r="BG48" s="61">
        <f t="shared" si="23"/>
        <v>0</v>
      </c>
      <c r="BH48" s="61">
        <f t="shared" si="24"/>
        <v>0</v>
      </c>
      <c r="BI48" s="61">
        <f t="shared" si="25"/>
        <v>0</v>
      </c>
      <c r="BJ48" s="61">
        <f t="shared" si="26"/>
        <v>0</v>
      </c>
      <c r="BK48" s="61">
        <f t="shared" si="27"/>
        <v>0</v>
      </c>
      <c r="BN48" s="61">
        <f t="shared" si="28"/>
        <v>0</v>
      </c>
      <c r="BO48" s="61">
        <f t="shared" si="29"/>
        <v>0</v>
      </c>
      <c r="BP48" s="61">
        <f t="shared" si="30"/>
        <v>0</v>
      </c>
      <c r="BQ48" s="61">
        <f t="shared" si="31"/>
        <v>0</v>
      </c>
      <c r="BR48" s="61">
        <f t="shared" si="32"/>
        <v>0</v>
      </c>
      <c r="BS48" s="61">
        <f t="shared" si="33"/>
        <v>0</v>
      </c>
      <c r="BT48" s="61">
        <f t="shared" si="34"/>
        <v>0</v>
      </c>
      <c r="BU48" s="61">
        <f t="shared" si="35"/>
        <v>0</v>
      </c>
      <c r="BV48" s="61">
        <f t="shared" si="36"/>
        <v>0</v>
      </c>
      <c r="BW48" s="61">
        <f t="shared" si="37"/>
        <v>0</v>
      </c>
      <c r="BX48" s="61">
        <f t="shared" si="38"/>
        <v>0</v>
      </c>
      <c r="BY48" s="61">
        <f t="shared" si="39"/>
        <v>0</v>
      </c>
      <c r="CB48" s="61">
        <f t="shared" si="40"/>
        <v>0</v>
      </c>
      <c r="CC48" s="61">
        <f t="shared" si="41"/>
        <v>0</v>
      </c>
      <c r="CD48" s="61">
        <f t="shared" si="42"/>
        <v>0</v>
      </c>
      <c r="CE48" s="61">
        <f t="shared" si="43"/>
        <v>0</v>
      </c>
      <c r="CF48" s="61">
        <f t="shared" si="44"/>
        <v>0</v>
      </c>
      <c r="CG48" s="61">
        <f t="shared" si="45"/>
        <v>0</v>
      </c>
      <c r="CH48" s="61">
        <f t="shared" si="46"/>
        <v>0</v>
      </c>
      <c r="CI48" s="61">
        <f t="shared" si="47"/>
        <v>0</v>
      </c>
      <c r="CJ48" s="61">
        <f t="shared" si="48"/>
        <v>0</v>
      </c>
      <c r="CK48" s="61">
        <f t="shared" si="49"/>
        <v>0</v>
      </c>
      <c r="CL48" s="61">
        <f t="shared" si="50"/>
        <v>0</v>
      </c>
      <c r="CM48" s="61">
        <f t="shared" si="51"/>
        <v>0</v>
      </c>
      <c r="CN48" s="61">
        <f t="shared" si="52"/>
        <v>0</v>
      </c>
      <c r="CO48" s="61">
        <f t="shared" si="53"/>
        <v>0</v>
      </c>
      <c r="CP48" s="61">
        <f t="shared" si="54"/>
        <v>0</v>
      </c>
      <c r="CQ48" s="61">
        <f t="shared" si="55"/>
        <v>0</v>
      </c>
      <c r="CR48" s="61">
        <f t="shared" si="56"/>
        <v>0</v>
      </c>
      <c r="CS48" s="61">
        <f t="shared" si="57"/>
        <v>0</v>
      </c>
      <c r="CT48" s="61">
        <f t="shared" si="58"/>
        <v>0</v>
      </c>
      <c r="CU48" s="61">
        <f t="shared" si="59"/>
        <v>0</v>
      </c>
      <c r="CV48" s="61">
        <f t="shared" si="60"/>
        <v>0</v>
      </c>
      <c r="CY48" s="61">
        <f t="shared" si="61"/>
        <v>0</v>
      </c>
      <c r="CZ48" s="61">
        <f t="shared" si="62"/>
        <v>0</v>
      </c>
      <c r="DA48" s="61">
        <f t="shared" si="63"/>
        <v>0</v>
      </c>
      <c r="DB48" s="61">
        <f t="shared" si="64"/>
        <v>0</v>
      </c>
      <c r="DC48" s="61">
        <f t="shared" si="65"/>
        <v>0</v>
      </c>
      <c r="DD48" s="61">
        <f t="shared" si="66"/>
        <v>0</v>
      </c>
      <c r="DE48" s="61">
        <f t="shared" si="67"/>
        <v>0</v>
      </c>
      <c r="DF48" s="61">
        <f t="shared" si="68"/>
        <v>0</v>
      </c>
      <c r="DG48" s="61">
        <f t="shared" si="69"/>
        <v>0</v>
      </c>
      <c r="DH48" s="61">
        <f t="shared" si="70"/>
        <v>0</v>
      </c>
      <c r="DI48" s="61">
        <f t="shared" si="71"/>
        <v>0</v>
      </c>
      <c r="DJ48" s="61">
        <f t="shared" si="72"/>
        <v>0</v>
      </c>
      <c r="DK48" s="61">
        <f t="shared" si="73"/>
        <v>0</v>
      </c>
      <c r="DL48" s="61">
        <f t="shared" si="74"/>
        <v>0</v>
      </c>
    </row>
    <row r="49" spans="1:116" x14ac:dyDescent="0.25">
      <c r="A49" s="492" t="s">
        <v>762</v>
      </c>
      <c r="B49" s="422"/>
      <c r="C49" s="420"/>
      <c r="D49" s="420"/>
      <c r="E49" s="539" t="str">
        <f>IF(D49&lt;&gt;"",IF($C49="Male",VLOOKUP(D49,Titles!$K$3:$L$70,2,FALSE),IF($C49="Female",VLOOKUP(D49,Titles!$P$3:$Q$68,2,FALSE),"")),"")</f>
        <v/>
      </c>
      <c r="F49" s="420"/>
      <c r="G49" s="420"/>
      <c r="H49" s="420"/>
      <c r="I49" s="420"/>
      <c r="J49" s="420"/>
      <c r="K49" s="420"/>
      <c r="L49" s="420"/>
      <c r="M49" s="420"/>
      <c r="N49" s="421"/>
      <c r="O49" s="421"/>
      <c r="P49" s="421"/>
      <c r="Q49" s="421"/>
      <c r="R49" s="421"/>
      <c r="S49" s="421"/>
      <c r="T49" s="421"/>
      <c r="U49" s="421"/>
      <c r="V49" s="421"/>
      <c r="W49" s="421"/>
      <c r="X49" s="421"/>
      <c r="Y49" s="421"/>
      <c r="Z49" s="421"/>
      <c r="AA49" s="421"/>
      <c r="AB49" s="423"/>
      <c r="AD49" s="61">
        <f t="shared" si="13"/>
        <v>0</v>
      </c>
      <c r="AE49" s="61">
        <f t="shared" si="82"/>
        <v>0</v>
      </c>
      <c r="AF49" s="61">
        <f t="shared" si="83"/>
        <v>0</v>
      </c>
      <c r="AG49" s="61">
        <f t="shared" si="84"/>
        <v>0</v>
      </c>
      <c r="AH49" s="61">
        <f t="shared" si="85"/>
        <v>0</v>
      </c>
      <c r="AI49" s="61">
        <f t="shared" si="86"/>
        <v>0</v>
      </c>
      <c r="AJ49" s="61">
        <f t="shared" si="87"/>
        <v>0</v>
      </c>
      <c r="AK49" s="61">
        <f t="shared" si="88"/>
        <v>0</v>
      </c>
      <c r="AL49" s="61">
        <f t="shared" si="89"/>
        <v>0</v>
      </c>
      <c r="AO49" s="61">
        <f t="shared" si="14"/>
        <v>-5</v>
      </c>
      <c r="AP49" s="61">
        <f t="shared" si="15"/>
        <v>-5</v>
      </c>
      <c r="AQ49" s="61">
        <f t="shared" si="75"/>
        <v>-5</v>
      </c>
      <c r="AR49" s="61">
        <f t="shared" si="76"/>
        <v>-5</v>
      </c>
      <c r="AS49" s="61">
        <f t="shared" si="77"/>
        <v>-5</v>
      </c>
      <c r="AT49" s="61">
        <f t="shared" si="78"/>
        <v>-5</v>
      </c>
      <c r="AU49" s="61">
        <f t="shared" si="79"/>
        <v>-5</v>
      </c>
      <c r="AV49" s="61">
        <f t="shared" si="80"/>
        <v>-5</v>
      </c>
      <c r="AW49" s="61">
        <f t="shared" si="81"/>
        <v>-5</v>
      </c>
      <c r="AZ49" s="61">
        <f t="shared" si="16"/>
        <v>0</v>
      </c>
      <c r="BA49" s="61">
        <f t="shared" si="17"/>
        <v>0</v>
      </c>
      <c r="BB49" s="61">
        <f t="shared" si="18"/>
        <v>0</v>
      </c>
      <c r="BC49" s="61">
        <f t="shared" si="19"/>
        <v>0</v>
      </c>
      <c r="BD49" s="61">
        <f t="shared" si="20"/>
        <v>0</v>
      </c>
      <c r="BE49" s="61">
        <f t="shared" si="21"/>
        <v>0</v>
      </c>
      <c r="BF49" s="61">
        <f t="shared" si="22"/>
        <v>0</v>
      </c>
      <c r="BG49" s="61">
        <f t="shared" si="23"/>
        <v>0</v>
      </c>
      <c r="BH49" s="61">
        <f t="shared" si="24"/>
        <v>0</v>
      </c>
      <c r="BI49" s="61">
        <f t="shared" si="25"/>
        <v>0</v>
      </c>
      <c r="BJ49" s="61">
        <f t="shared" si="26"/>
        <v>0</v>
      </c>
      <c r="BK49" s="61">
        <f t="shared" si="27"/>
        <v>0</v>
      </c>
      <c r="BN49" s="61">
        <f t="shared" si="28"/>
        <v>0</v>
      </c>
      <c r="BO49" s="61">
        <f t="shared" si="29"/>
        <v>0</v>
      </c>
      <c r="BP49" s="61">
        <f t="shared" si="30"/>
        <v>0</v>
      </c>
      <c r="BQ49" s="61">
        <f t="shared" si="31"/>
        <v>0</v>
      </c>
      <c r="BR49" s="61">
        <f t="shared" si="32"/>
        <v>0</v>
      </c>
      <c r="BS49" s="61">
        <f t="shared" si="33"/>
        <v>0</v>
      </c>
      <c r="BT49" s="61">
        <f t="shared" si="34"/>
        <v>0</v>
      </c>
      <c r="BU49" s="61">
        <f t="shared" si="35"/>
        <v>0</v>
      </c>
      <c r="BV49" s="61">
        <f t="shared" si="36"/>
        <v>0</v>
      </c>
      <c r="BW49" s="61">
        <f t="shared" si="37"/>
        <v>0</v>
      </c>
      <c r="BX49" s="61">
        <f t="shared" si="38"/>
        <v>0</v>
      </c>
      <c r="BY49" s="61">
        <f t="shared" si="39"/>
        <v>0</v>
      </c>
      <c r="CB49" s="61">
        <f t="shared" si="40"/>
        <v>0</v>
      </c>
      <c r="CC49" s="61">
        <f t="shared" si="41"/>
        <v>0</v>
      </c>
      <c r="CD49" s="61">
        <f t="shared" si="42"/>
        <v>0</v>
      </c>
      <c r="CE49" s="61">
        <f t="shared" si="43"/>
        <v>0</v>
      </c>
      <c r="CF49" s="61">
        <f t="shared" si="44"/>
        <v>0</v>
      </c>
      <c r="CG49" s="61">
        <f t="shared" si="45"/>
        <v>0</v>
      </c>
      <c r="CH49" s="61">
        <f t="shared" si="46"/>
        <v>0</v>
      </c>
      <c r="CI49" s="61">
        <f t="shared" si="47"/>
        <v>0</v>
      </c>
      <c r="CJ49" s="61">
        <f t="shared" si="48"/>
        <v>0</v>
      </c>
      <c r="CK49" s="61">
        <f t="shared" si="49"/>
        <v>0</v>
      </c>
      <c r="CL49" s="61">
        <f t="shared" si="50"/>
        <v>0</v>
      </c>
      <c r="CM49" s="61">
        <f t="shared" si="51"/>
        <v>0</v>
      </c>
      <c r="CN49" s="61">
        <f t="shared" si="52"/>
        <v>0</v>
      </c>
      <c r="CO49" s="61">
        <f t="shared" si="53"/>
        <v>0</v>
      </c>
      <c r="CP49" s="61">
        <f t="shared" si="54"/>
        <v>0</v>
      </c>
      <c r="CQ49" s="61">
        <f t="shared" si="55"/>
        <v>0</v>
      </c>
      <c r="CR49" s="61">
        <f t="shared" si="56"/>
        <v>0</v>
      </c>
      <c r="CS49" s="61">
        <f t="shared" si="57"/>
        <v>0</v>
      </c>
      <c r="CT49" s="61">
        <f t="shared" si="58"/>
        <v>0</v>
      </c>
      <c r="CU49" s="61">
        <f t="shared" si="59"/>
        <v>0</v>
      </c>
      <c r="CV49" s="61">
        <f t="shared" si="60"/>
        <v>0</v>
      </c>
      <c r="CY49" s="61">
        <f t="shared" si="61"/>
        <v>0</v>
      </c>
      <c r="CZ49" s="61">
        <f t="shared" si="62"/>
        <v>0</v>
      </c>
      <c r="DA49" s="61">
        <f t="shared" si="63"/>
        <v>0</v>
      </c>
      <c r="DB49" s="61">
        <f t="shared" si="64"/>
        <v>0</v>
      </c>
      <c r="DC49" s="61">
        <f t="shared" si="65"/>
        <v>0</v>
      </c>
      <c r="DD49" s="61">
        <f t="shared" si="66"/>
        <v>0</v>
      </c>
      <c r="DE49" s="61">
        <f t="shared" si="67"/>
        <v>0</v>
      </c>
      <c r="DF49" s="61">
        <f t="shared" si="68"/>
        <v>0</v>
      </c>
      <c r="DG49" s="61">
        <f t="shared" si="69"/>
        <v>0</v>
      </c>
      <c r="DH49" s="61">
        <f t="shared" si="70"/>
        <v>0</v>
      </c>
      <c r="DI49" s="61">
        <f t="shared" si="71"/>
        <v>0</v>
      </c>
      <c r="DJ49" s="61">
        <f t="shared" si="72"/>
        <v>0</v>
      </c>
      <c r="DK49" s="61">
        <f t="shared" si="73"/>
        <v>0</v>
      </c>
      <c r="DL49" s="61">
        <f t="shared" si="74"/>
        <v>0</v>
      </c>
    </row>
    <row r="50" spans="1:116" x14ac:dyDescent="0.25">
      <c r="A50" s="492" t="s">
        <v>762</v>
      </c>
      <c r="B50" s="422"/>
      <c r="C50" s="420"/>
      <c r="D50" s="420"/>
      <c r="E50" s="539" t="str">
        <f>IF(D50&lt;&gt;"",IF($C50="Male",VLOOKUP(D50,Titles!$K$3:$L$70,2,FALSE),IF($C50="Female",VLOOKUP(D50,Titles!$P$3:$Q$68,2,FALSE),"")),"")</f>
        <v/>
      </c>
      <c r="F50" s="420"/>
      <c r="G50" s="420"/>
      <c r="H50" s="420"/>
      <c r="I50" s="420"/>
      <c r="J50" s="420"/>
      <c r="K50" s="420"/>
      <c r="L50" s="420"/>
      <c r="M50" s="420"/>
      <c r="N50" s="421"/>
      <c r="O50" s="421"/>
      <c r="P50" s="421"/>
      <c r="Q50" s="421"/>
      <c r="R50" s="421"/>
      <c r="S50" s="421"/>
      <c r="T50" s="421"/>
      <c r="U50" s="421"/>
      <c r="V50" s="421"/>
      <c r="W50" s="421"/>
      <c r="X50" s="421"/>
      <c r="Y50" s="421"/>
      <c r="Z50" s="421"/>
      <c r="AA50" s="421"/>
      <c r="AB50" s="423"/>
      <c r="AD50" s="61">
        <f t="shared" si="13"/>
        <v>0</v>
      </c>
      <c r="AE50" s="61">
        <f t="shared" si="82"/>
        <v>0</v>
      </c>
      <c r="AF50" s="61">
        <f t="shared" si="83"/>
        <v>0</v>
      </c>
      <c r="AG50" s="61">
        <f t="shared" si="84"/>
        <v>0</v>
      </c>
      <c r="AH50" s="61">
        <f t="shared" si="85"/>
        <v>0</v>
      </c>
      <c r="AI50" s="61">
        <f t="shared" si="86"/>
        <v>0</v>
      </c>
      <c r="AJ50" s="61">
        <f t="shared" si="87"/>
        <v>0</v>
      </c>
      <c r="AK50" s="61">
        <f t="shared" si="88"/>
        <v>0</v>
      </c>
      <c r="AL50" s="61">
        <f t="shared" si="89"/>
        <v>0</v>
      </c>
      <c r="AO50" s="61">
        <f t="shared" si="14"/>
        <v>-5</v>
      </c>
      <c r="AP50" s="61">
        <f t="shared" si="15"/>
        <v>-5</v>
      </c>
      <c r="AQ50" s="61">
        <f t="shared" si="75"/>
        <v>-5</v>
      </c>
      <c r="AR50" s="61">
        <f t="shared" si="76"/>
        <v>-5</v>
      </c>
      <c r="AS50" s="61">
        <f t="shared" si="77"/>
        <v>-5</v>
      </c>
      <c r="AT50" s="61">
        <f t="shared" si="78"/>
        <v>-5</v>
      </c>
      <c r="AU50" s="61">
        <f t="shared" si="79"/>
        <v>-5</v>
      </c>
      <c r="AV50" s="61">
        <f t="shared" si="80"/>
        <v>-5</v>
      </c>
      <c r="AW50" s="61">
        <f t="shared" si="81"/>
        <v>-5</v>
      </c>
      <c r="AZ50" s="61">
        <f t="shared" si="16"/>
        <v>0</v>
      </c>
      <c r="BA50" s="61">
        <f t="shared" si="17"/>
        <v>0</v>
      </c>
      <c r="BB50" s="61">
        <f t="shared" si="18"/>
        <v>0</v>
      </c>
      <c r="BC50" s="61">
        <f t="shared" si="19"/>
        <v>0</v>
      </c>
      <c r="BD50" s="61">
        <f t="shared" si="20"/>
        <v>0</v>
      </c>
      <c r="BE50" s="61">
        <f t="shared" si="21"/>
        <v>0</v>
      </c>
      <c r="BF50" s="61">
        <f t="shared" si="22"/>
        <v>0</v>
      </c>
      <c r="BG50" s="61">
        <f t="shared" si="23"/>
        <v>0</v>
      </c>
      <c r="BH50" s="61">
        <f t="shared" si="24"/>
        <v>0</v>
      </c>
      <c r="BI50" s="61">
        <f t="shared" si="25"/>
        <v>0</v>
      </c>
      <c r="BJ50" s="61">
        <f t="shared" si="26"/>
        <v>0</v>
      </c>
      <c r="BK50" s="61">
        <f t="shared" si="27"/>
        <v>0</v>
      </c>
      <c r="BN50" s="61">
        <f t="shared" si="28"/>
        <v>0</v>
      </c>
      <c r="BO50" s="61">
        <f t="shared" si="29"/>
        <v>0</v>
      </c>
      <c r="BP50" s="61">
        <f t="shared" si="30"/>
        <v>0</v>
      </c>
      <c r="BQ50" s="61">
        <f t="shared" si="31"/>
        <v>0</v>
      </c>
      <c r="BR50" s="61">
        <f t="shared" si="32"/>
        <v>0</v>
      </c>
      <c r="BS50" s="61">
        <f t="shared" si="33"/>
        <v>0</v>
      </c>
      <c r="BT50" s="61">
        <f t="shared" si="34"/>
        <v>0</v>
      </c>
      <c r="BU50" s="61">
        <f t="shared" si="35"/>
        <v>0</v>
      </c>
      <c r="BV50" s="61">
        <f t="shared" si="36"/>
        <v>0</v>
      </c>
      <c r="BW50" s="61">
        <f t="shared" si="37"/>
        <v>0</v>
      </c>
      <c r="BX50" s="61">
        <f t="shared" si="38"/>
        <v>0</v>
      </c>
      <c r="BY50" s="61">
        <f t="shared" si="39"/>
        <v>0</v>
      </c>
      <c r="CB50" s="61">
        <f t="shared" si="40"/>
        <v>0</v>
      </c>
      <c r="CC50" s="61">
        <f t="shared" si="41"/>
        <v>0</v>
      </c>
      <c r="CD50" s="61">
        <f t="shared" si="42"/>
        <v>0</v>
      </c>
      <c r="CE50" s="61">
        <f t="shared" si="43"/>
        <v>0</v>
      </c>
      <c r="CF50" s="61">
        <f t="shared" si="44"/>
        <v>0</v>
      </c>
      <c r="CG50" s="61">
        <f t="shared" si="45"/>
        <v>0</v>
      </c>
      <c r="CH50" s="61">
        <f t="shared" si="46"/>
        <v>0</v>
      </c>
      <c r="CI50" s="61">
        <f t="shared" si="47"/>
        <v>0</v>
      </c>
      <c r="CJ50" s="61">
        <f t="shared" si="48"/>
        <v>0</v>
      </c>
      <c r="CK50" s="61">
        <f t="shared" si="49"/>
        <v>0</v>
      </c>
      <c r="CL50" s="61">
        <f t="shared" si="50"/>
        <v>0</v>
      </c>
      <c r="CM50" s="61">
        <f t="shared" si="51"/>
        <v>0</v>
      </c>
      <c r="CN50" s="61">
        <f t="shared" si="52"/>
        <v>0</v>
      </c>
      <c r="CO50" s="61">
        <f t="shared" si="53"/>
        <v>0</v>
      </c>
      <c r="CP50" s="61">
        <f t="shared" si="54"/>
        <v>0</v>
      </c>
      <c r="CQ50" s="61">
        <f t="shared" si="55"/>
        <v>0</v>
      </c>
      <c r="CR50" s="61">
        <f t="shared" si="56"/>
        <v>0</v>
      </c>
      <c r="CS50" s="61">
        <f t="shared" si="57"/>
        <v>0</v>
      </c>
      <c r="CT50" s="61">
        <f t="shared" si="58"/>
        <v>0</v>
      </c>
      <c r="CU50" s="61">
        <f t="shared" si="59"/>
        <v>0</v>
      </c>
      <c r="CV50" s="61">
        <f t="shared" si="60"/>
        <v>0</v>
      </c>
      <c r="CY50" s="61">
        <f t="shared" si="61"/>
        <v>0</v>
      </c>
      <c r="CZ50" s="61">
        <f t="shared" si="62"/>
        <v>0</v>
      </c>
      <c r="DA50" s="61">
        <f t="shared" si="63"/>
        <v>0</v>
      </c>
      <c r="DB50" s="61">
        <f t="shared" si="64"/>
        <v>0</v>
      </c>
      <c r="DC50" s="61">
        <f t="shared" si="65"/>
        <v>0</v>
      </c>
      <c r="DD50" s="61">
        <f t="shared" si="66"/>
        <v>0</v>
      </c>
      <c r="DE50" s="61">
        <f t="shared" si="67"/>
        <v>0</v>
      </c>
      <c r="DF50" s="61">
        <f t="shared" si="68"/>
        <v>0</v>
      </c>
      <c r="DG50" s="61">
        <f t="shared" si="69"/>
        <v>0</v>
      </c>
      <c r="DH50" s="61">
        <f t="shared" si="70"/>
        <v>0</v>
      </c>
      <c r="DI50" s="61">
        <f t="shared" si="71"/>
        <v>0</v>
      </c>
      <c r="DJ50" s="61">
        <f t="shared" si="72"/>
        <v>0</v>
      </c>
      <c r="DK50" s="61">
        <f t="shared" si="73"/>
        <v>0</v>
      </c>
      <c r="DL50" s="61">
        <f t="shared" si="74"/>
        <v>0</v>
      </c>
    </row>
    <row r="51" spans="1:116" x14ac:dyDescent="0.25">
      <c r="A51" s="492" t="s">
        <v>762</v>
      </c>
      <c r="B51" s="422"/>
      <c r="C51" s="420"/>
      <c r="D51" s="420"/>
      <c r="E51" s="539" t="str">
        <f>IF(D51&lt;&gt;"",IF($C51="Male",VLOOKUP(D51,Titles!$K$3:$L$70,2,FALSE),IF($C51="Female",VLOOKUP(D51,Titles!$P$3:$Q$68,2,FALSE),"")),"")</f>
        <v/>
      </c>
      <c r="F51" s="420"/>
      <c r="G51" s="420"/>
      <c r="H51" s="420"/>
      <c r="I51" s="420"/>
      <c r="J51" s="420"/>
      <c r="K51" s="420"/>
      <c r="L51" s="420"/>
      <c r="M51" s="420"/>
      <c r="N51" s="421"/>
      <c r="O51" s="421"/>
      <c r="P51" s="421"/>
      <c r="Q51" s="421"/>
      <c r="R51" s="421"/>
      <c r="S51" s="421"/>
      <c r="T51" s="421"/>
      <c r="U51" s="421"/>
      <c r="V51" s="421"/>
      <c r="W51" s="421"/>
      <c r="X51" s="421"/>
      <c r="Y51" s="421"/>
      <c r="Z51" s="421"/>
      <c r="AA51" s="421"/>
      <c r="AB51" s="423"/>
      <c r="AD51" s="61">
        <f t="shared" si="13"/>
        <v>0</v>
      </c>
      <c r="AE51" s="61">
        <f t="shared" si="82"/>
        <v>0</v>
      </c>
      <c r="AF51" s="61">
        <f t="shared" si="83"/>
        <v>0</v>
      </c>
      <c r="AG51" s="61">
        <f t="shared" si="84"/>
        <v>0</v>
      </c>
      <c r="AH51" s="61">
        <f t="shared" si="85"/>
        <v>0</v>
      </c>
      <c r="AI51" s="61">
        <f t="shared" si="86"/>
        <v>0</v>
      </c>
      <c r="AJ51" s="61">
        <f t="shared" si="87"/>
        <v>0</v>
      </c>
      <c r="AK51" s="61">
        <f t="shared" si="88"/>
        <v>0</v>
      </c>
      <c r="AL51" s="61">
        <f t="shared" si="89"/>
        <v>0</v>
      </c>
      <c r="AO51" s="61">
        <f t="shared" si="14"/>
        <v>-5</v>
      </c>
      <c r="AP51" s="61">
        <f t="shared" si="15"/>
        <v>-5</v>
      </c>
      <c r="AQ51" s="61">
        <f t="shared" si="75"/>
        <v>-5</v>
      </c>
      <c r="AR51" s="61">
        <f t="shared" si="76"/>
        <v>-5</v>
      </c>
      <c r="AS51" s="61">
        <f t="shared" si="77"/>
        <v>-5</v>
      </c>
      <c r="AT51" s="61">
        <f t="shared" si="78"/>
        <v>-5</v>
      </c>
      <c r="AU51" s="61">
        <f t="shared" si="79"/>
        <v>-5</v>
      </c>
      <c r="AV51" s="61">
        <f t="shared" si="80"/>
        <v>-5</v>
      </c>
      <c r="AW51" s="61">
        <f t="shared" si="81"/>
        <v>-5</v>
      </c>
      <c r="AZ51" s="61">
        <f t="shared" si="16"/>
        <v>0</v>
      </c>
      <c r="BA51" s="61">
        <f t="shared" si="17"/>
        <v>0</v>
      </c>
      <c r="BB51" s="61">
        <f t="shared" si="18"/>
        <v>0</v>
      </c>
      <c r="BC51" s="61">
        <f t="shared" si="19"/>
        <v>0</v>
      </c>
      <c r="BD51" s="61">
        <f t="shared" si="20"/>
        <v>0</v>
      </c>
      <c r="BE51" s="61">
        <f t="shared" si="21"/>
        <v>0</v>
      </c>
      <c r="BF51" s="61">
        <f t="shared" si="22"/>
        <v>0</v>
      </c>
      <c r="BG51" s="61">
        <f t="shared" si="23"/>
        <v>0</v>
      </c>
      <c r="BH51" s="61">
        <f t="shared" si="24"/>
        <v>0</v>
      </c>
      <c r="BI51" s="61">
        <f t="shared" si="25"/>
        <v>0</v>
      </c>
      <c r="BJ51" s="61">
        <f t="shared" si="26"/>
        <v>0</v>
      </c>
      <c r="BK51" s="61">
        <f t="shared" si="27"/>
        <v>0</v>
      </c>
      <c r="BN51" s="61">
        <f t="shared" si="28"/>
        <v>0</v>
      </c>
      <c r="BO51" s="61">
        <f t="shared" si="29"/>
        <v>0</v>
      </c>
      <c r="BP51" s="61">
        <f t="shared" si="30"/>
        <v>0</v>
      </c>
      <c r="BQ51" s="61">
        <f t="shared" si="31"/>
        <v>0</v>
      </c>
      <c r="BR51" s="61">
        <f t="shared" si="32"/>
        <v>0</v>
      </c>
      <c r="BS51" s="61">
        <f t="shared" si="33"/>
        <v>0</v>
      </c>
      <c r="BT51" s="61">
        <f t="shared" si="34"/>
        <v>0</v>
      </c>
      <c r="BU51" s="61">
        <f t="shared" si="35"/>
        <v>0</v>
      </c>
      <c r="BV51" s="61">
        <f t="shared" si="36"/>
        <v>0</v>
      </c>
      <c r="BW51" s="61">
        <f t="shared" si="37"/>
        <v>0</v>
      </c>
      <c r="BX51" s="61">
        <f t="shared" si="38"/>
        <v>0</v>
      </c>
      <c r="BY51" s="61">
        <f t="shared" si="39"/>
        <v>0</v>
      </c>
      <c r="CB51" s="61">
        <f t="shared" si="40"/>
        <v>0</v>
      </c>
      <c r="CC51" s="61">
        <f t="shared" si="41"/>
        <v>0</v>
      </c>
      <c r="CD51" s="61">
        <f t="shared" si="42"/>
        <v>0</v>
      </c>
      <c r="CE51" s="61">
        <f t="shared" si="43"/>
        <v>0</v>
      </c>
      <c r="CF51" s="61">
        <f t="shared" si="44"/>
        <v>0</v>
      </c>
      <c r="CG51" s="61">
        <f t="shared" si="45"/>
        <v>0</v>
      </c>
      <c r="CH51" s="61">
        <f t="shared" si="46"/>
        <v>0</v>
      </c>
      <c r="CI51" s="61">
        <f t="shared" si="47"/>
        <v>0</v>
      </c>
      <c r="CJ51" s="61">
        <f t="shared" si="48"/>
        <v>0</v>
      </c>
      <c r="CK51" s="61">
        <f t="shared" si="49"/>
        <v>0</v>
      </c>
      <c r="CL51" s="61">
        <f t="shared" si="50"/>
        <v>0</v>
      </c>
      <c r="CM51" s="61">
        <f t="shared" si="51"/>
        <v>0</v>
      </c>
      <c r="CN51" s="61">
        <f t="shared" si="52"/>
        <v>0</v>
      </c>
      <c r="CO51" s="61">
        <f t="shared" si="53"/>
        <v>0</v>
      </c>
      <c r="CP51" s="61">
        <f t="shared" si="54"/>
        <v>0</v>
      </c>
      <c r="CQ51" s="61">
        <f t="shared" si="55"/>
        <v>0</v>
      </c>
      <c r="CR51" s="61">
        <f t="shared" si="56"/>
        <v>0</v>
      </c>
      <c r="CS51" s="61">
        <f t="shared" si="57"/>
        <v>0</v>
      </c>
      <c r="CT51" s="61">
        <f t="shared" si="58"/>
        <v>0</v>
      </c>
      <c r="CU51" s="61">
        <f t="shared" si="59"/>
        <v>0</v>
      </c>
      <c r="CV51" s="61">
        <f t="shared" si="60"/>
        <v>0</v>
      </c>
      <c r="CY51" s="61">
        <f t="shared" si="61"/>
        <v>0</v>
      </c>
      <c r="CZ51" s="61">
        <f t="shared" si="62"/>
        <v>0</v>
      </c>
      <c r="DA51" s="61">
        <f t="shared" si="63"/>
        <v>0</v>
      </c>
      <c r="DB51" s="61">
        <f t="shared" si="64"/>
        <v>0</v>
      </c>
      <c r="DC51" s="61">
        <f t="shared" si="65"/>
        <v>0</v>
      </c>
      <c r="DD51" s="61">
        <f t="shared" si="66"/>
        <v>0</v>
      </c>
      <c r="DE51" s="61">
        <f t="shared" si="67"/>
        <v>0</v>
      </c>
      <c r="DF51" s="61">
        <f t="shared" si="68"/>
        <v>0</v>
      </c>
      <c r="DG51" s="61">
        <f t="shared" si="69"/>
        <v>0</v>
      </c>
      <c r="DH51" s="61">
        <f t="shared" si="70"/>
        <v>0</v>
      </c>
      <c r="DI51" s="61">
        <f t="shared" si="71"/>
        <v>0</v>
      </c>
      <c r="DJ51" s="61">
        <f t="shared" si="72"/>
        <v>0</v>
      </c>
      <c r="DK51" s="61">
        <f t="shared" si="73"/>
        <v>0</v>
      </c>
      <c r="DL51" s="61">
        <f t="shared" si="74"/>
        <v>0</v>
      </c>
    </row>
    <row r="52" spans="1:116" x14ac:dyDescent="0.25">
      <c r="A52" s="492" t="s">
        <v>762</v>
      </c>
      <c r="B52" s="422"/>
      <c r="C52" s="420"/>
      <c r="D52" s="420"/>
      <c r="E52" s="539" t="str">
        <f>IF(D52&lt;&gt;"",IF($C52="Male",VLOOKUP(D52,Titles!$K$3:$L$70,2,FALSE),IF($C52="Female",VLOOKUP(D52,Titles!$P$3:$Q$68,2,FALSE),"")),"")</f>
        <v/>
      </c>
      <c r="F52" s="420"/>
      <c r="G52" s="420"/>
      <c r="H52" s="420"/>
      <c r="I52" s="420"/>
      <c r="J52" s="420"/>
      <c r="K52" s="420"/>
      <c r="L52" s="420"/>
      <c r="M52" s="420"/>
      <c r="N52" s="421"/>
      <c r="O52" s="421"/>
      <c r="P52" s="421"/>
      <c r="Q52" s="421"/>
      <c r="R52" s="421"/>
      <c r="S52" s="421"/>
      <c r="T52" s="421"/>
      <c r="U52" s="421"/>
      <c r="V52" s="421"/>
      <c r="W52" s="421"/>
      <c r="X52" s="421"/>
      <c r="Y52" s="421"/>
      <c r="Z52" s="421"/>
      <c r="AA52" s="421"/>
      <c r="AB52" s="423"/>
      <c r="AD52" s="61">
        <f t="shared" si="13"/>
        <v>0</v>
      </c>
      <c r="AE52" s="61">
        <f t="shared" si="82"/>
        <v>0</v>
      </c>
      <c r="AF52" s="61">
        <f t="shared" si="83"/>
        <v>0</v>
      </c>
      <c r="AG52" s="61">
        <f t="shared" si="84"/>
        <v>0</v>
      </c>
      <c r="AH52" s="61">
        <f t="shared" si="85"/>
        <v>0</v>
      </c>
      <c r="AI52" s="61">
        <f t="shared" si="86"/>
        <v>0</v>
      </c>
      <c r="AJ52" s="61">
        <f t="shared" si="87"/>
        <v>0</v>
      </c>
      <c r="AK52" s="61">
        <f t="shared" si="88"/>
        <v>0</v>
      </c>
      <c r="AL52" s="61">
        <f t="shared" si="89"/>
        <v>0</v>
      </c>
      <c r="AO52" s="61">
        <f t="shared" si="14"/>
        <v>-5</v>
      </c>
      <c r="AP52" s="61">
        <f t="shared" si="15"/>
        <v>-5</v>
      </c>
      <c r="AQ52" s="61">
        <f t="shared" si="75"/>
        <v>-5</v>
      </c>
      <c r="AR52" s="61">
        <f t="shared" si="76"/>
        <v>-5</v>
      </c>
      <c r="AS52" s="61">
        <f t="shared" si="77"/>
        <v>-5</v>
      </c>
      <c r="AT52" s="61">
        <f t="shared" si="78"/>
        <v>-5</v>
      </c>
      <c r="AU52" s="61">
        <f t="shared" si="79"/>
        <v>-5</v>
      </c>
      <c r="AV52" s="61">
        <f t="shared" si="80"/>
        <v>-5</v>
      </c>
      <c r="AW52" s="61">
        <f t="shared" si="81"/>
        <v>-5</v>
      </c>
      <c r="AZ52" s="61">
        <f t="shared" si="16"/>
        <v>0</v>
      </c>
      <c r="BA52" s="61">
        <f t="shared" si="17"/>
        <v>0</v>
      </c>
      <c r="BB52" s="61">
        <f t="shared" si="18"/>
        <v>0</v>
      </c>
      <c r="BC52" s="61">
        <f t="shared" si="19"/>
        <v>0</v>
      </c>
      <c r="BD52" s="61">
        <f t="shared" si="20"/>
        <v>0</v>
      </c>
      <c r="BE52" s="61">
        <f t="shared" si="21"/>
        <v>0</v>
      </c>
      <c r="BF52" s="61">
        <f t="shared" si="22"/>
        <v>0</v>
      </c>
      <c r="BG52" s="61">
        <f t="shared" si="23"/>
        <v>0</v>
      </c>
      <c r="BH52" s="61">
        <f t="shared" si="24"/>
        <v>0</v>
      </c>
      <c r="BI52" s="61">
        <f t="shared" si="25"/>
        <v>0</v>
      </c>
      <c r="BJ52" s="61">
        <f t="shared" si="26"/>
        <v>0</v>
      </c>
      <c r="BK52" s="61">
        <f t="shared" si="27"/>
        <v>0</v>
      </c>
      <c r="BN52" s="61">
        <f t="shared" si="28"/>
        <v>0</v>
      </c>
      <c r="BO52" s="61">
        <f t="shared" si="29"/>
        <v>0</v>
      </c>
      <c r="BP52" s="61">
        <f t="shared" si="30"/>
        <v>0</v>
      </c>
      <c r="BQ52" s="61">
        <f t="shared" si="31"/>
        <v>0</v>
      </c>
      <c r="BR52" s="61">
        <f t="shared" si="32"/>
        <v>0</v>
      </c>
      <c r="BS52" s="61">
        <f t="shared" si="33"/>
        <v>0</v>
      </c>
      <c r="BT52" s="61">
        <f t="shared" si="34"/>
        <v>0</v>
      </c>
      <c r="BU52" s="61">
        <f t="shared" si="35"/>
        <v>0</v>
      </c>
      <c r="BV52" s="61">
        <f t="shared" si="36"/>
        <v>0</v>
      </c>
      <c r="BW52" s="61">
        <f t="shared" si="37"/>
        <v>0</v>
      </c>
      <c r="BX52" s="61">
        <f t="shared" si="38"/>
        <v>0</v>
      </c>
      <c r="BY52" s="61">
        <f t="shared" si="39"/>
        <v>0</v>
      </c>
      <c r="CB52" s="61">
        <f t="shared" si="40"/>
        <v>0</v>
      </c>
      <c r="CC52" s="61">
        <f t="shared" si="41"/>
        <v>0</v>
      </c>
      <c r="CD52" s="61">
        <f t="shared" si="42"/>
        <v>0</v>
      </c>
      <c r="CE52" s="61">
        <f t="shared" si="43"/>
        <v>0</v>
      </c>
      <c r="CF52" s="61">
        <f t="shared" si="44"/>
        <v>0</v>
      </c>
      <c r="CG52" s="61">
        <f t="shared" si="45"/>
        <v>0</v>
      </c>
      <c r="CH52" s="61">
        <f t="shared" si="46"/>
        <v>0</v>
      </c>
      <c r="CI52" s="61">
        <f t="shared" si="47"/>
        <v>0</v>
      </c>
      <c r="CJ52" s="61">
        <f t="shared" si="48"/>
        <v>0</v>
      </c>
      <c r="CK52" s="61">
        <f t="shared" si="49"/>
        <v>0</v>
      </c>
      <c r="CL52" s="61">
        <f t="shared" si="50"/>
        <v>0</v>
      </c>
      <c r="CM52" s="61">
        <f t="shared" si="51"/>
        <v>0</v>
      </c>
      <c r="CN52" s="61">
        <f t="shared" si="52"/>
        <v>0</v>
      </c>
      <c r="CO52" s="61">
        <f t="shared" si="53"/>
        <v>0</v>
      </c>
      <c r="CP52" s="61">
        <f t="shared" si="54"/>
        <v>0</v>
      </c>
      <c r="CQ52" s="61">
        <f t="shared" si="55"/>
        <v>0</v>
      </c>
      <c r="CR52" s="61">
        <f t="shared" si="56"/>
        <v>0</v>
      </c>
      <c r="CS52" s="61">
        <f t="shared" si="57"/>
        <v>0</v>
      </c>
      <c r="CT52" s="61">
        <f t="shared" si="58"/>
        <v>0</v>
      </c>
      <c r="CU52" s="61">
        <f t="shared" si="59"/>
        <v>0</v>
      </c>
      <c r="CV52" s="61">
        <f t="shared" si="60"/>
        <v>0</v>
      </c>
      <c r="CY52" s="61">
        <f t="shared" si="61"/>
        <v>0</v>
      </c>
      <c r="CZ52" s="61">
        <f t="shared" si="62"/>
        <v>0</v>
      </c>
      <c r="DA52" s="61">
        <f t="shared" si="63"/>
        <v>0</v>
      </c>
      <c r="DB52" s="61">
        <f t="shared" si="64"/>
        <v>0</v>
      </c>
      <c r="DC52" s="61">
        <f t="shared" si="65"/>
        <v>0</v>
      </c>
      <c r="DD52" s="61">
        <f t="shared" si="66"/>
        <v>0</v>
      </c>
      <c r="DE52" s="61">
        <f t="shared" si="67"/>
        <v>0</v>
      </c>
      <c r="DF52" s="61">
        <f t="shared" si="68"/>
        <v>0</v>
      </c>
      <c r="DG52" s="61">
        <f t="shared" si="69"/>
        <v>0</v>
      </c>
      <c r="DH52" s="61">
        <f t="shared" si="70"/>
        <v>0</v>
      </c>
      <c r="DI52" s="61">
        <f t="shared" si="71"/>
        <v>0</v>
      </c>
      <c r="DJ52" s="61">
        <f t="shared" si="72"/>
        <v>0</v>
      </c>
      <c r="DK52" s="61">
        <f t="shared" si="73"/>
        <v>0</v>
      </c>
      <c r="DL52" s="61">
        <f t="shared" si="74"/>
        <v>0</v>
      </c>
    </row>
    <row r="53" spans="1:116" x14ac:dyDescent="0.25">
      <c r="A53" s="492" t="s">
        <v>762</v>
      </c>
      <c r="B53" s="422"/>
      <c r="C53" s="420"/>
      <c r="D53" s="420"/>
      <c r="E53" s="539" t="str">
        <f>IF(D53&lt;&gt;"",IF($C53="Male",VLOOKUP(D53,Titles!$K$3:$L$70,2,FALSE),IF($C53="Female",VLOOKUP(D53,Titles!$P$3:$Q$68,2,FALSE),"")),"")</f>
        <v/>
      </c>
      <c r="F53" s="420"/>
      <c r="G53" s="420"/>
      <c r="H53" s="420"/>
      <c r="I53" s="420"/>
      <c r="J53" s="420"/>
      <c r="K53" s="420"/>
      <c r="L53" s="420"/>
      <c r="M53" s="420"/>
      <c r="N53" s="421"/>
      <c r="O53" s="421"/>
      <c r="P53" s="421"/>
      <c r="Q53" s="421"/>
      <c r="R53" s="421"/>
      <c r="S53" s="421"/>
      <c r="T53" s="421"/>
      <c r="U53" s="421"/>
      <c r="V53" s="421"/>
      <c r="W53" s="421"/>
      <c r="X53" s="421"/>
      <c r="Y53" s="421"/>
      <c r="Z53" s="421"/>
      <c r="AA53" s="421"/>
      <c r="AB53" s="423"/>
      <c r="AD53" s="61">
        <f t="shared" si="13"/>
        <v>0</v>
      </c>
      <c r="AE53" s="61">
        <f t="shared" si="82"/>
        <v>0</v>
      </c>
      <c r="AF53" s="61">
        <f t="shared" si="83"/>
        <v>0</v>
      </c>
      <c r="AG53" s="61">
        <f t="shared" si="84"/>
        <v>0</v>
      </c>
      <c r="AH53" s="61">
        <f t="shared" si="85"/>
        <v>0</v>
      </c>
      <c r="AI53" s="61">
        <f t="shared" si="86"/>
        <v>0</v>
      </c>
      <c r="AJ53" s="61">
        <f t="shared" si="87"/>
        <v>0</v>
      </c>
      <c r="AK53" s="61">
        <f t="shared" si="88"/>
        <v>0</v>
      </c>
      <c r="AL53" s="61">
        <f t="shared" si="89"/>
        <v>0</v>
      </c>
      <c r="AO53" s="61">
        <f t="shared" si="14"/>
        <v>-5</v>
      </c>
      <c r="AP53" s="61">
        <f t="shared" si="15"/>
        <v>-5</v>
      </c>
      <c r="AQ53" s="61">
        <f t="shared" si="75"/>
        <v>-5</v>
      </c>
      <c r="AR53" s="61">
        <f t="shared" si="76"/>
        <v>-5</v>
      </c>
      <c r="AS53" s="61">
        <f t="shared" si="77"/>
        <v>-5</v>
      </c>
      <c r="AT53" s="61">
        <f t="shared" si="78"/>
        <v>-5</v>
      </c>
      <c r="AU53" s="61">
        <f t="shared" si="79"/>
        <v>-5</v>
      </c>
      <c r="AV53" s="61">
        <f t="shared" si="80"/>
        <v>-5</v>
      </c>
      <c r="AW53" s="61">
        <f t="shared" si="81"/>
        <v>-5</v>
      </c>
      <c r="AZ53" s="61">
        <f t="shared" si="16"/>
        <v>0</v>
      </c>
      <c r="BA53" s="61">
        <f t="shared" si="17"/>
        <v>0</v>
      </c>
      <c r="BB53" s="61">
        <f t="shared" si="18"/>
        <v>0</v>
      </c>
      <c r="BC53" s="61">
        <f t="shared" si="19"/>
        <v>0</v>
      </c>
      <c r="BD53" s="61">
        <f t="shared" si="20"/>
        <v>0</v>
      </c>
      <c r="BE53" s="61">
        <f t="shared" si="21"/>
        <v>0</v>
      </c>
      <c r="BF53" s="61">
        <f t="shared" si="22"/>
        <v>0</v>
      </c>
      <c r="BG53" s="61">
        <f t="shared" si="23"/>
        <v>0</v>
      </c>
      <c r="BH53" s="61">
        <f t="shared" si="24"/>
        <v>0</v>
      </c>
      <c r="BI53" s="61">
        <f t="shared" si="25"/>
        <v>0</v>
      </c>
      <c r="BJ53" s="61">
        <f t="shared" si="26"/>
        <v>0</v>
      </c>
      <c r="BK53" s="61">
        <f t="shared" si="27"/>
        <v>0</v>
      </c>
      <c r="BN53" s="61">
        <f t="shared" si="28"/>
        <v>0</v>
      </c>
      <c r="BO53" s="61">
        <f t="shared" si="29"/>
        <v>0</v>
      </c>
      <c r="BP53" s="61">
        <f t="shared" si="30"/>
        <v>0</v>
      </c>
      <c r="BQ53" s="61">
        <f t="shared" si="31"/>
        <v>0</v>
      </c>
      <c r="BR53" s="61">
        <f t="shared" si="32"/>
        <v>0</v>
      </c>
      <c r="BS53" s="61">
        <f t="shared" si="33"/>
        <v>0</v>
      </c>
      <c r="BT53" s="61">
        <f t="shared" si="34"/>
        <v>0</v>
      </c>
      <c r="BU53" s="61">
        <f t="shared" si="35"/>
        <v>0</v>
      </c>
      <c r="BV53" s="61">
        <f t="shared" si="36"/>
        <v>0</v>
      </c>
      <c r="BW53" s="61">
        <f t="shared" si="37"/>
        <v>0</v>
      </c>
      <c r="BX53" s="61">
        <f t="shared" si="38"/>
        <v>0</v>
      </c>
      <c r="BY53" s="61">
        <f t="shared" si="39"/>
        <v>0</v>
      </c>
      <c r="CB53" s="61">
        <f t="shared" si="40"/>
        <v>0</v>
      </c>
      <c r="CC53" s="61">
        <f t="shared" si="41"/>
        <v>0</v>
      </c>
      <c r="CD53" s="61">
        <f t="shared" si="42"/>
        <v>0</v>
      </c>
      <c r="CE53" s="61">
        <f t="shared" si="43"/>
        <v>0</v>
      </c>
      <c r="CF53" s="61">
        <f t="shared" si="44"/>
        <v>0</v>
      </c>
      <c r="CG53" s="61">
        <f t="shared" si="45"/>
        <v>0</v>
      </c>
      <c r="CH53" s="61">
        <f t="shared" si="46"/>
        <v>0</v>
      </c>
      <c r="CI53" s="61">
        <f t="shared" si="47"/>
        <v>0</v>
      </c>
      <c r="CJ53" s="61">
        <f t="shared" si="48"/>
        <v>0</v>
      </c>
      <c r="CK53" s="61">
        <f t="shared" si="49"/>
        <v>0</v>
      </c>
      <c r="CL53" s="61">
        <f t="shared" si="50"/>
        <v>0</v>
      </c>
      <c r="CM53" s="61">
        <f t="shared" si="51"/>
        <v>0</v>
      </c>
      <c r="CN53" s="61">
        <f t="shared" si="52"/>
        <v>0</v>
      </c>
      <c r="CO53" s="61">
        <f t="shared" si="53"/>
        <v>0</v>
      </c>
      <c r="CP53" s="61">
        <f t="shared" si="54"/>
        <v>0</v>
      </c>
      <c r="CQ53" s="61">
        <f t="shared" si="55"/>
        <v>0</v>
      </c>
      <c r="CR53" s="61">
        <f t="shared" si="56"/>
        <v>0</v>
      </c>
      <c r="CS53" s="61">
        <f t="shared" si="57"/>
        <v>0</v>
      </c>
      <c r="CT53" s="61">
        <f t="shared" si="58"/>
        <v>0</v>
      </c>
      <c r="CU53" s="61">
        <f t="shared" si="59"/>
        <v>0</v>
      </c>
      <c r="CV53" s="61">
        <f t="shared" si="60"/>
        <v>0</v>
      </c>
      <c r="CY53" s="61">
        <f t="shared" si="61"/>
        <v>0</v>
      </c>
      <c r="CZ53" s="61">
        <f t="shared" si="62"/>
        <v>0</v>
      </c>
      <c r="DA53" s="61">
        <f t="shared" si="63"/>
        <v>0</v>
      </c>
      <c r="DB53" s="61">
        <f t="shared" si="64"/>
        <v>0</v>
      </c>
      <c r="DC53" s="61">
        <f t="shared" si="65"/>
        <v>0</v>
      </c>
      <c r="DD53" s="61">
        <f t="shared" si="66"/>
        <v>0</v>
      </c>
      <c r="DE53" s="61">
        <f t="shared" si="67"/>
        <v>0</v>
      </c>
      <c r="DF53" s="61">
        <f t="shared" si="68"/>
        <v>0</v>
      </c>
      <c r="DG53" s="61">
        <f t="shared" si="69"/>
        <v>0</v>
      </c>
      <c r="DH53" s="61">
        <f t="shared" si="70"/>
        <v>0</v>
      </c>
      <c r="DI53" s="61">
        <f t="shared" si="71"/>
        <v>0</v>
      </c>
      <c r="DJ53" s="61">
        <f t="shared" si="72"/>
        <v>0</v>
      </c>
      <c r="DK53" s="61">
        <f t="shared" si="73"/>
        <v>0</v>
      </c>
      <c r="DL53" s="61">
        <f t="shared" si="74"/>
        <v>0</v>
      </c>
    </row>
    <row r="54" spans="1:116" x14ac:dyDescent="0.25">
      <c r="A54" s="492" t="s">
        <v>762</v>
      </c>
      <c r="B54" s="422"/>
      <c r="C54" s="420"/>
      <c r="D54" s="420"/>
      <c r="E54" s="539" t="str">
        <f>IF(D54&lt;&gt;"",IF($C54="Male",VLOOKUP(D54,Titles!$K$3:$L$70,2,FALSE),IF($C54="Female",VLOOKUP(D54,Titles!$P$3:$Q$68,2,FALSE),"")),"")</f>
        <v/>
      </c>
      <c r="F54" s="420"/>
      <c r="G54" s="420"/>
      <c r="H54" s="420"/>
      <c r="I54" s="420"/>
      <c r="J54" s="420"/>
      <c r="K54" s="420"/>
      <c r="L54" s="420"/>
      <c r="M54" s="420"/>
      <c r="N54" s="421"/>
      <c r="O54" s="421"/>
      <c r="P54" s="421"/>
      <c r="Q54" s="421"/>
      <c r="R54" s="421"/>
      <c r="S54" s="421"/>
      <c r="T54" s="421"/>
      <c r="U54" s="421"/>
      <c r="V54" s="421"/>
      <c r="W54" s="421"/>
      <c r="X54" s="421"/>
      <c r="Y54" s="421"/>
      <c r="Z54" s="421"/>
      <c r="AA54" s="421"/>
      <c r="AB54" s="423"/>
      <c r="AD54" s="61">
        <f t="shared" si="13"/>
        <v>0</v>
      </c>
      <c r="AE54" s="61">
        <f t="shared" si="82"/>
        <v>0</v>
      </c>
      <c r="AF54" s="61">
        <f t="shared" si="83"/>
        <v>0</v>
      </c>
      <c r="AG54" s="61">
        <f t="shared" si="84"/>
        <v>0</v>
      </c>
      <c r="AH54" s="61">
        <f t="shared" si="85"/>
        <v>0</v>
      </c>
      <c r="AI54" s="61">
        <f t="shared" si="86"/>
        <v>0</v>
      </c>
      <c r="AJ54" s="61">
        <f t="shared" si="87"/>
        <v>0</v>
      </c>
      <c r="AK54" s="61">
        <f t="shared" si="88"/>
        <v>0</v>
      </c>
      <c r="AL54" s="61">
        <f t="shared" si="89"/>
        <v>0</v>
      </c>
      <c r="AO54" s="61">
        <f t="shared" si="14"/>
        <v>-5</v>
      </c>
      <c r="AP54" s="61">
        <f t="shared" si="15"/>
        <v>-5</v>
      </c>
      <c r="AQ54" s="61">
        <f t="shared" si="75"/>
        <v>-5</v>
      </c>
      <c r="AR54" s="61">
        <f t="shared" si="76"/>
        <v>-5</v>
      </c>
      <c r="AS54" s="61">
        <f t="shared" si="77"/>
        <v>-5</v>
      </c>
      <c r="AT54" s="61">
        <f t="shared" si="78"/>
        <v>-5</v>
      </c>
      <c r="AU54" s="61">
        <f t="shared" si="79"/>
        <v>-5</v>
      </c>
      <c r="AV54" s="61">
        <f t="shared" si="80"/>
        <v>-5</v>
      </c>
      <c r="AW54" s="61">
        <f t="shared" si="81"/>
        <v>-5</v>
      </c>
      <c r="AZ54" s="61">
        <f t="shared" ref="AZ54:AZ55" si="90">IF($B54&lt;&gt;"",INT(P54/5),0)</f>
        <v>0</v>
      </c>
      <c r="BA54" s="61">
        <f t="shared" ref="BA54:BA55" si="91">IF($B54&lt;&gt;"",INT(Q54/5),0)</f>
        <v>0</v>
      </c>
      <c r="BB54" s="61">
        <f t="shared" ref="BB54:BB55" si="92">IF($B54&lt;&gt;"",INT(R54/5),0)</f>
        <v>0</v>
      </c>
      <c r="BC54" s="61">
        <f t="shared" ref="BC54:BC55" si="93">IF($B54&lt;&gt;"",INT(S54/5),0)</f>
        <v>0</v>
      </c>
      <c r="BD54" s="61">
        <f t="shared" ref="BD54:BD55" si="94">IF($B54&lt;&gt;"",INT(T54/5),0)</f>
        <v>0</v>
      </c>
      <c r="BE54" s="61">
        <f t="shared" ref="BE54:BE55" si="95">IF($B54&lt;&gt;"",INT(U54/5),0)</f>
        <v>0</v>
      </c>
      <c r="BF54" s="61">
        <f t="shared" ref="BF54:BF55" si="96">IF($B54&lt;&gt;"",INT(V54/5),0)</f>
        <v>0</v>
      </c>
      <c r="BG54" s="61">
        <f t="shared" ref="BG54:BG55" si="97">IF($B54&lt;&gt;"",INT(W54/5),0)</f>
        <v>0</v>
      </c>
      <c r="BH54" s="61">
        <f t="shared" ref="BH54:BH55" si="98">IF($B54&lt;&gt;"",INT(X54/5),0)</f>
        <v>0</v>
      </c>
      <c r="BI54" s="61">
        <f t="shared" ref="BI54:BI55" si="99">IF($B54&lt;&gt;"",INT(Y54/5),0)</f>
        <v>0</v>
      </c>
      <c r="BJ54" s="61">
        <f t="shared" ref="BJ54:BJ55" si="100">IF($B54&lt;&gt;"",INT(Z54/5),0)</f>
        <v>0</v>
      </c>
      <c r="BK54" s="61">
        <f t="shared" ref="BK54:BK55" si="101">IF($B54&lt;&gt;"",INT(AA54/5),0)</f>
        <v>0</v>
      </c>
      <c r="BN54" s="61">
        <f t="shared" ref="BN54:BN55" si="102">IF($B54&lt;&gt;"",INT(2+(P54/3)),0)</f>
        <v>0</v>
      </c>
      <c r="BO54" s="61">
        <f t="shared" ref="BO54:BO55" si="103">IF($B54&lt;&gt;"",INT(2+(Q54/3)),0)</f>
        <v>0</v>
      </c>
      <c r="BP54" s="61">
        <f t="shared" ref="BP54:BP55" si="104">IF($B54&lt;&gt;"",INT(2+(R54/3)),0)</f>
        <v>0</v>
      </c>
      <c r="BQ54" s="61">
        <f t="shared" ref="BQ54:BQ55" si="105">IF($B54&lt;&gt;"",INT(2+(S54/3)),0)</f>
        <v>0</v>
      </c>
      <c r="BR54" s="61">
        <f t="shared" ref="BR54:BR55" si="106">IF($B54&lt;&gt;"",INT(2+(T54/3)),0)</f>
        <v>0</v>
      </c>
      <c r="BS54" s="61">
        <f t="shared" ref="BS54:BS55" si="107">IF($B54&lt;&gt;"",INT(2+(U54/3)),0)</f>
        <v>0</v>
      </c>
      <c r="BT54" s="61">
        <f t="shared" ref="BT54:BT55" si="108">IF($B54&lt;&gt;"",INT(2+(V54/3)),0)</f>
        <v>0</v>
      </c>
      <c r="BU54" s="61">
        <f t="shared" ref="BU54:BU55" si="109">IF($B54&lt;&gt;"",INT(2+(W54/3)),0)</f>
        <v>0</v>
      </c>
      <c r="BV54" s="61">
        <f t="shared" ref="BV54:BV55" si="110">IF($B54&lt;&gt;"",INT(2+(X54/3)),0)</f>
        <v>0</v>
      </c>
      <c r="BW54" s="61">
        <f t="shared" ref="BW54:BW55" si="111">IF($B54&lt;&gt;"",INT(2+(Y54/3)),0)</f>
        <v>0</v>
      </c>
      <c r="BX54" s="61">
        <f t="shared" ref="BX54:BX55" si="112">IF($B54&lt;&gt;"",INT(2+(Z54/3)),0)</f>
        <v>0</v>
      </c>
      <c r="BY54" s="61">
        <f t="shared" ref="BY54:BY55" si="113">IF($B54&lt;&gt;"",INT(2+(AA54/3)),0)</f>
        <v>0</v>
      </c>
      <c r="CB54" s="61">
        <f t="shared" si="40"/>
        <v>0</v>
      </c>
      <c r="CC54" s="61">
        <f t="shared" si="41"/>
        <v>0</v>
      </c>
      <c r="CD54" s="61">
        <f t="shared" si="42"/>
        <v>0</v>
      </c>
      <c r="CE54" s="61">
        <f t="shared" si="43"/>
        <v>0</v>
      </c>
      <c r="CF54" s="61">
        <f t="shared" si="44"/>
        <v>0</v>
      </c>
      <c r="CG54" s="61">
        <f t="shared" si="45"/>
        <v>0</v>
      </c>
      <c r="CH54" s="61">
        <f t="shared" si="46"/>
        <v>0</v>
      </c>
      <c r="CI54" s="61">
        <f t="shared" si="47"/>
        <v>0</v>
      </c>
      <c r="CJ54" s="61">
        <f t="shared" si="48"/>
        <v>0</v>
      </c>
      <c r="CK54" s="61">
        <f t="shared" ref="CK54:CK55" si="114">IF($CK$1=1,0,IF($CK$1=3,BN54,IF($CK$1=4,BN54,IF($CK$1=2,AZ54,0))))</f>
        <v>0</v>
      </c>
      <c r="CL54" s="61">
        <f t="shared" ref="CL54:CL55" si="115">IF($CK$1=1,0,IF($CK$1=3,BO54,IF($CK$1=4,BO54,IF($CK$1=2,BA54,0))))</f>
        <v>0</v>
      </c>
      <c r="CM54" s="61">
        <f t="shared" ref="CM54:CM55" si="116">IF($CK$1=1,0,IF($CK$1=3,BP54,IF($CK$1=4,BP54,IF($CK$1=2,BB54,0))))</f>
        <v>0</v>
      </c>
      <c r="CN54" s="61">
        <f t="shared" ref="CN54:CN55" si="117">IF($CK$1=1,0,IF($CK$1=3,BQ54,IF($CK$1=4,BQ54,IF($CK$1=2,BC54,0))))</f>
        <v>0</v>
      </c>
      <c r="CO54" s="61">
        <f t="shared" ref="CO54:CO55" si="118">IF($CK$1=1,0,IF($CK$1=3,BR54,IF($CK$1=4,BR54,IF($CK$1=2,BD54,0))))</f>
        <v>0</v>
      </c>
      <c r="CP54" s="61">
        <f t="shared" ref="CP54:CP55" si="119">IF($CK$1=1,0,IF($CK$1=3,BS54,IF($CK$1=4,BS54,IF($CK$1=2,BE54,0))))</f>
        <v>0</v>
      </c>
      <c r="CQ54" s="61">
        <f t="shared" ref="CQ54:CQ55" si="120">IF($CK$1=1,0,IF($CK$1=3,BT54,IF($CK$1=4,BT54,IF($CK$1=2,BF54,0))))</f>
        <v>0</v>
      </c>
      <c r="CR54" s="61">
        <f t="shared" ref="CR54:CR55" si="121">IF($CK$1=1,0,IF($CK$1=3,BU54,IF($CK$1=4,BU54,IF($CK$1=2,BG54,0))))</f>
        <v>0</v>
      </c>
      <c r="CS54" s="61">
        <f t="shared" ref="CS54:CS55" si="122">IF($CK$1=1,0,IF($CK$1=3,BV54,IF($CK$1=4,BV54,IF($CK$1=2,BH54,0))))</f>
        <v>0</v>
      </c>
      <c r="CT54" s="61">
        <f t="shared" ref="CT54:CT55" si="123">IF($CK$1=1,0,IF($CK$1=3,BW54,IF($CK$1=4,BW54,IF($CK$1=2,BI54,0))))</f>
        <v>0</v>
      </c>
      <c r="CU54" s="61">
        <f t="shared" ref="CU54:CU55" si="124">IF($CK$1=1,0,IF($CK$1=3,BX54,IF($CK$1=4,BX54,IF($CK$1=2,BJ54,0))))</f>
        <v>0</v>
      </c>
      <c r="CV54" s="61">
        <f t="shared" ref="CV54:CV55" si="125">IF($CK$1=1,0,IF($CK$1=3,BY54,IF($CK$1=4,BY54,IF($CK$1=2,BK54,0))))</f>
        <v>0</v>
      </c>
      <c r="CY54" s="61">
        <f t="shared" si="61"/>
        <v>0</v>
      </c>
      <c r="CZ54" s="61">
        <f t="shared" si="62"/>
        <v>0</v>
      </c>
      <c r="DA54" s="61">
        <f t="shared" si="63"/>
        <v>0</v>
      </c>
      <c r="DB54" s="61">
        <f t="shared" si="64"/>
        <v>0</v>
      </c>
      <c r="DC54" s="61">
        <f t="shared" si="65"/>
        <v>0</v>
      </c>
      <c r="DD54" s="61">
        <f t="shared" si="66"/>
        <v>0</v>
      </c>
      <c r="DE54" s="61">
        <f t="shared" si="67"/>
        <v>0</v>
      </c>
      <c r="DF54" s="61">
        <f t="shared" si="68"/>
        <v>0</v>
      </c>
      <c r="DG54" s="61">
        <f t="shared" si="69"/>
        <v>0</v>
      </c>
      <c r="DH54" s="61">
        <f t="shared" si="70"/>
        <v>0</v>
      </c>
      <c r="DI54" s="61">
        <f t="shared" si="71"/>
        <v>0</v>
      </c>
      <c r="DJ54" s="61">
        <f t="shared" si="72"/>
        <v>0</v>
      </c>
      <c r="DK54" s="61">
        <f t="shared" si="73"/>
        <v>0</v>
      </c>
      <c r="DL54" s="61">
        <f t="shared" si="74"/>
        <v>0</v>
      </c>
    </row>
    <row r="55" spans="1:116" x14ac:dyDescent="0.25">
      <c r="A55" s="492" t="s">
        <v>762</v>
      </c>
      <c r="B55" s="422"/>
      <c r="C55" s="420"/>
      <c r="D55" s="420"/>
      <c r="E55" s="539" t="str">
        <f>IF(D55&lt;&gt;"",IF($C55="Male",VLOOKUP(D55,Titles!$K$3:$L$70,2,FALSE),IF($C55="Female",VLOOKUP(D55,Titles!$P$3:$Q$68,2,FALSE),"")),"")</f>
        <v/>
      </c>
      <c r="F55" s="420"/>
      <c r="G55" s="420"/>
      <c r="H55" s="420"/>
      <c r="I55" s="420"/>
      <c r="J55" s="420"/>
      <c r="K55" s="420"/>
      <c r="L55" s="420"/>
      <c r="M55" s="420"/>
      <c r="N55" s="421"/>
      <c r="O55" s="421"/>
      <c r="P55" s="421"/>
      <c r="Q55" s="421"/>
      <c r="R55" s="421"/>
      <c r="S55" s="421"/>
      <c r="T55" s="421"/>
      <c r="U55" s="421"/>
      <c r="V55" s="421"/>
      <c r="W55" s="421"/>
      <c r="X55" s="421"/>
      <c r="Y55" s="421"/>
      <c r="Z55" s="421"/>
      <c r="AA55" s="421"/>
      <c r="AB55" s="423"/>
      <c r="AD55" s="61">
        <f t="shared" si="13"/>
        <v>0</v>
      </c>
      <c r="AE55" s="61">
        <f t="shared" si="82"/>
        <v>0</v>
      </c>
      <c r="AF55" s="61">
        <f t="shared" si="83"/>
        <v>0</v>
      </c>
      <c r="AG55" s="61">
        <f t="shared" si="84"/>
        <v>0</v>
      </c>
      <c r="AH55" s="61">
        <f t="shared" si="85"/>
        <v>0</v>
      </c>
      <c r="AI55" s="61">
        <f t="shared" si="86"/>
        <v>0</v>
      </c>
      <c r="AJ55" s="61">
        <f t="shared" si="87"/>
        <v>0</v>
      </c>
      <c r="AK55" s="61">
        <f t="shared" si="88"/>
        <v>0</v>
      </c>
      <c r="AL55" s="61">
        <f t="shared" si="89"/>
        <v>0</v>
      </c>
      <c r="AO55" s="61">
        <f t="shared" si="14"/>
        <v>-5</v>
      </c>
      <c r="AP55" s="61">
        <f t="shared" si="15"/>
        <v>-5</v>
      </c>
      <c r="AQ55" s="61">
        <f t="shared" si="75"/>
        <v>-5</v>
      </c>
      <c r="AR55" s="61">
        <f t="shared" si="76"/>
        <v>-5</v>
      </c>
      <c r="AS55" s="61">
        <f t="shared" si="77"/>
        <v>-5</v>
      </c>
      <c r="AT55" s="61">
        <f t="shared" si="78"/>
        <v>-5</v>
      </c>
      <c r="AU55" s="61">
        <f t="shared" si="79"/>
        <v>-5</v>
      </c>
      <c r="AV55" s="61">
        <f t="shared" si="80"/>
        <v>-5</v>
      </c>
      <c r="AW55" s="61">
        <f t="shared" si="81"/>
        <v>-5</v>
      </c>
      <c r="AZ55" s="61">
        <f t="shared" si="90"/>
        <v>0</v>
      </c>
      <c r="BA55" s="61">
        <f t="shared" si="91"/>
        <v>0</v>
      </c>
      <c r="BB55" s="61">
        <f t="shared" si="92"/>
        <v>0</v>
      </c>
      <c r="BC55" s="61">
        <f t="shared" si="93"/>
        <v>0</v>
      </c>
      <c r="BD55" s="61">
        <f t="shared" si="94"/>
        <v>0</v>
      </c>
      <c r="BE55" s="61">
        <f t="shared" si="95"/>
        <v>0</v>
      </c>
      <c r="BF55" s="61">
        <f t="shared" si="96"/>
        <v>0</v>
      </c>
      <c r="BG55" s="61">
        <f t="shared" si="97"/>
        <v>0</v>
      </c>
      <c r="BH55" s="61">
        <f t="shared" si="98"/>
        <v>0</v>
      </c>
      <c r="BI55" s="61">
        <f t="shared" si="99"/>
        <v>0</v>
      </c>
      <c r="BJ55" s="61">
        <f t="shared" si="100"/>
        <v>0</v>
      </c>
      <c r="BK55" s="61">
        <f t="shared" si="101"/>
        <v>0</v>
      </c>
      <c r="BN55" s="61">
        <f t="shared" si="102"/>
        <v>0</v>
      </c>
      <c r="BO55" s="61">
        <f t="shared" si="103"/>
        <v>0</v>
      </c>
      <c r="BP55" s="61">
        <f t="shared" si="104"/>
        <v>0</v>
      </c>
      <c r="BQ55" s="61">
        <f t="shared" si="105"/>
        <v>0</v>
      </c>
      <c r="BR55" s="61">
        <f t="shared" si="106"/>
        <v>0</v>
      </c>
      <c r="BS55" s="61">
        <f t="shared" si="107"/>
        <v>0</v>
      </c>
      <c r="BT55" s="61">
        <f t="shared" si="108"/>
        <v>0</v>
      </c>
      <c r="BU55" s="61">
        <f t="shared" si="109"/>
        <v>0</v>
      </c>
      <c r="BV55" s="61">
        <f t="shared" si="110"/>
        <v>0</v>
      </c>
      <c r="BW55" s="61">
        <f t="shared" si="111"/>
        <v>0</v>
      </c>
      <c r="BX55" s="61">
        <f t="shared" si="112"/>
        <v>0</v>
      </c>
      <c r="BY55" s="61">
        <f t="shared" si="113"/>
        <v>0</v>
      </c>
      <c r="CB55" s="61">
        <f t="shared" si="40"/>
        <v>0</v>
      </c>
      <c r="CC55" s="61">
        <f t="shared" si="41"/>
        <v>0</v>
      </c>
      <c r="CD55" s="61">
        <f t="shared" si="42"/>
        <v>0</v>
      </c>
      <c r="CE55" s="61">
        <f t="shared" si="43"/>
        <v>0</v>
      </c>
      <c r="CF55" s="61">
        <f t="shared" si="44"/>
        <v>0</v>
      </c>
      <c r="CG55" s="61">
        <f t="shared" si="45"/>
        <v>0</v>
      </c>
      <c r="CH55" s="61">
        <f t="shared" si="46"/>
        <v>0</v>
      </c>
      <c r="CI55" s="61">
        <f t="shared" si="47"/>
        <v>0</v>
      </c>
      <c r="CJ55" s="61">
        <f t="shared" si="48"/>
        <v>0</v>
      </c>
      <c r="CK55" s="61">
        <f t="shared" si="114"/>
        <v>0</v>
      </c>
      <c r="CL55" s="61">
        <f t="shared" si="115"/>
        <v>0</v>
      </c>
      <c r="CM55" s="61">
        <f t="shared" si="116"/>
        <v>0</v>
      </c>
      <c r="CN55" s="61">
        <f t="shared" si="117"/>
        <v>0</v>
      </c>
      <c r="CO55" s="61">
        <f t="shared" si="118"/>
        <v>0</v>
      </c>
      <c r="CP55" s="61">
        <f t="shared" si="119"/>
        <v>0</v>
      </c>
      <c r="CQ55" s="61">
        <f t="shared" si="120"/>
        <v>0</v>
      </c>
      <c r="CR55" s="61">
        <f t="shared" si="121"/>
        <v>0</v>
      </c>
      <c r="CS55" s="61">
        <f t="shared" si="122"/>
        <v>0</v>
      </c>
      <c r="CT55" s="61">
        <f t="shared" si="123"/>
        <v>0</v>
      </c>
      <c r="CU55" s="61">
        <f t="shared" si="124"/>
        <v>0</v>
      </c>
      <c r="CV55" s="61">
        <f t="shared" si="125"/>
        <v>0</v>
      </c>
      <c r="CY55" s="61">
        <f t="shared" si="61"/>
        <v>0</v>
      </c>
      <c r="CZ55" s="61">
        <f t="shared" si="62"/>
        <v>0</v>
      </c>
      <c r="DA55" s="61">
        <f t="shared" si="63"/>
        <v>0</v>
      </c>
      <c r="DB55" s="61">
        <f t="shared" si="64"/>
        <v>0</v>
      </c>
      <c r="DC55" s="61">
        <f t="shared" si="65"/>
        <v>0</v>
      </c>
      <c r="DD55" s="61">
        <f t="shared" si="66"/>
        <v>0</v>
      </c>
      <c r="DE55" s="61">
        <f t="shared" si="67"/>
        <v>0</v>
      </c>
      <c r="DF55" s="61">
        <f t="shared" si="68"/>
        <v>0</v>
      </c>
      <c r="DG55" s="61">
        <f t="shared" si="69"/>
        <v>0</v>
      </c>
      <c r="DH55" s="61">
        <f t="shared" si="70"/>
        <v>0</v>
      </c>
      <c r="DI55" s="61">
        <f t="shared" si="71"/>
        <v>0</v>
      </c>
      <c r="DJ55" s="61">
        <f t="shared" si="72"/>
        <v>0</v>
      </c>
      <c r="DK55" s="61">
        <f t="shared" si="73"/>
        <v>0</v>
      </c>
      <c r="DL55" s="61">
        <f t="shared" si="74"/>
        <v>0</v>
      </c>
    </row>
  </sheetData>
  <sheetProtection selectLockedCells="1"/>
  <mergeCells count="2">
    <mergeCell ref="F1:G1"/>
    <mergeCell ref="F2:G2"/>
  </mergeCells>
  <conditionalFormatting sqref="H4:AA4 N5:O55">
    <cfRule type="top10" dxfId="268" priority="142" stopIfTrue="1" rank="1"/>
  </conditionalFormatting>
  <conditionalFormatting sqref="H5:AA5 N6:O55">
    <cfRule type="top10" dxfId="267" priority="141" stopIfTrue="1" rank="1"/>
  </conditionalFormatting>
  <conditionalFormatting sqref="H6:AA6">
    <cfRule type="top10" dxfId="266" priority="140" stopIfTrue="1" rank="1"/>
  </conditionalFormatting>
  <conditionalFormatting sqref="H7:AA7">
    <cfRule type="top10" dxfId="265" priority="139" stopIfTrue="1" rank="1"/>
  </conditionalFormatting>
  <conditionalFormatting sqref="H8:AA8">
    <cfRule type="top10" dxfId="264" priority="138" stopIfTrue="1" rank="1"/>
  </conditionalFormatting>
  <conditionalFormatting sqref="H9:AA9">
    <cfRule type="top10" dxfId="263" priority="137" stopIfTrue="1" rank="1"/>
  </conditionalFormatting>
  <conditionalFormatting sqref="H10:AA10">
    <cfRule type="top10" dxfId="262" priority="136" stopIfTrue="1" rank="1"/>
  </conditionalFormatting>
  <conditionalFormatting sqref="H11:AA11">
    <cfRule type="top10" dxfId="261" priority="135" stopIfTrue="1" rank="1"/>
  </conditionalFormatting>
  <conditionalFormatting sqref="H12:AA12">
    <cfRule type="top10" dxfId="260" priority="134" stopIfTrue="1" rank="1"/>
  </conditionalFormatting>
  <conditionalFormatting sqref="H13:AA13">
    <cfRule type="top10" dxfId="259" priority="133" stopIfTrue="1" rank="1"/>
  </conditionalFormatting>
  <conditionalFormatting sqref="H14:AA14">
    <cfRule type="top10" dxfId="258" priority="132" stopIfTrue="1" rank="1"/>
  </conditionalFormatting>
  <conditionalFormatting sqref="H15:AA15">
    <cfRule type="top10" dxfId="257" priority="131" stopIfTrue="1" rank="1"/>
  </conditionalFormatting>
  <conditionalFormatting sqref="H16:AA16">
    <cfRule type="top10" dxfId="256" priority="130" stopIfTrue="1" rank="1"/>
  </conditionalFormatting>
  <conditionalFormatting sqref="H17:AA17">
    <cfRule type="top10" dxfId="255" priority="129" stopIfTrue="1" rank="1"/>
  </conditionalFormatting>
  <conditionalFormatting sqref="H18:AA18">
    <cfRule type="top10" dxfId="254" priority="128" stopIfTrue="1" rank="1"/>
  </conditionalFormatting>
  <conditionalFormatting sqref="H19:AA19">
    <cfRule type="top10" dxfId="253" priority="127" stopIfTrue="1" rank="1"/>
  </conditionalFormatting>
  <conditionalFormatting sqref="H20:AA21">
    <cfRule type="top10" dxfId="252" priority="126" stopIfTrue="1" rank="1"/>
  </conditionalFormatting>
  <conditionalFormatting sqref="H22:AA22">
    <cfRule type="top10" dxfId="251" priority="125" stopIfTrue="1" rank="1"/>
  </conditionalFormatting>
  <conditionalFormatting sqref="H23:AA23">
    <cfRule type="top10" dxfId="250" priority="124" stopIfTrue="1" rank="1"/>
  </conditionalFormatting>
  <conditionalFormatting sqref="H24:AA24">
    <cfRule type="top10" dxfId="249" priority="123" stopIfTrue="1" rank="1"/>
  </conditionalFormatting>
  <conditionalFormatting sqref="H25:AA25">
    <cfRule type="top10" dxfId="248" priority="122" stopIfTrue="1" rank="1"/>
  </conditionalFormatting>
  <conditionalFormatting sqref="H26:AA26">
    <cfRule type="top10" dxfId="247" priority="121" stopIfTrue="1" rank="1"/>
  </conditionalFormatting>
  <conditionalFormatting sqref="H27:AA27">
    <cfRule type="top10" dxfId="246" priority="120" stopIfTrue="1" rank="1"/>
  </conditionalFormatting>
  <conditionalFormatting sqref="H28:AA28">
    <cfRule type="top10" dxfId="245" priority="119" stopIfTrue="1" rank="1"/>
  </conditionalFormatting>
  <conditionalFormatting sqref="H29:AA29">
    <cfRule type="top10" dxfId="244" priority="118" stopIfTrue="1" rank="1"/>
  </conditionalFormatting>
  <conditionalFormatting sqref="H30:AA30">
    <cfRule type="top10" dxfId="243" priority="117" stopIfTrue="1" rank="1"/>
  </conditionalFormatting>
  <conditionalFormatting sqref="H31:AA31">
    <cfRule type="top10" dxfId="242" priority="116" stopIfTrue="1" rank="1"/>
  </conditionalFormatting>
  <conditionalFormatting sqref="H32:AA32">
    <cfRule type="top10" dxfId="241" priority="115" stopIfTrue="1" rank="1"/>
  </conditionalFormatting>
  <conditionalFormatting sqref="H33:AA33">
    <cfRule type="top10" dxfId="240" priority="114" stopIfTrue="1" rank="1"/>
  </conditionalFormatting>
  <conditionalFormatting sqref="H34:AA34">
    <cfRule type="top10" dxfId="239" priority="113" stopIfTrue="1" rank="1"/>
  </conditionalFormatting>
  <conditionalFormatting sqref="H35:AA35">
    <cfRule type="top10" dxfId="238" priority="112" stopIfTrue="1" rank="1"/>
  </conditionalFormatting>
  <conditionalFormatting sqref="H36:AA36">
    <cfRule type="top10" dxfId="237" priority="111" stopIfTrue="1" rank="1"/>
  </conditionalFormatting>
  <conditionalFormatting sqref="H37:AA37">
    <cfRule type="top10" dxfId="236" priority="110" stopIfTrue="1" rank="1"/>
  </conditionalFormatting>
  <conditionalFormatting sqref="H38:AA38">
    <cfRule type="top10" dxfId="235" priority="109" stopIfTrue="1" rank="1"/>
  </conditionalFormatting>
  <conditionalFormatting sqref="H39:AA39">
    <cfRule type="top10" dxfId="234" priority="108" stopIfTrue="1" rank="1"/>
  </conditionalFormatting>
  <conditionalFormatting sqref="H40:AA40">
    <cfRule type="top10" dxfId="233" priority="107" stopIfTrue="1" rank="1"/>
  </conditionalFormatting>
  <conditionalFormatting sqref="H41:AA41">
    <cfRule type="top10" dxfId="232" priority="106" stopIfTrue="1" rank="1"/>
  </conditionalFormatting>
  <conditionalFormatting sqref="H42:AA42">
    <cfRule type="top10" dxfId="231" priority="105" stopIfTrue="1" rank="1"/>
  </conditionalFormatting>
  <conditionalFormatting sqref="H43:AA43">
    <cfRule type="top10" dxfId="230" priority="104" stopIfTrue="1" rank="1"/>
  </conditionalFormatting>
  <conditionalFormatting sqref="H44:AA44">
    <cfRule type="top10" dxfId="229" priority="103" stopIfTrue="1" rank="1"/>
  </conditionalFormatting>
  <conditionalFormatting sqref="H45:AA45">
    <cfRule type="top10" dxfId="228" priority="102" stopIfTrue="1" rank="1"/>
  </conditionalFormatting>
  <conditionalFormatting sqref="H46:AA46">
    <cfRule type="top10" dxfId="227" priority="101" stopIfTrue="1" rank="1"/>
  </conditionalFormatting>
  <conditionalFormatting sqref="H47:AA47">
    <cfRule type="top10" dxfId="226" priority="100" stopIfTrue="1" rank="1"/>
  </conditionalFormatting>
  <conditionalFormatting sqref="H48:AA48">
    <cfRule type="top10" dxfId="225" priority="99" stopIfTrue="1" rank="1"/>
  </conditionalFormatting>
  <conditionalFormatting sqref="H49:AA49">
    <cfRule type="top10" dxfId="224" priority="98" stopIfTrue="1" rank="1"/>
  </conditionalFormatting>
  <conditionalFormatting sqref="H50:AA50">
    <cfRule type="top10" dxfId="223" priority="97" stopIfTrue="1" rank="1"/>
  </conditionalFormatting>
  <conditionalFormatting sqref="H51:AA51">
    <cfRule type="top10" dxfId="222" priority="96" stopIfTrue="1" rank="1"/>
  </conditionalFormatting>
  <conditionalFormatting sqref="H52:AA52">
    <cfRule type="top10" dxfId="221" priority="95" stopIfTrue="1" rank="1"/>
  </conditionalFormatting>
  <conditionalFormatting sqref="H53:AA53">
    <cfRule type="top10" dxfId="220" priority="94" stopIfTrue="1" rank="1"/>
  </conditionalFormatting>
  <conditionalFormatting sqref="H54:AA54">
    <cfRule type="top10" dxfId="219" priority="93" stopIfTrue="1" rank="1"/>
  </conditionalFormatting>
  <conditionalFormatting sqref="H55:AA55">
    <cfRule type="top10" dxfId="218" priority="92" stopIfTrue="1" rank="1"/>
  </conditionalFormatting>
  <conditionalFormatting sqref="H4:AA4">
    <cfRule type="top10" dxfId="217" priority="91" stopIfTrue="1" rank="1"/>
  </conditionalFormatting>
  <conditionalFormatting sqref="H5:AA5">
    <cfRule type="top10" dxfId="216" priority="90" stopIfTrue="1" rank="1"/>
  </conditionalFormatting>
  <conditionalFormatting sqref="H6:AA6">
    <cfRule type="top10" dxfId="215" priority="89" stopIfTrue="1" rank="1"/>
  </conditionalFormatting>
  <conditionalFormatting sqref="H7:AA7">
    <cfRule type="top10" dxfId="214" priority="88" stopIfTrue="1" rank="1"/>
  </conditionalFormatting>
  <conditionalFormatting sqref="H8:AA8">
    <cfRule type="top10" dxfId="213" priority="87" stopIfTrue="1" rank="1"/>
  </conditionalFormatting>
  <conditionalFormatting sqref="H9:AA9">
    <cfRule type="top10" dxfId="212" priority="86" stopIfTrue="1" rank="1"/>
  </conditionalFormatting>
  <conditionalFormatting sqref="H10:AA10">
    <cfRule type="top10" dxfId="211" priority="85" stopIfTrue="1" rank="1"/>
  </conditionalFormatting>
  <conditionalFormatting sqref="H11:AA11">
    <cfRule type="top10" dxfId="210" priority="84" stopIfTrue="1" rank="1"/>
  </conditionalFormatting>
  <conditionalFormatting sqref="H12:AA12">
    <cfRule type="top10" dxfId="209" priority="83" stopIfTrue="1" rank="1"/>
  </conditionalFormatting>
  <conditionalFormatting sqref="H13:AA13">
    <cfRule type="top10" dxfId="208" priority="82" stopIfTrue="1" rank="1"/>
  </conditionalFormatting>
  <conditionalFormatting sqref="H14:AA14">
    <cfRule type="top10" dxfId="207" priority="81" stopIfTrue="1" rank="1"/>
  </conditionalFormatting>
  <conditionalFormatting sqref="H15:AA15">
    <cfRule type="top10" dxfId="206" priority="80" stopIfTrue="1" rank="1"/>
  </conditionalFormatting>
  <conditionalFormatting sqref="H16:AA16">
    <cfRule type="top10" dxfId="205" priority="79" stopIfTrue="1" rank="1"/>
  </conditionalFormatting>
  <conditionalFormatting sqref="H17:AA17">
    <cfRule type="top10" dxfId="204" priority="78" stopIfTrue="1" rank="1"/>
  </conditionalFormatting>
  <conditionalFormatting sqref="H18:AA18">
    <cfRule type="top10" dxfId="203" priority="77" stopIfTrue="1" rank="1"/>
  </conditionalFormatting>
  <conditionalFormatting sqref="H19:AA19">
    <cfRule type="top10" dxfId="202" priority="76" stopIfTrue="1" rank="1"/>
  </conditionalFormatting>
  <conditionalFormatting sqref="H20:AA21">
    <cfRule type="top10" dxfId="201" priority="75" stopIfTrue="1" rank="1"/>
  </conditionalFormatting>
  <conditionalFormatting sqref="H22:AA22">
    <cfRule type="top10" dxfId="200" priority="74" stopIfTrue="1" rank="1"/>
  </conditionalFormatting>
  <conditionalFormatting sqref="H23:AA23">
    <cfRule type="top10" dxfId="199" priority="73" stopIfTrue="1" rank="1"/>
  </conditionalFormatting>
  <conditionalFormatting sqref="H24:AA24">
    <cfRule type="top10" dxfId="198" priority="72" stopIfTrue="1" rank="1"/>
  </conditionalFormatting>
  <conditionalFormatting sqref="H25:AA25">
    <cfRule type="top10" dxfId="197" priority="71" stopIfTrue="1" rank="1"/>
  </conditionalFormatting>
  <conditionalFormatting sqref="H26:AA26">
    <cfRule type="top10" dxfId="196" priority="70" stopIfTrue="1" rank="1"/>
  </conditionalFormatting>
  <conditionalFormatting sqref="H27:AA27">
    <cfRule type="top10" dxfId="195" priority="69" stopIfTrue="1" rank="1"/>
  </conditionalFormatting>
  <conditionalFormatting sqref="H28:AA28">
    <cfRule type="top10" dxfId="194" priority="68" stopIfTrue="1" rank="1"/>
  </conditionalFormatting>
  <conditionalFormatting sqref="H29:AA29">
    <cfRule type="top10" dxfId="193" priority="67" stopIfTrue="1" rank="1"/>
  </conditionalFormatting>
  <conditionalFormatting sqref="H30:AA30">
    <cfRule type="top10" dxfId="192" priority="66" stopIfTrue="1" rank="1"/>
  </conditionalFormatting>
  <conditionalFormatting sqref="H31:AA31">
    <cfRule type="top10" dxfId="191" priority="65" stopIfTrue="1" rank="1"/>
  </conditionalFormatting>
  <conditionalFormatting sqref="H32:AA32">
    <cfRule type="top10" dxfId="190" priority="64" stopIfTrue="1" rank="1"/>
  </conditionalFormatting>
  <conditionalFormatting sqref="H33:AA33">
    <cfRule type="top10" dxfId="189" priority="63" stopIfTrue="1" rank="1"/>
  </conditionalFormatting>
  <conditionalFormatting sqref="H34:AA34">
    <cfRule type="top10" dxfId="188" priority="62" stopIfTrue="1" rank="1"/>
  </conditionalFormatting>
  <conditionalFormatting sqref="H35:AA35">
    <cfRule type="top10" dxfId="187" priority="61" stopIfTrue="1" rank="1"/>
  </conditionalFormatting>
  <conditionalFormatting sqref="H36:AA36">
    <cfRule type="top10" dxfId="186" priority="60" stopIfTrue="1" rank="1"/>
  </conditionalFormatting>
  <conditionalFormatting sqref="H37:AA37">
    <cfRule type="top10" dxfId="185" priority="59" stopIfTrue="1" rank="1"/>
  </conditionalFormatting>
  <conditionalFormatting sqref="H38:AA38">
    <cfRule type="top10" dxfId="184" priority="58" stopIfTrue="1" rank="1"/>
  </conditionalFormatting>
  <conditionalFormatting sqref="H39:AA39">
    <cfRule type="top10" dxfId="183" priority="57" stopIfTrue="1" rank="1"/>
  </conditionalFormatting>
  <conditionalFormatting sqref="H40:AA40">
    <cfRule type="top10" dxfId="182" priority="56" stopIfTrue="1" rank="1"/>
  </conditionalFormatting>
  <conditionalFormatting sqref="H41:AA41">
    <cfRule type="top10" dxfId="181" priority="55" stopIfTrue="1" rank="1"/>
  </conditionalFormatting>
  <conditionalFormatting sqref="H42:AA42">
    <cfRule type="top10" dxfId="180" priority="54" stopIfTrue="1" rank="1"/>
  </conditionalFormatting>
  <conditionalFormatting sqref="H43:AA43">
    <cfRule type="top10" dxfId="179" priority="53" stopIfTrue="1" rank="1"/>
  </conditionalFormatting>
  <conditionalFormatting sqref="H44:AA44">
    <cfRule type="top10" dxfId="178" priority="52" stopIfTrue="1" rank="1"/>
  </conditionalFormatting>
  <conditionalFormatting sqref="H45:AA45">
    <cfRule type="top10" dxfId="177" priority="51" stopIfTrue="1" rank="1"/>
  </conditionalFormatting>
  <conditionalFormatting sqref="H46:AA46">
    <cfRule type="top10" dxfId="176" priority="50" stopIfTrue="1" rank="1"/>
  </conditionalFormatting>
  <conditionalFormatting sqref="H47:AA47">
    <cfRule type="top10" dxfId="175" priority="49" stopIfTrue="1" rank="1"/>
  </conditionalFormatting>
  <conditionalFormatting sqref="H48:AA48">
    <cfRule type="top10" dxfId="174" priority="48" stopIfTrue="1" rank="1"/>
  </conditionalFormatting>
  <conditionalFormatting sqref="H49:AA49">
    <cfRule type="top10" dxfId="173" priority="47" stopIfTrue="1" rank="1"/>
  </conditionalFormatting>
  <conditionalFormatting sqref="H50:AA50">
    <cfRule type="top10" dxfId="172" priority="46" stopIfTrue="1" rank="1"/>
  </conditionalFormatting>
  <conditionalFormatting sqref="H51:AA51">
    <cfRule type="top10" dxfId="171" priority="45" stopIfTrue="1" rank="1"/>
  </conditionalFormatting>
  <conditionalFormatting sqref="H52:AA52">
    <cfRule type="top10" dxfId="170" priority="44" stopIfTrue="1" rank="1"/>
  </conditionalFormatting>
  <conditionalFormatting sqref="H53:AA53">
    <cfRule type="top10" dxfId="169" priority="43" stopIfTrue="1" rank="1"/>
  </conditionalFormatting>
  <conditionalFormatting sqref="H54:AA54">
    <cfRule type="top10" dxfId="168" priority="42" stopIfTrue="1" rank="1"/>
  </conditionalFormatting>
  <conditionalFormatting sqref="H55:AA55">
    <cfRule type="top10" dxfId="167" priority="41" stopIfTrue="1" rank="1"/>
  </conditionalFormatting>
  <conditionalFormatting sqref="N5:O55">
    <cfRule type="top10" dxfId="166" priority="40" stopIfTrue="1" rank="1"/>
  </conditionalFormatting>
  <conditionalFormatting sqref="H5:AA5">
    <cfRule type="top10" dxfId="165" priority="39" stopIfTrue="1" rank="1"/>
  </conditionalFormatting>
  <conditionalFormatting sqref="H6:AA6">
    <cfRule type="top10" dxfId="164" priority="38" stopIfTrue="1" rank="1"/>
  </conditionalFormatting>
  <conditionalFormatting sqref="H7:AA7">
    <cfRule type="top10" dxfId="163" priority="37" stopIfTrue="1" rank="1"/>
  </conditionalFormatting>
  <conditionalFormatting sqref="H8:AA8">
    <cfRule type="top10" dxfId="162" priority="36" stopIfTrue="1" rank="1"/>
  </conditionalFormatting>
  <conditionalFormatting sqref="H9:AA9">
    <cfRule type="top10" dxfId="161" priority="35" stopIfTrue="1" rank="1"/>
  </conditionalFormatting>
  <conditionalFormatting sqref="H10:AA10">
    <cfRule type="top10" dxfId="160" priority="34" stopIfTrue="1" rank="1"/>
  </conditionalFormatting>
  <conditionalFormatting sqref="H11:AA11">
    <cfRule type="top10" dxfId="159" priority="33" stopIfTrue="1" rank="1"/>
  </conditionalFormatting>
  <conditionalFormatting sqref="H12:AA12">
    <cfRule type="top10" dxfId="158" priority="32" stopIfTrue="1" rank="1"/>
  </conditionalFormatting>
  <conditionalFormatting sqref="H13:AA13">
    <cfRule type="top10" dxfId="157" priority="31" stopIfTrue="1" rank="1"/>
  </conditionalFormatting>
  <conditionalFormatting sqref="H14:AA14">
    <cfRule type="top10" dxfId="156" priority="30" stopIfTrue="1" rank="1"/>
  </conditionalFormatting>
  <conditionalFormatting sqref="H15:AA15">
    <cfRule type="top10" dxfId="155" priority="29" stopIfTrue="1" rank="1"/>
  </conditionalFormatting>
  <conditionalFormatting sqref="H16:AA16">
    <cfRule type="top10" dxfId="154" priority="28" stopIfTrue="1" rank="1"/>
  </conditionalFormatting>
  <conditionalFormatting sqref="H17:AA17">
    <cfRule type="top10" dxfId="153" priority="27" stopIfTrue="1" rank="1"/>
  </conditionalFormatting>
  <conditionalFormatting sqref="H18:AA18">
    <cfRule type="top10" dxfId="152" priority="26" stopIfTrue="1" rank="1"/>
  </conditionalFormatting>
  <conditionalFormatting sqref="H19:AA19">
    <cfRule type="top10" dxfId="151" priority="25" stopIfTrue="1" rank="1"/>
  </conditionalFormatting>
  <conditionalFormatting sqref="H20:AA21">
    <cfRule type="top10" dxfId="150" priority="24" stopIfTrue="1" rank="1"/>
  </conditionalFormatting>
  <conditionalFormatting sqref="H22:AA22">
    <cfRule type="top10" dxfId="149" priority="23" stopIfTrue="1" rank="1"/>
  </conditionalFormatting>
  <conditionalFormatting sqref="H23:AA23">
    <cfRule type="top10" dxfId="148" priority="22" stopIfTrue="1" rank="1"/>
  </conditionalFormatting>
  <conditionalFormatting sqref="H24:AA24">
    <cfRule type="top10" dxfId="147" priority="21" stopIfTrue="1" rank="1"/>
  </conditionalFormatting>
  <conditionalFormatting sqref="N5:O55">
    <cfRule type="top10" dxfId="146" priority="20" stopIfTrue="1" rank="1"/>
  </conditionalFormatting>
  <conditionalFormatting sqref="H5:AA5">
    <cfRule type="top10" dxfId="145" priority="19" stopIfTrue="1" rank="1"/>
  </conditionalFormatting>
  <conditionalFormatting sqref="H6:AA6">
    <cfRule type="top10" dxfId="144" priority="18" stopIfTrue="1" rank="1"/>
  </conditionalFormatting>
  <conditionalFormatting sqref="H7:AA7">
    <cfRule type="top10" dxfId="143" priority="17" stopIfTrue="1" rank="1"/>
  </conditionalFormatting>
  <conditionalFormatting sqref="H8:AA8">
    <cfRule type="top10" dxfId="142" priority="16" stopIfTrue="1" rank="1"/>
  </conditionalFormatting>
  <conditionalFormatting sqref="H9:AA9">
    <cfRule type="top10" dxfId="141" priority="15" stopIfTrue="1" rank="1"/>
  </conditionalFormatting>
  <conditionalFormatting sqref="H10:AA10">
    <cfRule type="top10" dxfId="140" priority="14" stopIfTrue="1" rank="1"/>
  </conditionalFormatting>
  <conditionalFormatting sqref="H11:AA11">
    <cfRule type="top10" dxfId="139" priority="13" stopIfTrue="1" rank="1"/>
  </conditionalFormatting>
  <conditionalFormatting sqref="H12:AA12">
    <cfRule type="top10" dxfId="138" priority="12" stopIfTrue="1" rank="1"/>
  </conditionalFormatting>
  <conditionalFormatting sqref="H13:AA13">
    <cfRule type="top10" dxfId="137" priority="11" stopIfTrue="1" rank="1"/>
  </conditionalFormatting>
  <conditionalFormatting sqref="H14:AA14">
    <cfRule type="top10" dxfId="136" priority="10" stopIfTrue="1" rank="1"/>
  </conditionalFormatting>
  <conditionalFormatting sqref="H15:AA15">
    <cfRule type="top10" dxfId="135" priority="9" stopIfTrue="1" rank="1"/>
  </conditionalFormatting>
  <conditionalFormatting sqref="H16:AA16">
    <cfRule type="top10" dxfId="134" priority="8" stopIfTrue="1" rank="1"/>
  </conditionalFormatting>
  <conditionalFormatting sqref="H17:AA17">
    <cfRule type="top10" dxfId="133" priority="7" stopIfTrue="1" rank="1"/>
  </conditionalFormatting>
  <conditionalFormatting sqref="H18:AA18">
    <cfRule type="top10" dxfId="132" priority="6" stopIfTrue="1" rank="1"/>
  </conditionalFormatting>
  <conditionalFormatting sqref="H19:AA19">
    <cfRule type="top10" dxfId="131" priority="5" stopIfTrue="1" rank="1"/>
  </conditionalFormatting>
  <conditionalFormatting sqref="H20:AA21">
    <cfRule type="top10" dxfId="130" priority="4" stopIfTrue="1" rank="1"/>
  </conditionalFormatting>
  <conditionalFormatting sqref="H22:AA22">
    <cfRule type="top10" dxfId="129" priority="3" stopIfTrue="1" rank="1"/>
  </conditionalFormatting>
  <conditionalFormatting sqref="H23:AA23">
    <cfRule type="top10" dxfId="128" priority="2" stopIfTrue="1" rank="1"/>
  </conditionalFormatting>
  <conditionalFormatting sqref="H24:AA24">
    <cfRule type="top10" dxfId="127" priority="1" stopIfTrue="1" rank="1"/>
  </conditionalFormatting>
  <dataValidations count="5">
    <dataValidation type="list" allowBlank="1" showInputMessage="1" showErrorMessage="1" sqref="D5:D55">
      <formula1>Titles</formula1>
    </dataValidation>
    <dataValidation type="list" allowBlank="1" showInputMessage="1" showErrorMessage="1" sqref="C5:C55">
      <formula1>Gender</formula1>
    </dataValidation>
    <dataValidation type="list" allowBlank="1" showInputMessage="1" showErrorMessage="1" sqref="O5:O55">
      <formula1>LeadSkills</formula1>
    </dataValidation>
    <dataValidation type="list" allowBlank="1" showInputMessage="1" showErrorMessage="1" sqref="N5:N55">
      <formula1>YN</formula1>
    </dataValidation>
    <dataValidation type="list" allowBlank="1" showInputMessage="1" showErrorMessage="1" sqref="F1:G1">
      <formula1>Ruleset</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'Drop Down'!$M$9:$M$10</xm:f>
          </x14:formula1>
          <xm:sqref>N4</xm:sqref>
        </x14:dataValidation>
        <x14:dataValidation type="list" allowBlank="1" showInputMessage="1" showErrorMessage="1">
          <x14:formula1>
            <xm:f>'Drop Down'!$Y$22:$Y$34</xm:f>
          </x14:formula1>
          <xm:sqref>O4</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0000"/>
    <pageSetUpPr fitToPage="1"/>
  </sheetPr>
  <dimension ref="A1:AE148"/>
  <sheetViews>
    <sheetView showZeros="0" topLeftCell="A13" zoomScale="75" zoomScaleNormal="75" workbookViewId="0">
      <selection activeCell="P50" sqref="P50"/>
    </sheetView>
  </sheetViews>
  <sheetFormatPr defaultRowHeight="15" x14ac:dyDescent="0.25"/>
  <cols>
    <col min="1" max="1" width="0.85546875" customWidth="1"/>
    <col min="2" max="2" width="23.140625" customWidth="1"/>
    <col min="3" max="3" width="1.7109375" customWidth="1"/>
    <col min="4" max="4" width="24.42578125" customWidth="1"/>
    <col min="5" max="5" width="1.7109375" style="1" customWidth="1"/>
    <col min="6" max="6" width="28.85546875" style="1" customWidth="1"/>
    <col min="7" max="7" width="1.7109375" style="1" customWidth="1"/>
    <col min="8" max="8" width="23.140625" customWidth="1"/>
    <col min="9" max="9" width="1.7109375" customWidth="1"/>
    <col min="10" max="10" width="11.7109375" customWidth="1"/>
    <col min="11" max="11" width="1.7109375" customWidth="1"/>
    <col min="12" max="12" width="11.7109375" customWidth="1"/>
    <col min="13" max="13" width="1.7109375" customWidth="1"/>
    <col min="14" max="14" width="11.7109375" customWidth="1"/>
    <col min="15" max="15" width="1.7109375" customWidth="1"/>
    <col min="16" max="16" width="13.85546875" customWidth="1"/>
    <col min="17" max="17" width="1.7109375" customWidth="1"/>
    <col min="18" max="18" width="11.7109375" customWidth="1"/>
    <col min="19" max="19" width="1.7109375" customWidth="1"/>
    <col min="20" max="20" width="11.7109375" customWidth="1"/>
    <col min="21" max="21" width="1.7109375" customWidth="1"/>
    <col min="22" max="22" width="11.7109375" customWidth="1"/>
    <col min="23" max="23" width="1.7109375" customWidth="1"/>
    <col min="24" max="24" width="11.7109375" customWidth="1"/>
    <col min="25" max="25" width="1.7109375" customWidth="1"/>
    <col min="26" max="26" width="11.7109375" customWidth="1"/>
    <col min="27" max="27" width="1.7109375" customWidth="1"/>
    <col min="28" max="28" width="13.28515625" customWidth="1"/>
    <col min="29" max="29" width="1.7109375" customWidth="1"/>
    <col min="30" max="30" width="15.7109375" customWidth="1"/>
    <col min="31" max="31" width="0.85546875" customWidth="1"/>
  </cols>
  <sheetData>
    <row r="1" spans="1:31" ht="5.0999999999999996" customHeight="1" thickBot="1" x14ac:dyDescent="0.3">
      <c r="A1" s="9"/>
      <c r="B1" s="11"/>
      <c r="C1" s="11"/>
      <c r="D1" s="11"/>
      <c r="E1" s="10"/>
      <c r="F1" s="10"/>
      <c r="G1" s="10"/>
      <c r="H1" s="11"/>
      <c r="I1" s="11"/>
      <c r="J1" s="11"/>
      <c r="K1" s="11"/>
      <c r="L1" s="11"/>
      <c r="M1" s="11"/>
      <c r="N1" s="11"/>
      <c r="O1" s="11"/>
      <c r="P1" s="11"/>
      <c r="Q1" s="11"/>
      <c r="R1" s="11"/>
      <c r="S1" s="11"/>
      <c r="T1" s="11"/>
      <c r="U1" s="11"/>
      <c r="V1" s="11"/>
      <c r="W1" s="11"/>
      <c r="X1" s="11"/>
      <c r="Y1" s="11"/>
      <c r="Z1" s="11"/>
      <c r="AA1" s="11"/>
      <c r="AB1" s="11"/>
      <c r="AC1" s="11"/>
      <c r="AD1" s="11"/>
      <c r="AE1" s="12"/>
    </row>
    <row r="2" spans="1:31" ht="15.75" customHeight="1" thickBot="1" x14ac:dyDescent="0.3">
      <c r="A2" s="15"/>
      <c r="B2" s="29" t="s">
        <v>47</v>
      </c>
      <c r="C2" s="29"/>
      <c r="D2" s="681" t="s">
        <v>1878</v>
      </c>
      <c r="E2" s="682"/>
      <c r="F2" s="682"/>
      <c r="G2" s="682"/>
      <c r="H2" s="682"/>
      <c r="I2" s="682"/>
      <c r="J2" s="682"/>
      <c r="K2" s="682"/>
      <c r="L2" s="682"/>
      <c r="M2" s="682"/>
      <c r="N2" s="683"/>
      <c r="O2" s="3"/>
      <c r="P2" s="29" t="s">
        <v>44</v>
      </c>
      <c r="Q2" s="13"/>
      <c r="R2" s="681"/>
      <c r="S2" s="682"/>
      <c r="T2" s="682"/>
      <c r="U2" s="682"/>
      <c r="V2" s="682"/>
      <c r="W2" s="682"/>
      <c r="X2" s="682"/>
      <c r="Y2" s="682"/>
      <c r="Z2" s="682"/>
      <c r="AA2" s="682"/>
      <c r="AB2" s="683"/>
      <c r="AC2" s="498"/>
      <c r="AD2" s="498"/>
      <c r="AE2" s="14"/>
    </row>
    <row r="3" spans="1:31" ht="3" customHeight="1" thickBot="1" x14ac:dyDescent="0.3">
      <c r="A3" s="15"/>
      <c r="B3" s="29"/>
      <c r="C3" s="29"/>
      <c r="D3" s="3"/>
      <c r="E3" s="3"/>
      <c r="F3" s="3"/>
      <c r="G3" s="3"/>
      <c r="H3" s="3"/>
      <c r="I3" s="3"/>
      <c r="J3" s="3"/>
      <c r="K3" s="3"/>
      <c r="L3" s="3"/>
      <c r="M3" s="3"/>
      <c r="N3" s="3"/>
      <c r="O3" s="3"/>
      <c r="P3" s="13"/>
      <c r="Q3" s="13"/>
      <c r="R3" s="13"/>
      <c r="S3" s="13"/>
      <c r="T3" s="13"/>
      <c r="U3" s="3"/>
      <c r="V3" s="3"/>
      <c r="W3" s="3"/>
      <c r="X3" s="3"/>
      <c r="Y3" s="3"/>
      <c r="Z3" s="3"/>
      <c r="AA3" s="3"/>
      <c r="AB3" s="3"/>
      <c r="AC3" s="3"/>
      <c r="AD3" s="3"/>
      <c r="AE3" s="14"/>
    </row>
    <row r="4" spans="1:31" ht="15.75" thickBot="1" x14ac:dyDescent="0.3">
      <c r="A4" s="15"/>
      <c r="B4" s="29" t="s">
        <v>48</v>
      </c>
      <c r="C4" s="29"/>
      <c r="D4" s="99" t="s">
        <v>92</v>
      </c>
      <c r="E4" s="95"/>
      <c r="F4" s="99" t="s">
        <v>95</v>
      </c>
      <c r="G4" s="3"/>
      <c r="H4" s="521" t="s">
        <v>43</v>
      </c>
      <c r="I4" s="3"/>
      <c r="J4" s="126">
        <f>Kingdom!D2</f>
        <v>2</v>
      </c>
      <c r="K4" s="3"/>
      <c r="L4" s="3"/>
      <c r="O4" s="3"/>
      <c r="P4" s="125" t="s">
        <v>45</v>
      </c>
      <c r="Q4" s="13"/>
      <c r="R4" s="78">
        <f>20+J4+'City Overview'!E27</f>
        <v>23</v>
      </c>
      <c r="S4" s="13"/>
      <c r="T4" s="29" t="s">
        <v>46</v>
      </c>
      <c r="U4" s="3"/>
      <c r="V4" s="678">
        <f>Kingdom!D4+'City 1'!$D$4+'City 2'!$D$4+'City 3'!$D$4+'City 4'!$D$4+'City 5'!$D$4+'City 6'!$D$4+'City 7'!$D$4+'City 8'!$D$4+'City 9'!$D$4+'City 10'!$D$4+'City 11'!$D$4+'City 12'!$D$4+'City 13'!$D$4+'City 14'!$D$4+'City 15'!$D$4+'City 16'!$D$4+'City 17'!$D$4+'City 18'!$D$4+'City 19'!$D$4+'City 20'!$D$4+'City 21'!$D$4+'City 22'!$D$4+'City 23'!$D$4+'City 24'!$D$4+'City 25'!$D$4</f>
        <v>505</v>
      </c>
      <c r="W4" s="679"/>
      <c r="X4" s="679"/>
      <c r="Y4" s="679"/>
      <c r="Z4" s="679"/>
      <c r="AA4" s="679"/>
      <c r="AB4" s="680"/>
      <c r="AC4" s="16"/>
      <c r="AD4" s="3"/>
      <c r="AE4" s="14"/>
    </row>
    <row r="5" spans="1:31" ht="3" customHeight="1" thickBot="1" x14ac:dyDescent="0.3">
      <c r="A5" s="15"/>
      <c r="B5" s="13"/>
      <c r="C5" s="13"/>
      <c r="D5" s="3"/>
      <c r="E5" s="3"/>
      <c r="F5" s="3"/>
      <c r="G5" s="3"/>
      <c r="H5" s="3"/>
      <c r="I5" s="3"/>
      <c r="J5" s="3"/>
      <c r="K5" s="3"/>
      <c r="L5" s="3"/>
      <c r="O5" s="3"/>
      <c r="P5" s="3"/>
      <c r="Q5" s="3"/>
      <c r="R5" s="3"/>
      <c r="S5" s="3"/>
      <c r="T5" s="3"/>
      <c r="U5" s="3"/>
      <c r="V5" s="3"/>
      <c r="W5" s="3"/>
      <c r="X5" s="3"/>
      <c r="Y5" s="3"/>
      <c r="Z5" s="3"/>
      <c r="AA5" s="3"/>
      <c r="AB5" s="3"/>
      <c r="AC5" s="3"/>
      <c r="AD5" s="3"/>
      <c r="AE5" s="14"/>
    </row>
    <row r="6" spans="1:31" ht="15.75" customHeight="1" thickBot="1" x14ac:dyDescent="0.3">
      <c r="A6" s="15"/>
      <c r="B6" s="29" t="s">
        <v>1117</v>
      </c>
      <c r="C6" s="29"/>
      <c r="D6" s="439" t="s">
        <v>1110</v>
      </c>
      <c r="E6" s="3"/>
      <c r="F6" s="698" t="str">
        <f>IF(D6&lt;&gt;0,VLOOKUP(D6,'Drop Down'!O52:W60,9,FALSE),"")</f>
        <v>No modifiers</v>
      </c>
      <c r="G6" s="699"/>
      <c r="H6" s="699"/>
      <c r="I6" s="699"/>
      <c r="J6" s="699"/>
      <c r="K6" s="699"/>
      <c r="L6" s="700"/>
      <c r="O6" s="3"/>
      <c r="P6" s="3"/>
      <c r="Q6" s="3"/>
      <c r="R6" s="3"/>
      <c r="S6" s="3"/>
      <c r="T6" s="3"/>
      <c r="U6" s="3"/>
      <c r="V6" s="3"/>
      <c r="W6" s="3"/>
      <c r="X6" s="3"/>
      <c r="Y6" s="3"/>
      <c r="Z6" s="3"/>
      <c r="AA6" s="3"/>
      <c r="AB6" s="3"/>
      <c r="AC6" s="3"/>
      <c r="AD6" s="3"/>
      <c r="AE6" s="14"/>
    </row>
    <row r="7" spans="1:31" ht="3" customHeight="1" x14ac:dyDescent="0.25">
      <c r="A7" s="15"/>
      <c r="B7" s="13"/>
      <c r="C7" s="13"/>
      <c r="D7" s="3"/>
      <c r="E7" s="3"/>
      <c r="F7" s="3"/>
      <c r="G7" s="3"/>
      <c r="H7" s="3"/>
      <c r="I7" s="3"/>
      <c r="J7" s="3"/>
      <c r="K7" s="3"/>
      <c r="L7" s="3"/>
      <c r="M7" s="3"/>
      <c r="N7" s="3"/>
      <c r="O7" s="3"/>
      <c r="P7" s="3"/>
      <c r="Q7" s="3"/>
      <c r="R7" s="3"/>
      <c r="S7" s="3"/>
      <c r="T7" s="3"/>
      <c r="U7" s="3"/>
      <c r="V7" s="3"/>
      <c r="W7" s="3"/>
      <c r="X7" s="3"/>
      <c r="Y7" s="3"/>
      <c r="Z7" s="3"/>
      <c r="AA7" s="3"/>
      <c r="AB7" s="3"/>
      <c r="AC7" s="3"/>
      <c r="AD7" s="3"/>
      <c r="AE7" s="14"/>
    </row>
    <row r="8" spans="1:31" ht="15" customHeight="1" x14ac:dyDescent="0.25">
      <c r="A8" s="15"/>
      <c r="B8" s="3"/>
      <c r="C8" s="3"/>
      <c r="D8" s="495" t="s">
        <v>52</v>
      </c>
      <c r="E8" s="495"/>
      <c r="F8" s="495" t="s">
        <v>60</v>
      </c>
      <c r="G8" s="495"/>
      <c r="H8" s="495" t="s">
        <v>53</v>
      </c>
      <c r="I8" s="495"/>
      <c r="J8" s="495" t="s">
        <v>54</v>
      </c>
      <c r="K8" s="495"/>
      <c r="L8" s="495" t="s">
        <v>55</v>
      </c>
      <c r="M8" s="495"/>
      <c r="N8" s="495" t="s">
        <v>327</v>
      </c>
      <c r="O8" s="495"/>
      <c r="P8" s="495" t="s">
        <v>48</v>
      </c>
      <c r="Q8" s="495"/>
      <c r="R8" s="495" t="s">
        <v>57</v>
      </c>
      <c r="S8" s="495"/>
      <c r="T8" s="495" t="s">
        <v>134</v>
      </c>
      <c r="U8" s="495"/>
      <c r="V8" s="495" t="s">
        <v>1065</v>
      </c>
      <c r="W8" s="495"/>
      <c r="X8" s="495" t="s">
        <v>1118</v>
      </c>
      <c r="Y8" s="495"/>
      <c r="Z8" s="495" t="s">
        <v>1107</v>
      </c>
      <c r="AA8" s="495"/>
      <c r="AB8" s="495" t="s">
        <v>1108</v>
      </c>
      <c r="AE8" s="14"/>
    </row>
    <row r="9" spans="1:31" ht="3" customHeight="1" thickBot="1" x14ac:dyDescent="0.3">
      <c r="A9" s="15"/>
      <c r="B9" s="3"/>
      <c r="C9" s="3"/>
      <c r="D9" s="198"/>
      <c r="E9" s="198"/>
      <c r="F9" s="198"/>
      <c r="G9" s="198"/>
      <c r="H9" s="198"/>
      <c r="I9" s="198"/>
      <c r="J9" s="198"/>
      <c r="K9" s="198"/>
      <c r="L9" s="198"/>
      <c r="M9" s="198"/>
      <c r="N9" s="198"/>
      <c r="O9" s="198"/>
      <c r="P9" s="198"/>
      <c r="Q9" s="198"/>
      <c r="R9" s="198"/>
      <c r="S9" s="198"/>
      <c r="T9" s="497"/>
      <c r="U9" s="198"/>
      <c r="V9" s="198"/>
      <c r="W9" s="198"/>
      <c r="X9" s="198"/>
      <c r="Y9" s="198"/>
      <c r="Z9" s="198"/>
      <c r="AA9" s="198"/>
      <c r="AB9" s="198"/>
      <c r="AE9" s="14"/>
    </row>
    <row r="10" spans="1:31" ht="15.75" thickBot="1" x14ac:dyDescent="0.3">
      <c r="A10" s="15"/>
      <c r="B10" s="92" t="s">
        <v>49</v>
      </c>
      <c r="C10" s="3"/>
      <c r="D10" s="79">
        <f>F10+H10+J10+L10+N10+P10+R10+T10+Z10+AB10+V10</f>
        <v>23</v>
      </c>
      <c r="E10" s="198" t="s">
        <v>58</v>
      </c>
      <c r="F10" s="126">
        <f>'City 1'!D6+'City 2'!D6+'City 3'!D6+'City 4'!D6+'City 5'!D6+'City 6'!D6+'City 7'!D6+'City 8'!D6+'City 9'!D6+'City 10'!D6+'City 11'!D6+'City 12'!D6+'City 13'!D6+'City 14'!D6+'City 15'!D6+'City 16'!D6+'City 17'!D6+'City 18'!D6+'City 19'!D6+'City 20'!D6+'City 21'!D6+'City 22'!D6+'City 23'!D6+'City 24'!D6+'City 25'!D6</f>
        <v>0</v>
      </c>
      <c r="G10" s="198" t="s">
        <v>59</v>
      </c>
      <c r="H10" s="126">
        <f>V60+V58+V62+V64</f>
        <v>0</v>
      </c>
      <c r="I10" s="198" t="s">
        <v>59</v>
      </c>
      <c r="J10" s="126">
        <f>IF(COUNTIF(X36:AD42,"Outstanding Success")&gt;0,4,0)</f>
        <v>0</v>
      </c>
      <c r="K10" s="198" t="s">
        <v>59</v>
      </c>
      <c r="L10" s="126">
        <f>IF(N58=B10,L58,0)+(IF(N36=B10,L36,0)+IF(P36=B10,L36,0)+IF(R36=B10,L36,0))+(IF(N38=B10,L38,0)+IF(P38=B10,L38,0)+IF(R38=B10,L38,0))+L52+L54+L60+L62</f>
        <v>15</v>
      </c>
      <c r="M10" s="198" t="s">
        <v>59</v>
      </c>
      <c r="N10" s="126">
        <f>Kingdom!D6</f>
        <v>1</v>
      </c>
      <c r="O10" s="198" t="s">
        <v>59</v>
      </c>
      <c r="P10" s="126">
        <f>IF(D4="Lawful",2,0)+IF(F4="Evil",2,0)</f>
        <v>0</v>
      </c>
      <c r="Q10" s="198" t="s">
        <v>59</v>
      </c>
      <c r="R10" s="126">
        <f>$V$42*-1</f>
        <v>0</v>
      </c>
      <c r="S10" s="198" t="s">
        <v>59</v>
      </c>
      <c r="T10" s="126">
        <f>IF(H52=0,-4,0)+IF(H54=0,-4,0)+IF(H58=0,-4,0)+IF(H60=0,-4,0)</f>
        <v>0</v>
      </c>
      <c r="U10" s="3" t="s">
        <v>59</v>
      </c>
      <c r="V10" s="126">
        <f>Diplomacy!AE302</f>
        <v>6</v>
      </c>
      <c r="W10" s="3"/>
      <c r="X10" s="3"/>
      <c r="Y10" s="198" t="s">
        <v>59</v>
      </c>
      <c r="Z10" s="41">
        <v>1</v>
      </c>
      <c r="AA10" s="67" t="s">
        <v>59</v>
      </c>
      <c r="AB10" s="41"/>
      <c r="AE10" s="14"/>
    </row>
    <row r="11" spans="1:31" s="1" customFormat="1" ht="3" customHeight="1" thickBot="1" x14ac:dyDescent="0.3">
      <c r="A11" s="28"/>
      <c r="B11" s="25"/>
      <c r="C11" s="3"/>
      <c r="D11" s="16"/>
      <c r="E11" s="16"/>
      <c r="F11" s="16"/>
      <c r="G11" s="16"/>
      <c r="H11" s="16"/>
      <c r="I11" s="16"/>
      <c r="J11" s="16"/>
      <c r="K11" s="198" t="s">
        <v>59</v>
      </c>
      <c r="L11" s="16"/>
      <c r="M11" s="198"/>
      <c r="N11" s="16"/>
      <c r="O11" s="198"/>
      <c r="P11" s="16"/>
      <c r="Q11" s="198"/>
      <c r="R11" s="47"/>
      <c r="S11" s="16"/>
      <c r="T11" s="16"/>
      <c r="U11" s="3"/>
      <c r="V11" s="3"/>
      <c r="W11" s="3"/>
      <c r="X11" s="3"/>
      <c r="Y11" s="16"/>
      <c r="Z11" s="16"/>
      <c r="AA11" s="67"/>
      <c r="AB11" s="16"/>
      <c r="AE11" s="17"/>
    </row>
    <row r="12" spans="1:31" ht="15.75" thickBot="1" x14ac:dyDescent="0.3">
      <c r="A12" s="15"/>
      <c r="B12" s="93" t="s">
        <v>50</v>
      </c>
      <c r="C12" s="3"/>
      <c r="D12" s="81">
        <f>F12+H12+J12+L12+N12+P12+R12+T12+Z12+AB12</f>
        <v>14</v>
      </c>
      <c r="E12" s="198" t="s">
        <v>58</v>
      </c>
      <c r="F12" s="126">
        <f>'City 1'!D8+'City 2'!D8+'City 3'!D8+'City 4'!D8+'City 5'!D8+'City 6'!D8+'City 7'!D8+'City 8'!D8+'City 9'!D8+'City 10'!D8+'City 11'!D8+'City 12'!D8+'City 13'!D8+'City 14'!D8+'City 15'!D8+'City 16'!D8+'City 17'!D8+'City 18'!D8+'City 19'!D8+'City 20'!D8+'City 21'!D8+'City 22'!D8+'City 23'!D8+'City 24'!D8+'City 25'!D8</f>
        <v>1</v>
      </c>
      <c r="G12" s="198" t="s">
        <v>59</v>
      </c>
      <c r="H12" s="126">
        <f>X60+X62+X58+Endowment!J34+X64</f>
        <v>0</v>
      </c>
      <c r="I12" s="198" t="s">
        <v>59</v>
      </c>
      <c r="J12" s="126">
        <f>IF(COUNTIF(X36:AD42,"Good Weather")&gt;0,4,0)+IF(COUNTIF(X36:AD42,"Public Scandal")&gt;0,-4,0)</f>
        <v>0</v>
      </c>
      <c r="K12" s="198" t="s">
        <v>59</v>
      </c>
      <c r="L12" s="126">
        <f>IF(N58=B12,L58,0)+(IF(N36=B12,L36,0)+IF(P36=B12,L36,0)+IF(R36=B12,L36,0))+(IF(N38=B12,L38,0)+IF(P38=B12,L38,0)+IF(R38=B12,L38,0))+L40+L42+L48+L56+L64</f>
        <v>9</v>
      </c>
      <c r="M12" s="198" t="s">
        <v>59</v>
      </c>
      <c r="N12" s="126">
        <f>Kingdom!D8</f>
        <v>0</v>
      </c>
      <c r="O12" s="198" t="s">
        <v>59</v>
      </c>
      <c r="P12" s="126">
        <f>IF(D4="Chaotic",2,0)+IF(F4="Good",2,0)</f>
        <v>2</v>
      </c>
      <c r="Q12" s="198" t="s">
        <v>59</v>
      </c>
      <c r="R12" s="126">
        <f>$V$42*-1</f>
        <v>0</v>
      </c>
      <c r="S12" s="198" t="s">
        <v>59</v>
      </c>
      <c r="T12" s="126">
        <f>IF(H42=0,-2,0)+IF(H44=0,-4,0)+IF(H50=0,-2,0)+IF(H64=0,-2,0)</f>
        <v>0</v>
      </c>
      <c r="U12" s="3"/>
      <c r="V12" s="3"/>
      <c r="W12" s="3"/>
      <c r="X12" s="3"/>
      <c r="Y12" s="198" t="s">
        <v>59</v>
      </c>
      <c r="Z12" s="41">
        <v>2</v>
      </c>
      <c r="AA12" s="67" t="s">
        <v>59</v>
      </c>
      <c r="AB12" s="41"/>
      <c r="AE12" s="14"/>
    </row>
    <row r="13" spans="1:31" s="1" customFormat="1" ht="3" customHeight="1" thickBot="1" x14ac:dyDescent="0.3">
      <c r="A13" s="28"/>
      <c r="B13" s="25"/>
      <c r="C13" s="3"/>
      <c r="D13" s="16"/>
      <c r="E13" s="198" t="s">
        <v>58</v>
      </c>
      <c r="F13" s="16"/>
      <c r="G13" s="16"/>
      <c r="H13" s="16"/>
      <c r="I13" s="16"/>
      <c r="J13" s="16"/>
      <c r="K13" s="198" t="s">
        <v>59</v>
      </c>
      <c r="L13" s="16"/>
      <c r="M13" s="198"/>
      <c r="N13" s="16"/>
      <c r="O13" s="198"/>
      <c r="P13" s="16"/>
      <c r="Q13" s="198"/>
      <c r="R13" s="16"/>
      <c r="S13" s="16"/>
      <c r="T13" s="16"/>
      <c r="U13" s="3"/>
      <c r="V13" s="3"/>
      <c r="W13" s="3"/>
      <c r="X13" s="3"/>
      <c r="Y13" s="198" t="s">
        <v>59</v>
      </c>
      <c r="Z13" s="16"/>
      <c r="AA13" s="67"/>
      <c r="AB13" s="16"/>
      <c r="AE13" s="17"/>
    </row>
    <row r="14" spans="1:31" ht="15.75" thickBot="1" x14ac:dyDescent="0.3">
      <c r="A14" s="15"/>
      <c r="B14" s="94" t="s">
        <v>51</v>
      </c>
      <c r="C14" s="3"/>
      <c r="D14" s="80">
        <f>F14+H14+J14+L14+N14+P14+R14+T14+Z14+AB14+V14</f>
        <v>12</v>
      </c>
      <c r="E14" s="198" t="s">
        <v>58</v>
      </c>
      <c r="F14" s="126">
        <f>'City 1'!D10+'City 2'!D10+'City 3'!D10+'City 4'!D10+'City 5'!D10+'City 6'!D10+'City 7'!D10+'City 8'!D10+'City 9'!D10+'City 10'!D10+'City 11'!D10+'City 12'!D10+'City 13'!D10+'City 14'!D10+'City 15'!D10+'City 16'!D10+'City 17'!D10+'City 18'!D10+'City 19'!D10+'City 20'!D10+'City 21'!D10+'City 22'!D10+'City 23'!D10+'City 24'!D10+'City 25'!D10</f>
        <v>0</v>
      </c>
      <c r="G14" s="198" t="s">
        <v>59</v>
      </c>
      <c r="H14" s="126">
        <f>T58+T60+T62+T64</f>
        <v>0</v>
      </c>
      <c r="I14" s="198" t="s">
        <v>59</v>
      </c>
      <c r="J14" s="126">
        <f>IF(COUNTIF(X36:AD42,"Natural Blessing")&gt;0,4,0)</f>
        <v>0</v>
      </c>
      <c r="K14" s="198" t="s">
        <v>59</v>
      </c>
      <c r="L14" s="126">
        <f>IF(N58=B14,L58,0)+(IF(N36=B14,L36,0)+IF(P36=B14,L36,0)+IF(R36=B14,L36,0))+(IF(N38=B14,L38,0)+IF(P38=B14,L38,0)+IF(R38=B14,L38,0))+L44+L46+L50</f>
        <v>8</v>
      </c>
      <c r="M14" s="198" t="s">
        <v>59</v>
      </c>
      <c r="N14" s="126">
        <f>Kingdom!D10</f>
        <v>1</v>
      </c>
      <c r="O14" s="198" t="s">
        <v>59</v>
      </c>
      <c r="P14" s="126">
        <f>IF(D4="Neutral",2,0)+IF(F4="Neutral",2,0)</f>
        <v>2</v>
      </c>
      <c r="Q14" s="198" t="s">
        <v>59</v>
      </c>
      <c r="R14" s="126">
        <f>$V$42*-1</f>
        <v>0</v>
      </c>
      <c r="S14" s="198" t="s">
        <v>59</v>
      </c>
      <c r="T14" s="126">
        <f>IF(H46=0,-2,0)+IF(H50=0,-2,0)+IF(H64=0,-2,0)</f>
        <v>0</v>
      </c>
      <c r="U14" s="3" t="s">
        <v>59</v>
      </c>
      <c r="V14" s="126">
        <f>Diplomacy!AF302</f>
        <v>0</v>
      </c>
      <c r="W14" s="3"/>
      <c r="X14" s="3"/>
      <c r="Y14" s="198" t="s">
        <v>59</v>
      </c>
      <c r="Z14" s="41">
        <v>1</v>
      </c>
      <c r="AA14" s="67" t="s">
        <v>59</v>
      </c>
      <c r="AB14" s="41"/>
      <c r="AE14" s="14"/>
    </row>
    <row r="15" spans="1:31" ht="3" customHeight="1" thickBot="1" x14ac:dyDescent="0.3">
      <c r="A15" s="15"/>
      <c r="B15" s="3"/>
      <c r="C15" s="3"/>
      <c r="D15" s="3"/>
      <c r="E15" s="3"/>
      <c r="F15" s="3"/>
      <c r="G15" s="3"/>
      <c r="H15" s="3"/>
      <c r="I15" s="3"/>
      <c r="J15" s="3"/>
      <c r="K15" s="3"/>
      <c r="L15" s="3"/>
      <c r="M15" s="3"/>
      <c r="N15" s="3"/>
      <c r="O15" s="3"/>
      <c r="P15" s="3"/>
      <c r="Q15" s="3"/>
      <c r="R15" s="3"/>
      <c r="S15" s="3"/>
      <c r="T15" s="3"/>
      <c r="U15" s="3"/>
      <c r="V15" s="3"/>
      <c r="W15" s="3"/>
      <c r="X15" s="3"/>
      <c r="Y15" s="3"/>
      <c r="Z15" s="3"/>
      <c r="AA15" s="499"/>
      <c r="AB15" s="3"/>
      <c r="AE15" s="14"/>
    </row>
    <row r="16" spans="1:31" ht="15.75" thickBot="1" x14ac:dyDescent="0.3">
      <c r="A16" s="15"/>
      <c r="B16" s="295" t="s">
        <v>629</v>
      </c>
      <c r="C16" s="437"/>
      <c r="D16" s="438">
        <f>F16+Z16+AB16</f>
        <v>-1</v>
      </c>
      <c r="E16" s="16" t="s">
        <v>58</v>
      </c>
      <c r="F16" s="297">
        <f>'City 1'!AA2+'City 2'!AA2+'City 3'!AA2+'City 4'!AA2+'City 5'!AA2+'City 6'!AA2+'City 7'!AA2+'City 8'!AA2+'City 9'!AA2+'City 10'!AA2+'City 11'!AA2+'City 12'!AA2+'City 13'!AA2+'City 14'!AA2+'City 15'!AA2+'City 16'!AA2+'City 17'!AA2+'City 18'!AA2+'City 19'!AA2+'City 20'!AA2+'City 21'!AA2+'City 22'!AA2+'City 23'!AA2+'City 24'!AA2+'City 25'!AA2+INT(('City Overview'!L27+'City Overview'!M27)/10)</f>
        <v>-1</v>
      </c>
      <c r="G16" s="3" t="s">
        <v>59</v>
      </c>
      <c r="H16" s="344">
        <f>Endowment!K34+VLOOKUP(R64,'Drop Down'!O107:V111,4,FALSE)</f>
        <v>0</v>
      </c>
      <c r="I16" s="3"/>
      <c r="J16" s="3"/>
      <c r="K16" s="3"/>
      <c r="L16" s="3"/>
      <c r="M16" s="3"/>
      <c r="N16" s="3"/>
      <c r="O16" s="3"/>
      <c r="P16" s="3"/>
      <c r="Q16" s="3"/>
      <c r="R16" s="3"/>
      <c r="S16" s="3"/>
      <c r="T16" s="3"/>
      <c r="U16" s="3"/>
      <c r="V16" s="3"/>
      <c r="W16" s="3"/>
      <c r="X16" s="3"/>
      <c r="Y16" s="16" t="s">
        <v>59</v>
      </c>
      <c r="Z16" s="39"/>
      <c r="AA16" s="499" t="s">
        <v>59</v>
      </c>
      <c r="AB16" s="39"/>
      <c r="AE16" s="14"/>
    </row>
    <row r="17" spans="1:31" ht="3" customHeight="1" thickBot="1" x14ac:dyDescent="0.3">
      <c r="A17" s="15"/>
      <c r="B17" s="3"/>
      <c r="C17" s="3"/>
      <c r="D17" s="3"/>
      <c r="E17" s="3"/>
      <c r="F17" s="3"/>
      <c r="G17" s="3"/>
      <c r="H17" s="3"/>
      <c r="I17" s="3"/>
      <c r="J17" s="3"/>
      <c r="K17" s="3"/>
      <c r="L17" s="3"/>
      <c r="M17" s="3"/>
      <c r="N17" s="3"/>
      <c r="O17" s="3"/>
      <c r="P17" s="3"/>
      <c r="Q17" s="3"/>
      <c r="R17" s="3"/>
      <c r="S17" s="3"/>
      <c r="T17" s="3"/>
      <c r="U17" s="3"/>
      <c r="V17" s="3"/>
      <c r="W17" s="3"/>
      <c r="X17" s="3"/>
      <c r="Y17" s="3"/>
      <c r="Z17" s="3"/>
      <c r="AA17" s="499"/>
      <c r="AB17" s="3"/>
      <c r="AE17" s="14"/>
    </row>
    <row r="18" spans="1:31" ht="15.75" thickBot="1" x14ac:dyDescent="0.3">
      <c r="A18" s="15"/>
      <c r="B18" s="295" t="s">
        <v>630</v>
      </c>
      <c r="C18" s="437"/>
      <c r="D18" s="438">
        <f>F18+Z18+AB18</f>
        <v>-1</v>
      </c>
      <c r="E18" s="16" t="s">
        <v>58</v>
      </c>
      <c r="F18" s="297">
        <f>'City 1'!AA4+'City 2'!AA4+'City 3'!AA4+'City 4'!AA4+'City 5'!AA4+'City 6'!AA4+'City 7'!AA4+'City 8'!AA4+'City 9'!AA4+'City 10'!AA4+'City 11'!AA4+'City 12'!AA4+'City 13'!AA4+'City 14'!AA4+'City 15'!AA4+'City 16'!AA4+'City 17'!AA4+'City 18'!AA4+'City 19'!AA4+'City 20'!AA4+'City 21'!AA4+'City 22'!AA4+'City 23'!AA4+'City 24'!AA4+'City 25'!AA4+INT(('City Overview'!I27+'City Overview'!H27)/10)</f>
        <v>-1</v>
      </c>
      <c r="G18" s="3" t="s">
        <v>59</v>
      </c>
      <c r="H18" s="344">
        <f>VLOOKUP(R64,'Drop Down'!O107:V111,5,FALSE)</f>
        <v>0</v>
      </c>
      <c r="I18" s="3"/>
      <c r="J18" s="3"/>
      <c r="K18" s="3"/>
      <c r="L18" s="3"/>
      <c r="M18" s="3"/>
      <c r="N18" s="3"/>
      <c r="O18" s="3"/>
      <c r="P18" s="3"/>
      <c r="Q18" s="3"/>
      <c r="R18" s="3"/>
      <c r="S18" s="3"/>
      <c r="T18" s="3"/>
      <c r="U18" s="3"/>
      <c r="V18" s="3"/>
      <c r="W18" s="3"/>
      <c r="X18" s="3"/>
      <c r="Y18" s="16" t="s">
        <v>59</v>
      </c>
      <c r="Z18" s="39"/>
      <c r="AA18" s="499" t="s">
        <v>59</v>
      </c>
      <c r="AB18" s="39"/>
      <c r="AE18" s="14"/>
    </row>
    <row r="19" spans="1:31" ht="3" customHeight="1" thickBot="1" x14ac:dyDescent="0.3">
      <c r="A19" s="15"/>
      <c r="B19" s="437"/>
      <c r="C19" s="437"/>
      <c r="D19" s="95"/>
      <c r="E19" s="16"/>
      <c r="F19" s="3"/>
      <c r="G19" s="3"/>
      <c r="H19" s="3"/>
      <c r="I19" s="3"/>
      <c r="J19" s="3"/>
      <c r="K19" s="3"/>
      <c r="L19" s="3"/>
      <c r="M19" s="3"/>
      <c r="N19" s="3"/>
      <c r="O19" s="3"/>
      <c r="P19" s="3"/>
      <c r="Q19" s="3"/>
      <c r="R19" s="3"/>
      <c r="S19" s="3"/>
      <c r="T19" s="3"/>
      <c r="U19" s="3"/>
      <c r="V19" s="3"/>
      <c r="W19" s="3"/>
      <c r="X19" s="3"/>
      <c r="Y19" s="16"/>
      <c r="Z19" s="496"/>
      <c r="AA19" s="499"/>
      <c r="AB19" s="496"/>
      <c r="AE19" s="14"/>
    </row>
    <row r="20" spans="1:31" ht="15.75" thickBot="1" x14ac:dyDescent="0.3">
      <c r="A20" s="15"/>
      <c r="B20" s="295" t="s">
        <v>640</v>
      </c>
      <c r="C20" s="437"/>
      <c r="D20" s="438">
        <f>F20+P20+X20+Z20+AB20</f>
        <v>-1</v>
      </c>
      <c r="E20" s="16" t="s">
        <v>58</v>
      </c>
      <c r="F20" s="297">
        <f>'City Overview'!H29</f>
        <v>-1</v>
      </c>
      <c r="G20" s="3"/>
      <c r="H20" s="3"/>
      <c r="I20" s="3"/>
      <c r="J20" s="3"/>
      <c r="K20" s="3"/>
      <c r="L20" s="3"/>
      <c r="M20" s="3"/>
      <c r="N20" s="3"/>
      <c r="O20" s="3" t="s">
        <v>59</v>
      </c>
      <c r="P20" s="126">
        <f>IF(F4="Evil",1,0)</f>
        <v>0</v>
      </c>
      <c r="Q20" s="3"/>
      <c r="R20" s="3"/>
      <c r="S20" s="3"/>
      <c r="T20" s="3"/>
      <c r="U20" s="3"/>
      <c r="V20" s="3"/>
      <c r="W20" s="3" t="s">
        <v>59</v>
      </c>
      <c r="X20" s="126">
        <f>IF($D$6="",0,VLOOKUP($D$6,'Drop Down'!$O$52:$V$60,3,FALSE))</f>
        <v>0</v>
      </c>
      <c r="Y20" s="16" t="s">
        <v>59</v>
      </c>
      <c r="Z20" s="39"/>
      <c r="AA20" s="499" t="s">
        <v>59</v>
      </c>
      <c r="AB20" s="39"/>
      <c r="AE20" s="14"/>
    </row>
    <row r="21" spans="1:31" ht="3" customHeight="1" thickBot="1" x14ac:dyDescent="0.3">
      <c r="A21" s="15"/>
      <c r="B21" s="437"/>
      <c r="C21" s="437"/>
      <c r="D21" s="95"/>
      <c r="E21" s="16"/>
      <c r="F21" s="3"/>
      <c r="G21" s="3"/>
      <c r="H21" s="3"/>
      <c r="I21" s="3"/>
      <c r="J21" s="3"/>
      <c r="K21" s="3"/>
      <c r="L21" s="3"/>
      <c r="M21" s="3"/>
      <c r="N21" s="3"/>
      <c r="O21" s="3"/>
      <c r="P21" s="198"/>
      <c r="Q21" s="3"/>
      <c r="R21" s="3"/>
      <c r="S21" s="3"/>
      <c r="T21" s="3"/>
      <c r="U21" s="3"/>
      <c r="V21" s="3"/>
      <c r="W21" s="3"/>
      <c r="X21" s="198"/>
      <c r="Y21" s="16"/>
      <c r="Z21" s="496"/>
      <c r="AA21" s="499"/>
      <c r="AB21" s="496"/>
      <c r="AE21" s="14"/>
    </row>
    <row r="22" spans="1:31" ht="15.75" thickBot="1" x14ac:dyDescent="0.3">
      <c r="A22" s="15"/>
      <c r="B22" s="295" t="s">
        <v>641</v>
      </c>
      <c r="C22" s="437"/>
      <c r="D22" s="438">
        <f>F22+P22+X22+Z22+AB22</f>
        <v>-1</v>
      </c>
      <c r="E22" s="16" t="s">
        <v>58</v>
      </c>
      <c r="F22" s="297">
        <f>'City Overview'!I29</f>
        <v>-1</v>
      </c>
      <c r="G22" s="3"/>
      <c r="H22" s="3"/>
      <c r="I22" s="3"/>
      <c r="J22" s="3"/>
      <c r="K22" s="3"/>
      <c r="L22" s="3"/>
      <c r="M22" s="3"/>
      <c r="N22" s="3"/>
      <c r="O22" s="3" t="s">
        <v>59</v>
      </c>
      <c r="P22" s="126">
        <f>IF(D4="Chaotic",1,0)</f>
        <v>0</v>
      </c>
      <c r="Q22" s="3"/>
      <c r="R22" s="3"/>
      <c r="S22" s="3"/>
      <c r="T22" s="3"/>
      <c r="U22" s="3"/>
      <c r="V22" s="3"/>
      <c r="W22" s="3" t="s">
        <v>59</v>
      </c>
      <c r="X22" s="126">
        <f>IF($D$6="",0,VLOOKUP($D$6,'Drop Down'!$O$52:$V$60,4,FALSE))</f>
        <v>0</v>
      </c>
      <c r="Y22" s="16" t="s">
        <v>59</v>
      </c>
      <c r="Z22" s="39"/>
      <c r="AA22" s="499" t="s">
        <v>59</v>
      </c>
      <c r="AB22" s="39"/>
      <c r="AE22" s="14"/>
    </row>
    <row r="23" spans="1:31" ht="3" customHeight="1" thickBot="1" x14ac:dyDescent="0.3">
      <c r="A23" s="15"/>
      <c r="B23" s="437"/>
      <c r="C23" s="437"/>
      <c r="D23" s="95"/>
      <c r="E23" s="16"/>
      <c r="F23" s="3"/>
      <c r="G23" s="3"/>
      <c r="H23" s="3"/>
      <c r="I23" s="3"/>
      <c r="J23" s="3"/>
      <c r="K23" s="3"/>
      <c r="L23" s="3"/>
      <c r="M23" s="3"/>
      <c r="N23" s="3"/>
      <c r="O23" s="3"/>
      <c r="P23" s="198"/>
      <c r="Q23" s="3"/>
      <c r="R23" s="3"/>
      <c r="S23" s="3"/>
      <c r="T23" s="3"/>
      <c r="U23" s="3"/>
      <c r="V23" s="3"/>
      <c r="W23" s="3"/>
      <c r="X23" s="198"/>
      <c r="Y23" s="16"/>
      <c r="Z23" s="496"/>
      <c r="AA23" s="499"/>
      <c r="AB23" s="496"/>
      <c r="AE23" s="14"/>
    </row>
    <row r="24" spans="1:31" ht="15.75" thickBot="1" x14ac:dyDescent="0.3">
      <c r="A24" s="15"/>
      <c r="B24" s="295" t="s">
        <v>643</v>
      </c>
      <c r="C24" s="437"/>
      <c r="D24" s="438">
        <f>F24+P24+X24+Z24+AB24</f>
        <v>-1</v>
      </c>
      <c r="E24" s="16" t="s">
        <v>58</v>
      </c>
      <c r="F24" s="297">
        <f>'City Overview'!K29</f>
        <v>-1</v>
      </c>
      <c r="G24" s="3"/>
      <c r="H24" s="3"/>
      <c r="I24" s="3"/>
      <c r="J24" s="3"/>
      <c r="K24" s="3"/>
      <c r="L24" s="3"/>
      <c r="M24" s="3"/>
      <c r="N24" s="3"/>
      <c r="O24" s="3" t="s">
        <v>59</v>
      </c>
      <c r="P24" s="126">
        <f>IF(D4="Lawful",1,0)</f>
        <v>0</v>
      </c>
      <c r="Q24" s="3"/>
      <c r="R24" s="3"/>
      <c r="S24" s="3"/>
      <c r="T24" s="3"/>
      <c r="U24" s="3"/>
      <c r="V24" s="3"/>
      <c r="W24" s="3" t="s">
        <v>59</v>
      </c>
      <c r="X24" s="126">
        <f>IF($D$6="",0,VLOOKUP($D$6,'Drop Down'!$O$52:$V$60,6,FALSE))</f>
        <v>0</v>
      </c>
      <c r="Y24" s="16" t="s">
        <v>59</v>
      </c>
      <c r="Z24" s="39"/>
      <c r="AA24" s="499" t="s">
        <v>59</v>
      </c>
      <c r="AB24" s="39"/>
      <c r="AE24" s="14"/>
    </row>
    <row r="25" spans="1:31" ht="3" customHeight="1" thickBot="1" x14ac:dyDescent="0.3">
      <c r="A25" s="15"/>
      <c r="B25" s="437"/>
      <c r="C25" s="437"/>
      <c r="D25" s="95"/>
      <c r="E25" s="16"/>
      <c r="F25" s="3"/>
      <c r="G25" s="3"/>
      <c r="H25" s="3"/>
      <c r="I25" s="3"/>
      <c r="J25" s="3"/>
      <c r="K25" s="3"/>
      <c r="L25" s="3"/>
      <c r="M25" s="3"/>
      <c r="N25" s="3"/>
      <c r="O25" s="3"/>
      <c r="P25" s="198"/>
      <c r="Q25" s="3"/>
      <c r="R25" s="3"/>
      <c r="S25" s="3"/>
      <c r="T25" s="3"/>
      <c r="U25" s="3"/>
      <c r="V25" s="3"/>
      <c r="W25" s="3"/>
      <c r="X25" s="198"/>
      <c r="Y25" s="16"/>
      <c r="Z25" s="496"/>
      <c r="AA25" s="499"/>
      <c r="AB25" s="496"/>
      <c r="AE25" s="14"/>
    </row>
    <row r="26" spans="1:31" ht="15.75" thickBot="1" x14ac:dyDescent="0.3">
      <c r="A26" s="15"/>
      <c r="B26" s="295" t="s">
        <v>644</v>
      </c>
      <c r="C26" s="437"/>
      <c r="D26" s="438">
        <f>F26+P26+X26+Z26+AB26</f>
        <v>0</v>
      </c>
      <c r="E26" s="16" t="s">
        <v>58</v>
      </c>
      <c r="F26" s="297">
        <f>'City Overview'!L29</f>
        <v>-1</v>
      </c>
      <c r="G26" s="3"/>
      <c r="H26" s="3"/>
      <c r="I26" s="3"/>
      <c r="J26" s="3"/>
      <c r="K26" s="3"/>
      <c r="L26" s="3"/>
      <c r="M26" s="3"/>
      <c r="N26" s="3"/>
      <c r="O26" s="3" t="s">
        <v>59</v>
      </c>
      <c r="P26" s="126">
        <f>IF(D4="Neutral",1,0)+IF(F4="Neutral",1,0)</f>
        <v>1</v>
      </c>
      <c r="Q26" s="3"/>
      <c r="R26" s="3"/>
      <c r="S26" s="3"/>
      <c r="T26" s="3"/>
      <c r="U26" s="3"/>
      <c r="V26" s="3"/>
      <c r="W26" s="3" t="s">
        <v>59</v>
      </c>
      <c r="X26" s="126">
        <f>IF($D$6="",0,VLOOKUP($D$6,'Drop Down'!$O$52:$V$60,5,FALSE))</f>
        <v>0</v>
      </c>
      <c r="Y26" s="16" t="s">
        <v>59</v>
      </c>
      <c r="Z26" s="39"/>
      <c r="AA26" s="499" t="s">
        <v>59</v>
      </c>
      <c r="AB26" s="39"/>
      <c r="AE26" s="14"/>
    </row>
    <row r="27" spans="1:31" ht="3" customHeight="1" thickBot="1" x14ac:dyDescent="0.3">
      <c r="A27" s="15"/>
      <c r="B27" s="437"/>
      <c r="C27" s="437"/>
      <c r="D27" s="95"/>
      <c r="E27" s="16"/>
      <c r="F27" s="3"/>
      <c r="G27" s="3"/>
      <c r="H27" s="3"/>
      <c r="I27" s="3"/>
      <c r="J27" s="3"/>
      <c r="K27" s="3"/>
      <c r="L27" s="3"/>
      <c r="M27" s="3"/>
      <c r="N27" s="3"/>
      <c r="O27" s="3"/>
      <c r="P27" s="198"/>
      <c r="Q27" s="3"/>
      <c r="R27" s="3"/>
      <c r="S27" s="3"/>
      <c r="T27" s="3"/>
      <c r="U27" s="3"/>
      <c r="V27" s="3"/>
      <c r="W27" s="3"/>
      <c r="X27" s="198"/>
      <c r="Y27" s="16"/>
      <c r="Z27" s="496"/>
      <c r="AA27" s="499"/>
      <c r="AB27" s="496"/>
      <c r="AE27" s="14"/>
    </row>
    <row r="28" spans="1:31" ht="15.75" thickBot="1" x14ac:dyDescent="0.3">
      <c r="A28" s="15"/>
      <c r="B28" s="295" t="s">
        <v>642</v>
      </c>
      <c r="C28" s="437"/>
      <c r="D28" s="438">
        <f>F28+P28+X28+Z28+AB28</f>
        <v>-1</v>
      </c>
      <c r="E28" s="16" t="s">
        <v>58</v>
      </c>
      <c r="F28" s="297">
        <f>'City Overview'!J29</f>
        <v>-1</v>
      </c>
      <c r="G28" s="3"/>
      <c r="H28" s="3"/>
      <c r="I28" s="3"/>
      <c r="J28" s="3"/>
      <c r="K28" s="3"/>
      <c r="L28" s="3"/>
      <c r="M28" s="3"/>
      <c r="N28" s="3"/>
      <c r="O28" s="3" t="s">
        <v>59</v>
      </c>
      <c r="P28" s="126"/>
      <c r="Q28" s="3"/>
      <c r="R28" s="3"/>
      <c r="S28" s="3"/>
      <c r="T28" s="3"/>
      <c r="U28" s="3"/>
      <c r="V28" s="3"/>
      <c r="W28" s="3" t="s">
        <v>59</v>
      </c>
      <c r="X28" s="126">
        <f>IF($D$6="",0,VLOOKUP($D$6,'Drop Down'!$O$52:$V$60,7,FALSE))</f>
        <v>0</v>
      </c>
      <c r="Y28" s="16" t="s">
        <v>59</v>
      </c>
      <c r="Z28" s="39"/>
      <c r="AA28" s="499" t="s">
        <v>59</v>
      </c>
      <c r="AB28" s="39"/>
      <c r="AE28" s="14"/>
    </row>
    <row r="29" spans="1:31" ht="3" customHeight="1" thickBot="1" x14ac:dyDescent="0.3">
      <c r="A29" s="15"/>
      <c r="B29" s="437"/>
      <c r="C29" s="437"/>
      <c r="D29" s="95"/>
      <c r="E29" s="16"/>
      <c r="F29" s="3"/>
      <c r="G29" s="3"/>
      <c r="H29" s="3"/>
      <c r="I29" s="3"/>
      <c r="J29" s="3"/>
      <c r="K29" s="3"/>
      <c r="L29" s="3"/>
      <c r="M29" s="3"/>
      <c r="N29" s="3"/>
      <c r="O29" s="3"/>
      <c r="P29" s="198"/>
      <c r="Q29" s="3"/>
      <c r="R29" s="3"/>
      <c r="S29" s="3"/>
      <c r="T29" s="3"/>
      <c r="U29" s="3"/>
      <c r="V29" s="3"/>
      <c r="W29" s="3"/>
      <c r="X29" s="198"/>
      <c r="Y29" s="16"/>
      <c r="Z29" s="496"/>
      <c r="AA29" s="499"/>
      <c r="AB29" s="496"/>
      <c r="AE29" s="14"/>
    </row>
    <row r="30" spans="1:31" ht="15.75" thickBot="1" x14ac:dyDescent="0.3">
      <c r="A30" s="15"/>
      <c r="B30" s="295" t="s">
        <v>645</v>
      </c>
      <c r="C30" s="437"/>
      <c r="D30" s="438">
        <f>F30+P30+X30+Z30+AB30</f>
        <v>0</v>
      </c>
      <c r="E30" s="16" t="s">
        <v>58</v>
      </c>
      <c r="F30" s="297">
        <f>'City Overview'!M29</f>
        <v>-1</v>
      </c>
      <c r="G30" s="3"/>
      <c r="H30" s="3"/>
      <c r="I30" s="3"/>
      <c r="J30" s="3"/>
      <c r="K30" s="3"/>
      <c r="L30" s="3"/>
      <c r="M30" s="3"/>
      <c r="N30" s="3"/>
      <c r="O30" s="3" t="s">
        <v>59</v>
      </c>
      <c r="P30" s="126">
        <f>IF(F4="Good",1,0)</f>
        <v>1</v>
      </c>
      <c r="Q30" s="3"/>
      <c r="R30" s="3"/>
      <c r="S30" s="3"/>
      <c r="T30" s="3"/>
      <c r="U30" s="3"/>
      <c r="V30" s="3"/>
      <c r="W30" s="3" t="s">
        <v>59</v>
      </c>
      <c r="X30" s="126">
        <f>IF($D$6="",0,VLOOKUP($D$6,'Drop Down'!$O$52:$V$60,8,FALSE))</f>
        <v>0</v>
      </c>
      <c r="Y30" s="16" t="s">
        <v>59</v>
      </c>
      <c r="Z30" s="39"/>
      <c r="AA30" s="499" t="s">
        <v>59</v>
      </c>
      <c r="AB30" s="39"/>
      <c r="AE30" s="14"/>
    </row>
    <row r="31" spans="1:31" ht="3" customHeight="1" x14ac:dyDescent="0.25">
      <c r="A31" s="15"/>
      <c r="B31" s="3"/>
      <c r="C31" s="3"/>
      <c r="D31" s="3"/>
      <c r="E31" s="8"/>
      <c r="F31" s="8"/>
      <c r="G31" s="8"/>
      <c r="H31" s="3"/>
      <c r="I31" s="3"/>
      <c r="J31" s="3"/>
      <c r="K31" s="3"/>
      <c r="L31" s="3"/>
      <c r="M31" s="3"/>
      <c r="N31" s="3"/>
      <c r="O31" s="3"/>
      <c r="P31" s="3"/>
      <c r="Q31" s="3"/>
      <c r="R31" s="3"/>
      <c r="S31" s="3"/>
      <c r="T31" s="3"/>
      <c r="U31" s="3"/>
      <c r="V31" s="3"/>
      <c r="W31" s="3"/>
      <c r="X31" s="3"/>
      <c r="Y31" s="3"/>
      <c r="Z31" s="3"/>
      <c r="AA31" s="3"/>
      <c r="AB31" s="3"/>
      <c r="AC31" s="3"/>
      <c r="AD31" s="3"/>
      <c r="AE31" s="14"/>
    </row>
    <row r="32" spans="1:31" ht="15" customHeight="1" x14ac:dyDescent="0.25">
      <c r="A32" s="15"/>
      <c r="B32" s="711" t="s">
        <v>55</v>
      </c>
      <c r="C32" s="711"/>
      <c r="D32" s="711"/>
      <c r="E32" s="711"/>
      <c r="F32" s="711"/>
      <c r="G32" s="711"/>
      <c r="H32" s="711"/>
      <c r="I32" s="711"/>
      <c r="J32" s="711"/>
      <c r="K32" s="711"/>
      <c r="L32" s="711"/>
      <c r="M32" s="711"/>
      <c r="N32" s="711"/>
      <c r="O32" s="711"/>
      <c r="P32" s="711"/>
      <c r="Q32" s="18"/>
      <c r="R32" s="18"/>
      <c r="S32" s="19"/>
      <c r="T32" s="45" t="s">
        <v>133</v>
      </c>
      <c r="U32" s="18"/>
      <c r="V32" s="18"/>
      <c r="W32" s="18"/>
      <c r="X32" s="18"/>
      <c r="Y32" s="18"/>
      <c r="Z32" s="18"/>
      <c r="AA32" s="18"/>
      <c r="AB32" s="18"/>
      <c r="AC32" s="18"/>
      <c r="AD32" s="18"/>
      <c r="AE32" s="14"/>
    </row>
    <row r="33" spans="1:31" s="1" customFormat="1" ht="5.0999999999999996" customHeight="1" thickBot="1" x14ac:dyDescent="0.3">
      <c r="A33" s="28"/>
      <c r="B33" s="26"/>
      <c r="C33" s="26"/>
      <c r="D33" s="26"/>
      <c r="E33" s="16"/>
      <c r="F33" s="16"/>
      <c r="G33" s="16"/>
      <c r="H33" s="16"/>
      <c r="I33" s="16"/>
      <c r="J33" s="16"/>
      <c r="K33" s="16"/>
      <c r="L33" s="16"/>
      <c r="M33" s="16"/>
      <c r="N33" s="16"/>
      <c r="O33" s="8"/>
      <c r="P33" s="20"/>
      <c r="Q33" s="19"/>
      <c r="R33" s="19"/>
      <c r="S33" s="19"/>
      <c r="T33" s="19"/>
      <c r="U33" s="19"/>
      <c r="V33" s="19"/>
      <c r="W33" s="19"/>
      <c r="X33" s="19"/>
      <c r="Y33" s="19"/>
      <c r="Z33" s="19"/>
      <c r="AA33" s="19"/>
      <c r="AB33" s="19"/>
      <c r="AC33" s="19"/>
      <c r="AD33" s="19"/>
      <c r="AE33" s="17"/>
    </row>
    <row r="34" spans="1:31" ht="15.75" thickBot="1" x14ac:dyDescent="0.3">
      <c r="A34" s="15"/>
      <c r="B34" s="495" t="s">
        <v>77</v>
      </c>
      <c r="C34" s="495"/>
      <c r="D34" s="521" t="s">
        <v>425</v>
      </c>
      <c r="E34" s="21"/>
      <c r="F34" s="523" t="s">
        <v>1419</v>
      </c>
      <c r="G34" s="21"/>
      <c r="H34" s="713" t="s">
        <v>78</v>
      </c>
      <c r="I34" s="713"/>
      <c r="J34" s="713"/>
      <c r="K34" s="22"/>
      <c r="L34" s="495" t="s">
        <v>79</v>
      </c>
      <c r="M34" s="3"/>
      <c r="N34" s="495" t="s">
        <v>80</v>
      </c>
      <c r="O34" s="3"/>
      <c r="P34" s="708" t="s">
        <v>258</v>
      </c>
      <c r="Q34" s="709"/>
      <c r="R34" s="709"/>
      <c r="S34" s="709"/>
      <c r="T34" s="709"/>
      <c r="U34" s="709"/>
      <c r="V34" s="710"/>
      <c r="W34" s="3"/>
      <c r="X34" s="712" t="s">
        <v>447</v>
      </c>
      <c r="Y34" s="712"/>
      <c r="Z34" s="712"/>
      <c r="AA34" s="712"/>
      <c r="AB34" s="712"/>
      <c r="AC34" s="712"/>
      <c r="AD34" s="712"/>
      <c r="AE34" s="14"/>
    </row>
    <row r="35" spans="1:31" s="61" customFormat="1" ht="3" customHeight="1" thickBot="1" x14ac:dyDescent="0.3">
      <c r="A35" s="96"/>
      <c r="B35" s="500"/>
      <c r="C35" s="500"/>
      <c r="D35" s="500"/>
      <c r="E35" s="298"/>
      <c r="F35" s="298"/>
      <c r="G35" s="298"/>
      <c r="H35" s="499"/>
      <c r="I35" s="499"/>
      <c r="J35" s="499"/>
      <c r="K35" s="499"/>
      <c r="L35" s="499"/>
      <c r="M35" s="499"/>
      <c r="N35" s="499"/>
      <c r="O35" s="499"/>
      <c r="P35" s="499"/>
      <c r="Q35" s="499"/>
      <c r="R35" s="499"/>
      <c r="S35" s="499"/>
      <c r="T35" s="499"/>
      <c r="U35" s="499"/>
      <c r="V35" s="499"/>
      <c r="W35" s="499"/>
      <c r="X35" s="499"/>
      <c r="Y35" s="499"/>
      <c r="Z35" s="499"/>
      <c r="AA35" s="499"/>
      <c r="AB35" s="499"/>
      <c r="AC35" s="499"/>
      <c r="AD35" s="499"/>
      <c r="AE35" s="97"/>
    </row>
    <row r="36" spans="1:31" s="336" customFormat="1" ht="16.5" thickBot="1" x14ac:dyDescent="0.3">
      <c r="A36" s="332"/>
      <c r="B36" s="27" t="s">
        <v>67</v>
      </c>
      <c r="C36" s="3"/>
      <c r="D36" s="413" t="str">
        <f>IF($H36&lt;&gt;"",IF(VLOOKUP($H36,Rulers!$B$4:$G$55,5,FALSE)&lt;&gt;"",VLOOKUP($H36,Rulers!$B$4:$G$55,5,FALSE),IF(VLOOKUP($H36,Rulers!$B$4:$G$55,3,FALSE)&lt;&gt;"",VLOOKUP($H36,Rulers!$B$4:$G$55,3,FALSE),"")),"")</f>
        <v>Baroness</v>
      </c>
      <c r="E36" s="349"/>
      <c r="F36" s="413" t="str">
        <f>IF($H36&lt;&gt;"",IF(VLOOKUP($H36,Rulers!$B$4:$G$55,6,FALSE)&lt;&gt;"",VLOOKUP($H36,Rulers!$B$4:$G$55,6,FALSE),IF(VLOOKUP($H36,Rulers!$B$4:$G$55,4,FALSE)&lt;&gt;"",VLOOKUP($H36,Rulers!$B$4:$G$55,4,FALSE),"")),"")</f>
        <v>Her Ladyship</v>
      </c>
      <c r="G36" s="349"/>
      <c r="H36" s="684" t="s">
        <v>1858</v>
      </c>
      <c r="I36" s="685"/>
      <c r="J36" s="686"/>
      <c r="K36" s="424"/>
      <c r="L36" s="426">
        <f>IF(ISBLANK(H36),0,VLOOKUP(H36,Rulers!$B$4:$DL$55,102,FALSE))</f>
        <v>3</v>
      </c>
      <c r="M36" s="334"/>
      <c r="N36" s="40" t="s">
        <v>49</v>
      </c>
      <c r="O36" s="334"/>
      <c r="P36" s="40"/>
      <c r="Q36" s="334"/>
      <c r="R36" s="40"/>
      <c r="S36" s="334"/>
      <c r="T36" s="494" t="s">
        <v>62</v>
      </c>
      <c r="U36" s="333"/>
      <c r="V36" s="40"/>
      <c r="W36" s="334"/>
      <c r="X36" s="695"/>
      <c r="Y36" s="696"/>
      <c r="Z36" s="696"/>
      <c r="AA36" s="696"/>
      <c r="AB36" s="696"/>
      <c r="AC36" s="696"/>
      <c r="AD36" s="697"/>
      <c r="AE36" s="335"/>
    </row>
    <row r="37" spans="1:31" s="61" customFormat="1" ht="3" customHeight="1" thickBot="1" x14ac:dyDescent="0.3">
      <c r="A37" s="96"/>
      <c r="B37" s="98"/>
      <c r="C37" s="3"/>
      <c r="D37" s="198"/>
      <c r="E37" s="350"/>
      <c r="F37" s="525"/>
      <c r="G37" s="350"/>
      <c r="H37" s="227"/>
      <c r="I37" s="227"/>
      <c r="J37" s="227"/>
      <c r="K37" s="202"/>
      <c r="L37" s="227"/>
      <c r="M37" s="499"/>
      <c r="N37" s="499"/>
      <c r="O37" s="499"/>
      <c r="P37" s="499"/>
      <c r="Q37" s="499"/>
      <c r="R37" s="499"/>
      <c r="S37" s="499"/>
      <c r="T37" s="499"/>
      <c r="U37" s="499"/>
      <c r="V37" s="499"/>
      <c r="W37" s="499"/>
      <c r="X37" s="499"/>
      <c r="Y37" s="499"/>
      <c r="Z37" s="499"/>
      <c r="AA37" s="499"/>
      <c r="AB37" s="499"/>
      <c r="AC37" s="499"/>
      <c r="AD37" s="499"/>
      <c r="AE37" s="97"/>
    </row>
    <row r="38" spans="1:31" s="336" customFormat="1" ht="16.5" thickBot="1" x14ac:dyDescent="0.3">
      <c r="A38" s="332"/>
      <c r="B38" s="27" t="s">
        <v>67</v>
      </c>
      <c r="C38" s="3"/>
      <c r="D38" s="413" t="str">
        <f>IF($H38&lt;&gt;"",IF(VLOOKUP($H38,Rulers!$B$4:$G$55,5,FALSE)&lt;&gt;"",VLOOKUP($H38,Rulers!$B$4:$G$55,5,FALSE),IF(VLOOKUP($H38,Rulers!$B$4:$G$55,3,FALSE)&lt;&gt;"",VLOOKUP($H38,Rulers!$B$4:$G$55,3,FALSE),"")),"")</f>
        <v/>
      </c>
      <c r="E38" s="349"/>
      <c r="F38" s="413" t="str">
        <f>IF($H38&lt;&gt;"",IF(VLOOKUP($H38,Rulers!$B$4:$G$55,6,FALSE)&lt;&gt;"",VLOOKUP($H38,Rulers!$B$4:$G$55,6,FALSE),IF(VLOOKUP($H38,Rulers!$B$4:$G$55,4,FALSE)&lt;&gt;"",VLOOKUP($H38,Rulers!$B$4:$G$55,4,FALSE),"")),"")</f>
        <v/>
      </c>
      <c r="G38" s="349"/>
      <c r="H38" s="684"/>
      <c r="I38" s="685"/>
      <c r="J38" s="686"/>
      <c r="K38" s="424"/>
      <c r="L38" s="426">
        <f>IF(ISBLANK(H38),0,VLOOKUP(H38,Rulers!$B$4:$DL$55,102,FALSE))</f>
        <v>0</v>
      </c>
      <c r="M38" s="334"/>
      <c r="N38" s="40"/>
      <c r="O38" s="334"/>
      <c r="P38" s="40"/>
      <c r="Q38" s="334"/>
      <c r="R38" s="40"/>
      <c r="S38" s="334"/>
      <c r="T38" s="494" t="s">
        <v>381</v>
      </c>
      <c r="U38" s="333"/>
      <c r="V38" s="337" t="str">
        <f>IF(Kingdom!D16&gt;0,CONCATENATE("+",Kingdom!D16),"")</f>
        <v>+2</v>
      </c>
      <c r="W38" s="334"/>
      <c r="X38" s="695"/>
      <c r="Y38" s="696"/>
      <c r="Z38" s="696"/>
      <c r="AA38" s="696"/>
      <c r="AB38" s="696"/>
      <c r="AC38" s="696"/>
      <c r="AD38" s="697"/>
      <c r="AE38" s="335"/>
    </row>
    <row r="39" spans="1:31" s="61" customFormat="1" ht="3" customHeight="1" thickBot="1" x14ac:dyDescent="0.3">
      <c r="A39" s="96"/>
      <c r="B39" s="98"/>
      <c r="C39" s="3"/>
      <c r="D39" s="198"/>
      <c r="E39" s="350"/>
      <c r="F39" s="525"/>
      <c r="G39" s="350"/>
      <c r="H39" s="227"/>
      <c r="I39" s="227"/>
      <c r="J39" s="227"/>
      <c r="K39" s="202"/>
      <c r="L39" s="227"/>
      <c r="M39" s="499"/>
      <c r="N39" s="499"/>
      <c r="O39" s="499"/>
      <c r="P39" s="499"/>
      <c r="Q39" s="499"/>
      <c r="R39" s="499"/>
      <c r="S39" s="499"/>
      <c r="T39" s="499"/>
      <c r="U39" s="499"/>
      <c r="V39" s="499"/>
      <c r="W39" s="499"/>
      <c r="X39" s="499"/>
      <c r="Y39" s="499"/>
      <c r="Z39" s="499"/>
      <c r="AA39" s="499"/>
      <c r="AB39" s="499"/>
      <c r="AC39" s="499"/>
      <c r="AD39" s="499"/>
      <c r="AE39" s="97"/>
    </row>
    <row r="40" spans="1:31" s="336" customFormat="1" ht="16.5" thickBot="1" x14ac:dyDescent="0.3">
      <c r="A40" s="332"/>
      <c r="B40" s="27" t="s">
        <v>309</v>
      </c>
      <c r="C40" s="3"/>
      <c r="D40" s="413" t="str">
        <f>IF($H40&lt;&gt;"",IF(VLOOKUP($H40,Rulers!$B$4:$G$55,5,FALSE)&lt;&gt;"",VLOOKUP($H40,Rulers!$B$4:$G$55,5,FALSE),IF(VLOOKUP($H40,Rulers!$B$4:$G$55,3,FALSE)&lt;&gt;"",VLOOKUP($H40,Rulers!$B$4:$G$55,3,FALSE),"")),"")</f>
        <v/>
      </c>
      <c r="E40" s="351"/>
      <c r="F40" s="413" t="str">
        <f>IF($H40&lt;&gt;"",IF(VLOOKUP($H40,Rulers!$B$4:$G$55,6,FALSE)&lt;&gt;"",VLOOKUP($H40,Rulers!$B$4:$G$55,6,FALSE),IF(VLOOKUP($H40,Rulers!$B$4:$G$55,4,FALSE)&lt;&gt;"",VLOOKUP($H40,Rulers!$B$4:$G$55,4,FALSE),"")),"")</f>
        <v/>
      </c>
      <c r="G40" s="351"/>
      <c r="H40" s="684"/>
      <c r="I40" s="685"/>
      <c r="J40" s="686"/>
      <c r="K40" s="425"/>
      <c r="L40" s="426">
        <f>IF(ISBLANK(H40),0,VLOOKUP(H40,Rulers!$B$4:$DL$55,103,FALSE))</f>
        <v>0</v>
      </c>
      <c r="M40" s="338"/>
      <c r="N40" s="339" t="s">
        <v>50</v>
      </c>
      <c r="O40" s="334"/>
      <c r="P40" s="712" t="s">
        <v>236</v>
      </c>
      <c r="Q40" s="712"/>
      <c r="R40" s="712"/>
      <c r="S40" s="334"/>
      <c r="T40" s="494" t="s">
        <v>85</v>
      </c>
      <c r="U40" s="334"/>
      <c r="V40" s="337">
        <f>Kingdom!D12+'City Summary'!H6+'City Summary'!Q6+'City Summary'!H38+'City Summary'!Q38+'City Summary'!H70+'City Summary'!Q70+'City Summary'!H102+'City Summary'!Q102+'City Summary'!H134+'City Summary'!Q134+'City Summary'!H166+'City Summary'!Q166+'City Summary'!H198+'City Summary'!Q198+'City Summary'!H230+'City Summary'!Q230+'City Summary'!H262+'City Summary'!Q262+'City Summary'!H294+'City Summary'!Q294+'City Summary'!H326+'City Summary'!Q326+'City Summary'!H358+'City Summary'!Q358+'City Summary'!H390</f>
        <v>0</v>
      </c>
      <c r="W40" s="334"/>
      <c r="X40" s="695"/>
      <c r="Y40" s="696"/>
      <c r="Z40" s="696"/>
      <c r="AA40" s="696"/>
      <c r="AB40" s="696"/>
      <c r="AC40" s="696"/>
      <c r="AD40" s="697"/>
      <c r="AE40" s="335"/>
    </row>
    <row r="41" spans="1:31" s="61" customFormat="1" ht="3" customHeight="1" thickBot="1" x14ac:dyDescent="0.3">
      <c r="A41" s="96"/>
      <c r="B41" s="98"/>
      <c r="C41" s="3"/>
      <c r="D41" s="198"/>
      <c r="E41" s="350"/>
      <c r="F41" s="525"/>
      <c r="G41" s="350"/>
      <c r="H41" s="227"/>
      <c r="I41" s="227"/>
      <c r="J41" s="227"/>
      <c r="K41" s="202"/>
      <c r="L41" s="227"/>
      <c r="M41" s="499"/>
      <c r="N41" s="499"/>
      <c r="O41" s="499"/>
      <c r="P41" s="499"/>
      <c r="Q41" s="499"/>
      <c r="R41" s="499"/>
      <c r="S41" s="499"/>
      <c r="T41" s="499"/>
      <c r="U41" s="499"/>
      <c r="V41" s="499"/>
      <c r="W41" s="499"/>
      <c r="X41" s="499"/>
      <c r="Y41" s="499"/>
      <c r="Z41" s="499"/>
      <c r="AA41" s="499"/>
      <c r="AB41" s="499"/>
      <c r="AC41" s="499"/>
      <c r="AD41" s="499"/>
      <c r="AE41" s="97"/>
    </row>
    <row r="42" spans="1:31" s="336" customFormat="1" ht="16.5" thickBot="1" x14ac:dyDescent="0.3">
      <c r="A42" s="332"/>
      <c r="B42" s="27" t="s">
        <v>68</v>
      </c>
      <c r="C42" s="3"/>
      <c r="D42" s="413" t="str">
        <f>IF($H42&lt;&gt;"",IF(VLOOKUP($H42,Rulers!$B$4:$G$55,5,FALSE)&lt;&gt;"",VLOOKUP($H42,Rulers!$B$4:$G$55,5,FALSE),IF(VLOOKUP($H42,Rulers!$B$4:$G$55,3,FALSE)&lt;&gt;"",VLOOKUP($H42,Rulers!$B$4:$G$55,3,FALSE),"")),"")</f>
        <v>Landed Knight</v>
      </c>
      <c r="E42" s="349"/>
      <c r="F42" s="413" t="str">
        <f>IF($H42&lt;&gt;"",IF(VLOOKUP($H42,Rulers!$B$4:$G$55,6,FALSE)&lt;&gt;"",VLOOKUP($H42,Rulers!$B$4:$G$55,6,FALSE),IF(VLOOKUP($H42,Rulers!$B$4:$G$55,4,FALSE)&lt;&gt;"",VLOOKUP($H42,Rulers!$B$4:$G$55,4,FALSE),"")),"")</f>
        <v>Sir</v>
      </c>
      <c r="G42" s="349"/>
      <c r="H42" s="684" t="s">
        <v>1861</v>
      </c>
      <c r="I42" s="685"/>
      <c r="J42" s="686"/>
      <c r="K42" s="424"/>
      <c r="L42" s="426">
        <f>IF(ISBLANK(H42),0,VLOOKUP(H42,Rulers!$B$4:$DL$55,104,FALSE))</f>
        <v>2</v>
      </c>
      <c r="M42" s="334"/>
      <c r="N42" s="339" t="s">
        <v>50</v>
      </c>
      <c r="O42" s="334"/>
      <c r="P42" s="687" t="str">
        <f>IF((IF(OR(H36&lt;&gt;0,H38&lt;&gt;0,H40&lt;&gt;0,H48&lt;&gt;0),0,4)+IF(H42=0,1,0)+IF(H50=0,1,0)+IF(H58=0,1,0))&lt;0,0,CONCATENATE("+",(IF(OR(H36&lt;&gt;0,H38&lt;&gt;0,H40&lt;&gt;0,H48&lt;&gt;0),0,4)+IF(H42=0,1,0)+IF(H50=0,1,0)+IF(H58=0,1,0))))</f>
        <v>+0</v>
      </c>
      <c r="Q42" s="688"/>
      <c r="R42" s="689"/>
      <c r="S42" s="334"/>
      <c r="T42" s="494" t="s">
        <v>57</v>
      </c>
      <c r="U42" s="334"/>
      <c r="V42" s="40"/>
      <c r="W42" s="334"/>
      <c r="X42" s="695"/>
      <c r="Y42" s="696"/>
      <c r="Z42" s="696"/>
      <c r="AA42" s="696"/>
      <c r="AB42" s="696"/>
      <c r="AC42" s="696"/>
      <c r="AD42" s="697"/>
      <c r="AE42" s="335"/>
    </row>
    <row r="43" spans="1:31" s="61" customFormat="1" ht="3" customHeight="1" thickBot="1" x14ac:dyDescent="0.3">
      <c r="A43" s="96"/>
      <c r="B43" s="98"/>
      <c r="C43" s="3"/>
      <c r="D43" s="198"/>
      <c r="E43" s="350"/>
      <c r="F43" s="525"/>
      <c r="G43" s="350"/>
      <c r="H43" s="227"/>
      <c r="I43" s="227"/>
      <c r="J43" s="227"/>
      <c r="K43" s="202"/>
      <c r="L43" s="227"/>
      <c r="M43" s="499"/>
      <c r="N43" s="499"/>
      <c r="O43" s="499"/>
      <c r="P43" s="499"/>
      <c r="Q43" s="499"/>
      <c r="R43" s="499"/>
      <c r="S43" s="499"/>
      <c r="T43" s="499"/>
      <c r="U43" s="499"/>
      <c r="V43" s="499"/>
      <c r="W43" s="499"/>
      <c r="X43" s="499"/>
      <c r="Y43" s="499"/>
      <c r="Z43" s="499"/>
      <c r="AA43" s="499"/>
      <c r="AB43" s="499"/>
      <c r="AC43" s="499"/>
      <c r="AD43" s="499"/>
      <c r="AE43" s="97"/>
    </row>
    <row r="44" spans="1:31" s="336" customFormat="1" ht="16.5" thickBot="1" x14ac:dyDescent="0.3">
      <c r="A44" s="332"/>
      <c r="B44" s="27" t="s">
        <v>69</v>
      </c>
      <c r="C44" s="3"/>
      <c r="D44" s="413" t="str">
        <f>IF($H44&lt;&gt;"",IF(VLOOKUP($H44,Rulers!$B$4:$G$55,5,FALSE)&lt;&gt;"",VLOOKUP($H44,Rulers!$B$4:$G$55,5,FALSE),IF(VLOOKUP($H44,Rulers!$B$4:$G$55,3,FALSE)&lt;&gt;"",VLOOKUP($H44,Rulers!$B$4:$G$55,3,FALSE),"")),"")</f>
        <v>Landed Knight</v>
      </c>
      <c r="E44" s="349"/>
      <c r="F44" s="413" t="str">
        <f>IF($H44&lt;&gt;"",IF(VLOOKUP($H44,Rulers!$B$4:$G$55,6,FALSE)&lt;&gt;"",VLOOKUP($H44,Rulers!$B$4:$G$55,6,FALSE),IF(VLOOKUP($H44,Rulers!$B$4:$G$55,4,FALSE)&lt;&gt;"",VLOOKUP($H44,Rulers!$B$4:$G$55,4,FALSE),"")),"")</f>
        <v>Sir</v>
      </c>
      <c r="G44" s="349"/>
      <c r="H44" s="690" t="s">
        <v>1860</v>
      </c>
      <c r="I44" s="691"/>
      <c r="J44" s="692"/>
      <c r="K44" s="424"/>
      <c r="L44" s="426">
        <f>IF(ISBLANK(H44),0,VLOOKUP(H44,Rulers!$B$4:$DL$55,105,FALSE))</f>
        <v>2</v>
      </c>
      <c r="M44" s="334"/>
      <c r="N44" s="340" t="s">
        <v>51</v>
      </c>
      <c r="O44" s="334"/>
      <c r="P44" s="338"/>
      <c r="Q44" s="338"/>
      <c r="R44" s="701" t="s">
        <v>1271</v>
      </c>
      <c r="S44" s="701"/>
      <c r="T44" s="701"/>
      <c r="U44" s="338"/>
      <c r="V44" s="337">
        <f>VLOOKUP(R60,'Drop Down'!$O$80:$R$84,4,FALSE)</f>
        <v>3</v>
      </c>
      <c r="W44" s="338"/>
      <c r="X44" s="338"/>
      <c r="Y44" s="338"/>
      <c r="Z44" s="338"/>
      <c r="AA44" s="338"/>
      <c r="AB44" s="338"/>
      <c r="AC44" s="338"/>
      <c r="AD44" s="338"/>
      <c r="AE44" s="335"/>
    </row>
    <row r="45" spans="1:31" s="61" customFormat="1" ht="3" customHeight="1" thickBot="1" x14ac:dyDescent="0.3">
      <c r="A45" s="96"/>
      <c r="B45" s="98"/>
      <c r="C45" s="3"/>
      <c r="D45" s="198"/>
      <c r="E45" s="350"/>
      <c r="F45" s="525"/>
      <c r="G45" s="350"/>
      <c r="H45" s="227"/>
      <c r="I45" s="524"/>
      <c r="J45" s="227"/>
      <c r="K45" s="202"/>
      <c r="L45" s="227"/>
      <c r="M45" s="499"/>
      <c r="N45" s="499"/>
      <c r="O45" s="499"/>
      <c r="P45" s="499"/>
      <c r="Q45" s="499"/>
      <c r="R45" s="499"/>
      <c r="S45" s="499"/>
      <c r="T45" s="499"/>
      <c r="U45" s="499"/>
      <c r="V45" s="499"/>
      <c r="W45" s="499"/>
      <c r="X45" s="499"/>
      <c r="Y45" s="499"/>
      <c r="Z45" s="499"/>
      <c r="AA45" s="499"/>
      <c r="AB45" s="499"/>
      <c r="AC45" s="499"/>
      <c r="AD45" s="499"/>
      <c r="AE45" s="97"/>
    </row>
    <row r="46" spans="1:31" s="336" customFormat="1" ht="16.5" thickBot="1" x14ac:dyDescent="0.3">
      <c r="A46" s="332"/>
      <c r="B46" s="27" t="s">
        <v>70</v>
      </c>
      <c r="C46" s="3"/>
      <c r="D46" s="413" t="str">
        <f>IF($H46&lt;&gt;"",IF(VLOOKUP($H46,Rulers!$B$4:$G$55,5,FALSE)&lt;&gt;"",VLOOKUP($H46,Rulers!$B$4:$G$55,5,FALSE),IF(VLOOKUP($H46,Rulers!$B$4:$G$55,3,FALSE)&lt;&gt;"",VLOOKUP($H46,Rulers!$B$4:$G$55,3,FALSE),"")),"")</f>
        <v/>
      </c>
      <c r="E46" s="349"/>
      <c r="F46" s="413" t="str">
        <f>IF($H46&lt;&gt;"",IF(VLOOKUP($H46,Rulers!$B$4:$G$55,6,FALSE)&lt;&gt;"",VLOOKUP($H46,Rulers!$B$4:$G$55,6,FALSE),IF(VLOOKUP($H46,Rulers!$B$4:$G$55,4,FALSE)&lt;&gt;"",VLOOKUP($H46,Rulers!$B$4:$G$55,4,FALSE),"")),"")</f>
        <v/>
      </c>
      <c r="G46" s="349"/>
      <c r="H46" s="684" t="s">
        <v>1865</v>
      </c>
      <c r="I46" s="685"/>
      <c r="J46" s="686"/>
      <c r="K46" s="424"/>
      <c r="L46" s="426">
        <f>IF(ISBLANK(H46),0,VLOOKUP(H46,Rulers!$B$4:$DL$55,106,FALSE))</f>
        <v>3</v>
      </c>
      <c r="M46" s="334"/>
      <c r="N46" s="340" t="s">
        <v>51</v>
      </c>
      <c r="O46" s="334"/>
      <c r="P46" s="705" t="s">
        <v>61</v>
      </c>
      <c r="Q46" s="706"/>
      <c r="R46" s="706"/>
      <c r="S46" s="706"/>
      <c r="T46" s="706"/>
      <c r="U46" s="706"/>
      <c r="V46" s="706"/>
      <c r="W46" s="706"/>
      <c r="X46" s="706"/>
      <c r="Y46" s="706"/>
      <c r="Z46" s="706"/>
      <c r="AA46" s="706"/>
      <c r="AB46" s="706"/>
      <c r="AC46" s="706"/>
      <c r="AD46" s="707"/>
      <c r="AE46" s="335"/>
    </row>
    <row r="47" spans="1:31" s="61" customFormat="1" ht="3" customHeight="1" thickBot="1" x14ac:dyDescent="0.3">
      <c r="A47" s="96"/>
      <c r="B47" s="98"/>
      <c r="C47" s="3"/>
      <c r="D47" s="198"/>
      <c r="E47" s="350"/>
      <c r="F47" s="525"/>
      <c r="G47" s="350"/>
      <c r="H47" s="227"/>
      <c r="I47" s="227"/>
      <c r="J47" s="227"/>
      <c r="K47" s="202"/>
      <c r="L47" s="227"/>
      <c r="M47" s="499"/>
      <c r="N47" s="499"/>
      <c r="O47" s="499"/>
      <c r="P47" s="499"/>
      <c r="Q47" s="499"/>
      <c r="R47" s="499"/>
      <c r="S47" s="499"/>
      <c r="T47" s="499"/>
      <c r="U47" s="499"/>
      <c r="V47" s="499"/>
      <c r="W47" s="499"/>
      <c r="X47" s="499"/>
      <c r="Y47" s="499"/>
      <c r="Z47" s="499"/>
      <c r="AA47" s="499"/>
      <c r="AB47" s="499"/>
      <c r="AC47" s="499"/>
      <c r="AD47" s="499"/>
      <c r="AE47" s="97"/>
    </row>
    <row r="48" spans="1:31" s="336" customFormat="1" ht="16.5" thickBot="1" x14ac:dyDescent="0.3">
      <c r="A48" s="332"/>
      <c r="B48" s="27" t="s">
        <v>310</v>
      </c>
      <c r="C48" s="3"/>
      <c r="D48" s="413" t="str">
        <f>IF($H48&lt;&gt;"",IF(VLOOKUP($H48,Rulers!$B$4:$G$55,5,FALSE)&lt;&gt;"",VLOOKUP($H48,Rulers!$B$4:$G$55,5,FALSE),IF(VLOOKUP($H48,Rulers!$B$4:$G$55,3,FALSE)&lt;&gt;"",VLOOKUP($H48,Rulers!$B$4:$G$55,3,FALSE),"")),"")</f>
        <v/>
      </c>
      <c r="E48" s="351"/>
      <c r="F48" s="413" t="str">
        <f>IF($H48&lt;&gt;"",IF(VLOOKUP($H48,Rulers!$B$4:$G$55,6,FALSE)&lt;&gt;"",VLOOKUP($H48,Rulers!$B$4:$G$55,6,FALSE),IF(VLOOKUP($H48,Rulers!$B$4:$G$55,4,FALSE)&lt;&gt;"",VLOOKUP($H48,Rulers!$B$4:$G$55,4,FALSE),"")),"")</f>
        <v/>
      </c>
      <c r="G48" s="351"/>
      <c r="H48" s="684"/>
      <c r="I48" s="685"/>
      <c r="J48" s="686"/>
      <c r="K48" s="425"/>
      <c r="L48" s="426">
        <f>IF(ISBLANK(H48),0,VLOOKUP(H48,Rulers!$B$4:$DL$55,107,FALSE))</f>
        <v>0</v>
      </c>
      <c r="M48" s="338"/>
      <c r="N48" s="339" t="s">
        <v>50</v>
      </c>
      <c r="O48" s="334"/>
      <c r="P48" s="341" t="s">
        <v>52</v>
      </c>
      <c r="Q48" s="334"/>
      <c r="R48" s="341" t="s">
        <v>43</v>
      </c>
      <c r="S48" s="334"/>
      <c r="T48" s="341" t="s">
        <v>60</v>
      </c>
      <c r="U48" s="334"/>
      <c r="V48" s="341" t="s">
        <v>53</v>
      </c>
      <c r="W48" s="334"/>
      <c r="X48" s="341" t="s">
        <v>327</v>
      </c>
      <c r="Y48" s="341"/>
      <c r="Z48" s="341" t="s">
        <v>597</v>
      </c>
      <c r="AA48" s="341"/>
      <c r="AB48" s="341" t="s">
        <v>1099</v>
      </c>
      <c r="AC48" s="334"/>
      <c r="AD48" s="334"/>
      <c r="AE48" s="335"/>
    </row>
    <row r="49" spans="1:31" s="61" customFormat="1" ht="3" customHeight="1" thickBot="1" x14ac:dyDescent="0.3">
      <c r="A49" s="96"/>
      <c r="B49" s="98"/>
      <c r="C49" s="3"/>
      <c r="D49" s="198"/>
      <c r="E49" s="350"/>
      <c r="F49" s="525"/>
      <c r="G49" s="350"/>
      <c r="H49" s="227"/>
      <c r="I49" s="227"/>
      <c r="J49" s="227"/>
      <c r="K49" s="202"/>
      <c r="L49" s="227"/>
      <c r="M49" s="499"/>
      <c r="N49" s="499"/>
      <c r="O49" s="499"/>
      <c r="P49" s="499"/>
      <c r="Q49" s="499"/>
      <c r="R49" s="499"/>
      <c r="S49" s="499"/>
      <c r="T49" s="499"/>
      <c r="U49" s="499"/>
      <c r="V49" s="499"/>
      <c r="W49" s="499"/>
      <c r="X49" s="499"/>
      <c r="Y49" s="499"/>
      <c r="Z49" s="499"/>
      <c r="AA49" s="499"/>
      <c r="AB49" s="499"/>
      <c r="AC49" s="499"/>
      <c r="AD49" s="499"/>
      <c r="AE49" s="97"/>
    </row>
    <row r="50" spans="1:31" s="336" customFormat="1" ht="16.5" thickBot="1" x14ac:dyDescent="0.3">
      <c r="A50" s="332"/>
      <c r="B50" s="27" t="s">
        <v>71</v>
      </c>
      <c r="C50" s="3"/>
      <c r="D50" s="413" t="str">
        <f>IF($H50&lt;&gt;"",IF(VLOOKUP($H50,Rulers!$B$4:$G$55,5,FALSE)&lt;&gt;"",VLOOKUP($H50,Rulers!$B$4:$G$55,5,FALSE),IF(VLOOKUP($H50,Rulers!$B$4:$G$55,3,FALSE)&lt;&gt;"",VLOOKUP($H50,Rulers!$B$4:$G$55,3,FALSE),"")),"")</f>
        <v/>
      </c>
      <c r="E50" s="349"/>
      <c r="F50" s="413" t="str">
        <f>IF($H50&lt;&gt;"",IF(VLOOKUP($H50,Rulers!$B$4:$G$55,6,FALSE)&lt;&gt;"",VLOOKUP($H50,Rulers!$B$4:$G$55,6,FALSE),IF(VLOOKUP($H50,Rulers!$B$4:$G$55,4,FALSE)&lt;&gt;"",VLOOKUP($H50,Rulers!$B$4:$G$55,4,FALSE),"")),"")</f>
        <v/>
      </c>
      <c r="G50" s="349"/>
      <c r="H50" s="690" t="s">
        <v>1872</v>
      </c>
      <c r="I50" s="691"/>
      <c r="J50" s="692"/>
      <c r="K50" s="424"/>
      <c r="L50" s="426">
        <f>IF(ISBLANK(H50),0,VLOOKUP(H50,Rulers!$B$4:$DL$55,108,FALSE))</f>
        <v>3</v>
      </c>
      <c r="M50" s="334"/>
      <c r="N50" s="340" t="s">
        <v>51</v>
      </c>
      <c r="O50" s="334"/>
      <c r="P50" s="342" t="str">
        <f>IF(V50&lt;&gt;0,CONCATENATE((R50+T50+X50+Z50+AB50),"+",V50),R50+T50+X50+Z50+AB50)</f>
        <v>-2+1d3</v>
      </c>
      <c r="Q50" s="343" t="s">
        <v>58</v>
      </c>
      <c r="R50" s="344">
        <f>Kingdom!D2</f>
        <v>2</v>
      </c>
      <c r="S50" s="343" t="s">
        <v>59</v>
      </c>
      <c r="T50" s="606">
        <f>'City Overview'!G27+'City Overview'!F27</f>
        <v>0</v>
      </c>
      <c r="U50" s="343" t="s">
        <v>59</v>
      </c>
      <c r="V50" s="344" t="str">
        <f>IF(Z58&lt;&gt;0,IF(Z62&lt;&gt;0,CONCATENATE((Z60+Z64+Endowment!L34),"+",Z58,"+",Z62),Z58),Z62)</f>
        <v>1d3</v>
      </c>
      <c r="W50" s="343" t="s">
        <v>59</v>
      </c>
      <c r="X50" s="344">
        <f>Kingdom!D14</f>
        <v>-4</v>
      </c>
      <c r="Y50" s="3" t="s">
        <v>59</v>
      </c>
      <c r="Z50" s="345">
        <f>'Army Summary'!I80*4</f>
        <v>0</v>
      </c>
      <c r="AA50" s="346" t="s">
        <v>59</v>
      </c>
      <c r="AB50" s="40"/>
      <c r="AC50" s="334"/>
      <c r="AD50" s="334"/>
      <c r="AE50" s="335"/>
    </row>
    <row r="51" spans="1:31" s="61" customFormat="1" ht="3" customHeight="1" thickBot="1" x14ac:dyDescent="0.3">
      <c r="A51" s="96"/>
      <c r="B51" s="98"/>
      <c r="C51" s="3"/>
      <c r="D51" s="198"/>
      <c r="E51" s="350"/>
      <c r="F51" s="525"/>
      <c r="G51" s="350"/>
      <c r="H51" s="227"/>
      <c r="I51" s="227"/>
      <c r="J51" s="227"/>
      <c r="K51" s="202"/>
      <c r="L51" s="227"/>
      <c r="M51" s="499"/>
      <c r="N51" s="499"/>
      <c r="O51" s="499"/>
      <c r="P51" s="499"/>
      <c r="Q51" s="499"/>
      <c r="R51" s="499"/>
      <c r="S51" s="499"/>
      <c r="T51" s="499"/>
      <c r="U51" s="499"/>
      <c r="V51" s="499"/>
      <c r="W51" s="499"/>
      <c r="X51" s="499"/>
      <c r="Y51" s="499"/>
      <c r="Z51" s="499"/>
      <c r="AA51" s="499"/>
      <c r="AB51" s="499"/>
      <c r="AC51" s="499"/>
      <c r="AD51" s="298"/>
      <c r="AE51" s="97"/>
    </row>
    <row r="52" spans="1:31" s="336" customFormat="1" ht="16.5" thickBot="1" x14ac:dyDescent="0.3">
      <c r="A52" s="332"/>
      <c r="B52" s="27" t="s">
        <v>72</v>
      </c>
      <c r="C52" s="3"/>
      <c r="D52" s="413" t="str">
        <f>IF($H52&lt;&gt;"",IF(VLOOKUP($H52,Rulers!$B$4:$G$55,5,FALSE)&lt;&gt;"",VLOOKUP($H52,Rulers!$B$4:$G$55,5,FALSE),IF(VLOOKUP($H52,Rulers!$B$4:$G$55,3,FALSE)&lt;&gt;"",VLOOKUP($H52,Rulers!$B$4:$G$55,3,FALSE),"")),"")</f>
        <v/>
      </c>
      <c r="E52" s="349"/>
      <c r="F52" s="413" t="str">
        <f>IF($H52&lt;&gt;"",IF(VLOOKUP($H52,Rulers!$B$4:$G$55,6,FALSE)&lt;&gt;"",VLOOKUP($H52,Rulers!$B$4:$G$55,6,FALSE),IF(VLOOKUP($H52,Rulers!$B$4:$G$55,4,FALSE)&lt;&gt;"",VLOOKUP($H52,Rulers!$B$4:$G$55,4,FALSE),"")),"")</f>
        <v/>
      </c>
      <c r="G52" s="349"/>
      <c r="H52" s="690" t="s">
        <v>1862</v>
      </c>
      <c r="I52" s="691"/>
      <c r="J52" s="692"/>
      <c r="K52" s="424"/>
      <c r="L52" s="426">
        <f>IF(ISBLANK(H52),0,VLOOKUP(H52,Rulers!$B$4:$DL$55,109,FALSE))</f>
        <v>2</v>
      </c>
      <c r="M52" s="334"/>
      <c r="N52" s="347" t="s">
        <v>49</v>
      </c>
      <c r="O52" s="334"/>
      <c r="P52" s="694" t="s">
        <v>606</v>
      </c>
      <c r="Q52" s="694"/>
      <c r="R52" s="694"/>
      <c r="S52" s="694"/>
      <c r="T52" s="694"/>
      <c r="U52" s="694"/>
      <c r="V52" s="694"/>
      <c r="W52" s="694"/>
      <c r="X52" s="694"/>
      <c r="Y52" s="694"/>
      <c r="Z52" s="694"/>
      <c r="AA52" s="694"/>
      <c r="AB52" s="694"/>
      <c r="AC52" s="694"/>
      <c r="AD52" s="694"/>
      <c r="AE52" s="335"/>
    </row>
    <row r="53" spans="1:31" s="61" customFormat="1" ht="3" customHeight="1" thickBot="1" x14ac:dyDescent="0.3">
      <c r="A53" s="96"/>
      <c r="B53" s="98"/>
      <c r="C53" s="3"/>
      <c r="D53" s="198"/>
      <c r="E53" s="350"/>
      <c r="F53" s="525"/>
      <c r="G53" s="350"/>
      <c r="H53" s="227"/>
      <c r="I53" s="227"/>
      <c r="J53" s="227"/>
      <c r="K53" s="202"/>
      <c r="L53" s="227"/>
      <c r="M53" s="499"/>
      <c r="N53" s="499"/>
      <c r="O53" s="499"/>
      <c r="P53" s="499"/>
      <c r="Q53" s="499"/>
      <c r="R53" s="499"/>
      <c r="S53" s="499"/>
      <c r="T53" s="499"/>
      <c r="U53" s="499"/>
      <c r="V53" s="499"/>
      <c r="W53" s="499"/>
      <c r="X53" s="499"/>
      <c r="Y53" s="499"/>
      <c r="Z53" s="499"/>
      <c r="AA53" s="499"/>
      <c r="AB53" s="499"/>
      <c r="AC53" s="499"/>
      <c r="AD53" s="298"/>
      <c r="AE53" s="97"/>
    </row>
    <row r="54" spans="1:31" s="336" customFormat="1" ht="16.5" thickBot="1" x14ac:dyDescent="0.3">
      <c r="A54" s="332"/>
      <c r="B54" s="27" t="s">
        <v>73</v>
      </c>
      <c r="C54" s="3"/>
      <c r="D54" s="413" t="str">
        <f>IF($H54&lt;&gt;"",IF(VLOOKUP($H54,Rulers!$B$4:$G$55,5,FALSE)&lt;&gt;"",VLOOKUP($H54,Rulers!$B$4:$G$55,5,FALSE),IF(VLOOKUP($H54,Rulers!$B$4:$G$55,3,FALSE)&lt;&gt;"",VLOOKUP($H54,Rulers!$B$4:$G$55,3,FALSE),"")),"")</f>
        <v/>
      </c>
      <c r="E54" s="349"/>
      <c r="F54" s="413" t="str">
        <f>IF($H54&lt;&gt;"",IF(VLOOKUP($H54,Rulers!$B$4:$G$55,6,FALSE)&lt;&gt;"",VLOOKUP($H54,Rulers!$B$4:$G$55,6,FALSE),IF(VLOOKUP($H54,Rulers!$B$4:$G$55,4,FALSE)&lt;&gt;"",VLOOKUP($H54,Rulers!$B$4:$G$55,4,FALSE),"")),"")</f>
        <v/>
      </c>
      <c r="G54" s="349"/>
      <c r="H54" s="690" t="s">
        <v>1876</v>
      </c>
      <c r="I54" s="691"/>
      <c r="J54" s="692"/>
      <c r="K54" s="424"/>
      <c r="L54" s="426">
        <f>IF(ISBLANK(H54),0,VLOOKUP(H54,Rulers!$B$4:$DL$55,110,FALSE))</f>
        <v>4</v>
      </c>
      <c r="M54" s="334"/>
      <c r="N54" s="347" t="s">
        <v>49</v>
      </c>
      <c r="O54" s="334"/>
      <c r="P54" s="693" t="s">
        <v>53</v>
      </c>
      <c r="Q54" s="693"/>
      <c r="R54" s="693"/>
      <c r="S54" s="693"/>
      <c r="T54" s="693"/>
      <c r="U54" s="693"/>
      <c r="V54" s="693"/>
      <c r="W54" s="693"/>
      <c r="X54" s="693"/>
      <c r="Y54" s="693"/>
      <c r="Z54" s="693"/>
      <c r="AA54" s="693"/>
      <c r="AB54" s="693"/>
      <c r="AC54" s="693"/>
      <c r="AD54" s="693"/>
      <c r="AE54" s="335"/>
    </row>
    <row r="55" spans="1:31" s="61" customFormat="1" ht="3" customHeight="1" thickBot="1" x14ac:dyDescent="0.3">
      <c r="A55" s="96"/>
      <c r="B55" s="98"/>
      <c r="C55" s="3"/>
      <c r="D55" s="198"/>
      <c r="E55" s="350"/>
      <c r="F55" s="525"/>
      <c r="G55" s="350"/>
      <c r="H55" s="227"/>
      <c r="I55" s="227"/>
      <c r="J55" s="227"/>
      <c r="K55" s="202"/>
      <c r="L55" s="227"/>
      <c r="M55" s="499"/>
      <c r="N55" s="499"/>
      <c r="O55" s="499"/>
      <c r="P55" s="499"/>
      <c r="Q55" s="499"/>
      <c r="R55" s="499"/>
      <c r="S55" s="499"/>
      <c r="T55" s="499"/>
      <c r="U55" s="499"/>
      <c r="V55" s="499"/>
      <c r="W55" s="499"/>
      <c r="X55" s="499"/>
      <c r="Y55" s="499"/>
      <c r="Z55" s="499"/>
      <c r="AA55" s="499"/>
      <c r="AB55" s="499"/>
      <c r="AC55" s="499"/>
      <c r="AD55" s="499"/>
      <c r="AE55" s="97"/>
    </row>
    <row r="56" spans="1:31" s="336" customFormat="1" ht="16.5" thickBot="1" x14ac:dyDescent="0.3">
      <c r="A56" s="332"/>
      <c r="B56" s="27" t="s">
        <v>308</v>
      </c>
      <c r="C56" s="3"/>
      <c r="D56" s="413" t="str">
        <f>IF($H56&lt;&gt;"",IF(VLOOKUP($H56,Rulers!$B$4:$G$55,5,FALSE)&lt;&gt;"",VLOOKUP($H56,Rulers!$B$4:$G$55,5,FALSE),IF(VLOOKUP($H56,Rulers!$B$4:$G$55,3,FALSE)&lt;&gt;"",VLOOKUP($H56,Rulers!$B$4:$G$55,3,FALSE),"")),"")</f>
        <v/>
      </c>
      <c r="E56" s="349"/>
      <c r="F56" s="413" t="str">
        <f>IF($H56&lt;&gt;"",IF(VLOOKUP($H56,Rulers!$B$4:$G$55,6,FALSE)&lt;&gt;"",VLOOKUP($H56,Rulers!$B$4:$G$55,6,FALSE),IF(VLOOKUP($H56,Rulers!$B$4:$G$55,4,FALSE)&lt;&gt;"",VLOOKUP($H56,Rulers!$B$4:$G$55,4,FALSE),"")),"")</f>
        <v/>
      </c>
      <c r="G56" s="349"/>
      <c r="H56" s="684" t="s">
        <v>1877</v>
      </c>
      <c r="I56" s="685"/>
      <c r="J56" s="686"/>
      <c r="K56" s="424"/>
      <c r="L56" s="426">
        <f>IF(ISBLANK(H56),0,VLOOKUP(H56,Rulers!$B$4:$DL$55,111,FALSE))</f>
        <v>4</v>
      </c>
      <c r="M56" s="334"/>
      <c r="N56" s="339" t="s">
        <v>50</v>
      </c>
      <c r="O56" s="334"/>
      <c r="P56" s="333"/>
      <c r="Q56" s="333"/>
      <c r="R56" s="341" t="s">
        <v>83</v>
      </c>
      <c r="S56" s="341"/>
      <c r="T56" s="341" t="s">
        <v>51</v>
      </c>
      <c r="U56" s="341"/>
      <c r="V56" s="341" t="s">
        <v>49</v>
      </c>
      <c r="W56" s="341"/>
      <c r="X56" s="341" t="s">
        <v>50</v>
      </c>
      <c r="Y56" s="341"/>
      <c r="Z56" s="341" t="s">
        <v>81</v>
      </c>
      <c r="AA56" s="341"/>
      <c r="AB56" s="341"/>
      <c r="AC56" s="341"/>
      <c r="AD56" s="334"/>
      <c r="AE56" s="335"/>
    </row>
    <row r="57" spans="1:31" s="61" customFormat="1" ht="3" customHeight="1" thickBot="1" x14ac:dyDescent="0.3">
      <c r="A57" s="96"/>
      <c r="B57" s="98"/>
      <c r="C57" s="3"/>
      <c r="D57" s="198"/>
      <c r="E57" s="350"/>
      <c r="F57" s="525"/>
      <c r="G57" s="350"/>
      <c r="H57" s="227"/>
      <c r="I57" s="227"/>
      <c r="J57" s="227"/>
      <c r="K57" s="202"/>
      <c r="L57" s="227"/>
      <c r="M57" s="499"/>
      <c r="N57" s="499"/>
      <c r="O57" s="499"/>
      <c r="P57" s="499"/>
      <c r="Q57" s="298"/>
      <c r="R57" s="499"/>
      <c r="S57" s="499"/>
      <c r="T57" s="499"/>
      <c r="U57" s="499"/>
      <c r="V57" s="499"/>
      <c r="W57" s="499"/>
      <c r="X57" s="499"/>
      <c r="Y57" s="499"/>
      <c r="Z57" s="499"/>
      <c r="AA57" s="499"/>
      <c r="AB57" s="499"/>
      <c r="AC57" s="499"/>
      <c r="AD57" s="499"/>
      <c r="AE57" s="97"/>
    </row>
    <row r="58" spans="1:31" s="336" customFormat="1" ht="16.5" thickBot="1" x14ac:dyDescent="0.3">
      <c r="A58" s="332"/>
      <c r="B58" s="27" t="s">
        <v>74</v>
      </c>
      <c r="C58" s="3"/>
      <c r="D58" s="413" t="str">
        <f>IF($H58&lt;&gt;"",IF(VLOOKUP($H58,Rulers!$B$4:$G$55,5,FALSE)&lt;&gt;"",VLOOKUP($H58,Rulers!$B$4:$G$55,5,FALSE),IF(VLOOKUP($H58,Rulers!$B$4:$G$55,3,FALSE)&lt;&gt;"",VLOOKUP($H58,Rulers!$B$4:$G$55,3,FALSE),"")),"")</f>
        <v>Landed Knight</v>
      </c>
      <c r="E58" s="349"/>
      <c r="F58" s="413" t="str">
        <f>IF($H58&lt;&gt;"",IF(VLOOKUP($H58,Rulers!$B$4:$G$55,6,FALSE)&lt;&gt;"",VLOOKUP($H58,Rulers!$B$4:$G$55,6,FALSE),IF(VLOOKUP($H58,Rulers!$B$4:$G$55,4,FALSE)&lt;&gt;"",VLOOKUP($H58,Rulers!$B$4:$G$55,4,FALSE),"")),"")</f>
        <v>Sir</v>
      </c>
      <c r="G58" s="349"/>
      <c r="H58" s="690" t="s">
        <v>1859</v>
      </c>
      <c r="I58" s="691"/>
      <c r="J58" s="692"/>
      <c r="K58" s="424"/>
      <c r="L58" s="426">
        <f>IF(ISBLANK(H58),0,VLOOKUP(H58,Rulers!$B$4:$DL$55,112,FALSE))</f>
        <v>2</v>
      </c>
      <c r="M58" s="334"/>
      <c r="N58" s="40" t="s">
        <v>49</v>
      </c>
      <c r="O58" s="334"/>
      <c r="P58" s="520" t="s">
        <v>1254</v>
      </c>
      <c r="Q58" s="333"/>
      <c r="R58" s="348" t="s">
        <v>98</v>
      </c>
      <c r="S58" s="334"/>
      <c r="T58" s="344">
        <f>VLOOKUP($R58,'Drop Down'!$O$64:$T$68,3,FALSE)</f>
        <v>0</v>
      </c>
      <c r="U58" s="343"/>
      <c r="V58" s="344">
        <f>VLOOKUP($R58,'Drop Down'!$O$64:$T$68,5,FALSE)</f>
        <v>0</v>
      </c>
      <c r="W58" s="343"/>
      <c r="X58" s="344">
        <f>VLOOKUP($R58,'Drop Down'!$O$64:$T$68,4,FALSE)</f>
        <v>0</v>
      </c>
      <c r="Y58" s="3"/>
      <c r="Z58" s="344">
        <f>IF('City Overview'!$C$27=0,VLOOKUP($R58,'Drop Down'!$O$64:$T$68,6,FALSE),VLOOKUP($R58,'Drop Down'!$O$64:$U$68,7,FALSE))</f>
        <v>0</v>
      </c>
      <c r="AA58" s="3"/>
      <c r="AB58" s="3"/>
      <c r="AC58" s="343"/>
      <c r="AD58" s="334"/>
      <c r="AE58" s="335"/>
    </row>
    <row r="59" spans="1:31" s="3" customFormat="1" ht="3" customHeight="1" thickBot="1" x14ac:dyDescent="0.3">
      <c r="A59" s="15"/>
      <c r="B59" s="98"/>
      <c r="D59" s="198"/>
      <c r="E59" s="350"/>
      <c r="F59" s="525"/>
      <c r="G59" s="350"/>
      <c r="H59" s="227"/>
      <c r="I59" s="227"/>
      <c r="J59" s="227"/>
      <c r="K59" s="202"/>
      <c r="L59" s="227"/>
      <c r="M59" s="499"/>
      <c r="N59" s="499"/>
      <c r="P59" s="499"/>
      <c r="Q59" s="298"/>
      <c r="R59" s="498"/>
      <c r="S59" s="499"/>
      <c r="T59" s="496"/>
      <c r="U59" s="496"/>
      <c r="V59" s="496"/>
      <c r="W59" s="496"/>
      <c r="X59" s="496"/>
      <c r="Z59" s="496"/>
      <c r="AC59" s="496"/>
      <c r="AE59" s="14"/>
    </row>
    <row r="60" spans="1:31" s="334" customFormat="1" ht="16.5" thickBot="1" x14ac:dyDescent="0.3">
      <c r="A60" s="332"/>
      <c r="B60" s="27" t="s">
        <v>75</v>
      </c>
      <c r="C60" s="3"/>
      <c r="D60" s="413" t="str">
        <f>IF($H60&lt;&gt;"",IF(VLOOKUP($H60,Rulers!$B$4:$G$55,5,FALSE)&lt;&gt;"",VLOOKUP($H60,Rulers!$B$4:$G$55,5,FALSE),IF(VLOOKUP($H60,Rulers!$B$4:$G$55,3,FALSE)&lt;&gt;"",VLOOKUP($H60,Rulers!$B$4:$G$55,3,FALSE),"")),"")</f>
        <v/>
      </c>
      <c r="E60" s="349"/>
      <c r="F60" s="413" t="str">
        <f>IF($H60&lt;&gt;"",IF(VLOOKUP($H60,Rulers!$B$4:$G$55,6,FALSE)&lt;&gt;"",VLOOKUP($H60,Rulers!$B$4:$G$55,6,FALSE),IF(VLOOKUP($H60,Rulers!$B$4:$G$55,4,FALSE)&lt;&gt;"",VLOOKUP($H60,Rulers!$B$4:$G$55,4,FALSE),"")),"")</f>
        <v/>
      </c>
      <c r="G60" s="349"/>
      <c r="H60" s="684" t="s">
        <v>1873</v>
      </c>
      <c r="I60" s="685"/>
      <c r="J60" s="686"/>
      <c r="K60" s="424"/>
      <c r="L60" s="426">
        <f>IF(ISBLANK(H60),0,VLOOKUP(H60,Rulers!$B$4:$DL$55,113,FALSE))</f>
        <v>4</v>
      </c>
      <c r="N60" s="347" t="s">
        <v>49</v>
      </c>
      <c r="O60" s="332"/>
      <c r="P60" s="494" t="s">
        <v>82</v>
      </c>
      <c r="Q60" s="333"/>
      <c r="R60" s="348" t="s">
        <v>100</v>
      </c>
      <c r="T60" s="344"/>
      <c r="U60" s="343"/>
      <c r="V60" s="344">
        <f>VLOOKUP($R60,'Drop Down'!$O$80:$R$84,2,FALSE)</f>
        <v>0</v>
      </c>
      <c r="W60" s="343"/>
      <c r="X60" s="344">
        <f>VLOOKUP($R60,'Drop Down'!$O$80:$R$84,3,FALSE)</f>
        <v>0</v>
      </c>
      <c r="Y60" s="3"/>
      <c r="Z60" s="344"/>
      <c r="AA60" s="3"/>
      <c r="AB60" s="3"/>
      <c r="AC60" s="343"/>
      <c r="AE60" s="335"/>
    </row>
    <row r="61" spans="1:31" s="3" customFormat="1" ht="3" customHeight="1" thickBot="1" x14ac:dyDescent="0.3">
      <c r="A61" s="15"/>
      <c r="B61" s="98"/>
      <c r="D61" s="198"/>
      <c r="E61" s="350"/>
      <c r="F61" s="525"/>
      <c r="G61" s="350"/>
      <c r="H61" s="227"/>
      <c r="I61" s="227"/>
      <c r="J61" s="227"/>
      <c r="K61" s="202"/>
      <c r="L61" s="227"/>
      <c r="M61" s="499"/>
      <c r="N61" s="499"/>
      <c r="P61" s="499"/>
      <c r="Q61" s="298"/>
      <c r="R61" s="498"/>
      <c r="S61" s="499"/>
      <c r="T61" s="496"/>
      <c r="U61" s="496"/>
      <c r="V61" s="496"/>
      <c r="W61" s="496"/>
      <c r="X61" s="496"/>
      <c r="Z61" s="496"/>
      <c r="AC61" s="496"/>
      <c r="AE61" s="14"/>
    </row>
    <row r="62" spans="1:31" s="334" customFormat="1" ht="16.5" thickBot="1" x14ac:dyDescent="0.3">
      <c r="A62" s="332"/>
      <c r="B62" s="27" t="s">
        <v>612</v>
      </c>
      <c r="C62" s="3"/>
      <c r="D62" s="413" t="str">
        <f>IF($H62&lt;&gt;"",IF(VLOOKUP($H62,Rulers!$B$4:$G$55,5,FALSE)&lt;&gt;"",VLOOKUP($H62,Rulers!$B$4:$G$55,5,FALSE),IF(VLOOKUP($H62,Rulers!$B$4:$G$55,3,FALSE)&lt;&gt;"",VLOOKUP($H62,Rulers!$B$4:$G$55,3,FALSE),"")),"")</f>
        <v/>
      </c>
      <c r="E62" s="349"/>
      <c r="F62" s="413" t="str">
        <f>IF($H62&lt;&gt;"",IF(VLOOKUP($H62,Rulers!$B$4:$G$55,6,FALSE)&lt;&gt;"",VLOOKUP($H62,Rulers!$B$4:$G$55,6,FALSE),IF(VLOOKUP($H62,Rulers!$B$4:$G$55,4,FALSE)&lt;&gt;"",VLOOKUP($H62,Rulers!$B$4:$G$55,4,FALSE),"")),"")</f>
        <v/>
      </c>
      <c r="G62" s="349"/>
      <c r="H62" s="684"/>
      <c r="I62" s="685"/>
      <c r="J62" s="686"/>
      <c r="K62" s="424"/>
      <c r="L62" s="426">
        <f>IF(ISBLANK(H62),0,VLOOKUP(H62,Rulers!$B$4:$DL$55,114,FALSE))</f>
        <v>0</v>
      </c>
      <c r="N62" s="347" t="s">
        <v>49</v>
      </c>
      <c r="P62" s="494" t="s">
        <v>370</v>
      </c>
      <c r="Q62" s="333"/>
      <c r="R62" s="348" t="s">
        <v>1259</v>
      </c>
      <c r="T62" s="344"/>
      <c r="U62" s="343"/>
      <c r="V62" s="344">
        <f>VLOOKUP($R62,'Drop Down'!$O$72:$R$76,2,FALSE)</f>
        <v>0</v>
      </c>
      <c r="W62" s="343"/>
      <c r="X62" s="344">
        <f>VLOOKUP($R62,'Drop Down'!$O$72:$R$76,3,FALSE)</f>
        <v>0</v>
      </c>
      <c r="Y62" s="3"/>
      <c r="Z62" s="344" t="str">
        <f>VLOOKUP($R62,'Drop Down'!$O$72:$R$76,4,FALSE)</f>
        <v>1d3</v>
      </c>
      <c r="AA62" s="3"/>
      <c r="AB62" s="3"/>
      <c r="AC62" s="343"/>
      <c r="AE62" s="335"/>
    </row>
    <row r="63" spans="1:31" s="3" customFormat="1" ht="3" customHeight="1" thickBot="1" x14ac:dyDescent="0.3">
      <c r="A63" s="15"/>
      <c r="B63" s="98"/>
      <c r="D63" s="198"/>
      <c r="E63" s="350"/>
      <c r="F63" s="525"/>
      <c r="G63" s="350"/>
      <c r="H63" s="227"/>
      <c r="I63" s="227"/>
      <c r="J63" s="227"/>
      <c r="K63" s="202"/>
      <c r="L63" s="227"/>
      <c r="M63" s="499"/>
      <c r="N63" s="499"/>
      <c r="P63" s="499"/>
      <c r="Q63" s="298"/>
      <c r="R63" s="498"/>
      <c r="S63" s="499"/>
      <c r="T63" s="496"/>
      <c r="U63" s="496"/>
      <c r="V63" s="496"/>
      <c r="W63" s="496"/>
      <c r="X63" s="496"/>
      <c r="Y63" s="496"/>
      <c r="Z63" s="496"/>
      <c r="AA63" s="496"/>
      <c r="AB63" s="496"/>
      <c r="AC63" s="496"/>
      <c r="AD63" s="496"/>
      <c r="AE63" s="14"/>
    </row>
    <row r="64" spans="1:31" s="334" customFormat="1" ht="16.5" thickBot="1" x14ac:dyDescent="0.3">
      <c r="A64" s="332"/>
      <c r="B64" s="27" t="s">
        <v>76</v>
      </c>
      <c r="C64" s="3"/>
      <c r="D64" s="413" t="str">
        <f>IF($H64&lt;&gt;"",IF(VLOOKUP($H64,Rulers!$B$4:$G$55,5,FALSE)&lt;&gt;"",VLOOKUP($H64,Rulers!$B$4:$G$55,5,FALSE),IF(VLOOKUP($H64,Rulers!$B$4:$G$55,3,FALSE)&lt;&gt;"",VLOOKUP($H64,Rulers!$B$4:$G$55,3,FALSE),"")),"")</f>
        <v/>
      </c>
      <c r="E64" s="349"/>
      <c r="F64" s="413" t="str">
        <f>IF($H64&lt;&gt;"",IF(VLOOKUP($H64,Rulers!$B$4:$G$55,6,FALSE)&lt;&gt;"",VLOOKUP($H64,Rulers!$B$4:$G$55,6,FALSE),IF(VLOOKUP($H64,Rulers!$B$4:$G$55,4,FALSE)&lt;&gt;"",VLOOKUP($H64,Rulers!$B$4:$G$55,4,FALSE),"")),"")</f>
        <v/>
      </c>
      <c r="G64" s="349"/>
      <c r="H64" s="684" t="s">
        <v>1867</v>
      </c>
      <c r="I64" s="685"/>
      <c r="J64" s="686"/>
      <c r="K64" s="424"/>
      <c r="L64" s="426">
        <f>IF(ISBLANK(H64),0,VLOOKUP(H64,Rulers!$B$4:$DL$55,115,FALSE))</f>
        <v>3</v>
      </c>
      <c r="N64" s="339" t="s">
        <v>50</v>
      </c>
      <c r="P64" s="572" t="s">
        <v>1650</v>
      </c>
      <c r="R64" s="40" t="s">
        <v>100</v>
      </c>
      <c r="T64" s="344"/>
      <c r="V64" s="344">
        <f>VLOOKUP(R64,'Drop Down'!O107:V111,7,FALSE)</f>
        <v>0</v>
      </c>
      <c r="X64" s="344">
        <f>Recruitment!V5</f>
        <v>0</v>
      </c>
      <c r="Z64" s="344"/>
      <c r="AE64" s="335"/>
    </row>
    <row r="65" spans="1:31" s="3" customFormat="1" ht="3" customHeight="1" thickBot="1" x14ac:dyDescent="0.3">
      <c r="A65" s="307"/>
      <c r="B65" s="2"/>
      <c r="C65" s="2"/>
      <c r="D65" s="2"/>
      <c r="E65" s="23"/>
      <c r="F65" s="23"/>
      <c r="G65" s="23"/>
      <c r="H65" s="2"/>
      <c r="I65" s="2"/>
      <c r="J65" s="2"/>
      <c r="K65" s="2"/>
      <c r="L65" s="2"/>
      <c r="M65" s="2"/>
      <c r="N65" s="2"/>
      <c r="O65" s="2"/>
      <c r="P65" s="2"/>
      <c r="Q65" s="2"/>
      <c r="R65" s="2"/>
      <c r="S65" s="2"/>
      <c r="T65" s="2"/>
      <c r="U65" s="2"/>
      <c r="V65" s="2"/>
      <c r="W65" s="2"/>
      <c r="X65" s="2"/>
      <c r="Y65" s="2"/>
      <c r="Z65" s="2"/>
      <c r="AA65" s="2"/>
      <c r="AB65" s="2"/>
      <c r="AC65" s="2"/>
      <c r="AD65" s="2"/>
      <c r="AE65" s="24"/>
    </row>
    <row r="66" spans="1:31" s="3" customFormat="1" x14ac:dyDescent="0.25">
      <c r="A66" s="15"/>
      <c r="E66" s="8"/>
      <c r="F66" s="8"/>
      <c r="G66" s="8"/>
      <c r="AE66" s="14"/>
    </row>
    <row r="67" spans="1:31" s="3" customFormat="1" ht="3" customHeight="1" thickBot="1" x14ac:dyDescent="0.3">
      <c r="A67" s="15"/>
      <c r="E67" s="8"/>
      <c r="F67" s="8"/>
      <c r="G67" s="8"/>
      <c r="AE67" s="14"/>
    </row>
    <row r="68" spans="1:31" s="3" customFormat="1" ht="15.75" thickBot="1" x14ac:dyDescent="0.3">
      <c r="A68" s="427"/>
      <c r="B68" s="702" t="s">
        <v>91</v>
      </c>
      <c r="C68" s="702"/>
      <c r="D68" s="702"/>
      <c r="E68" s="702"/>
      <c r="F68" s="702"/>
      <c r="G68" s="702"/>
      <c r="H68" s="702"/>
      <c r="I68" s="702"/>
      <c r="J68" s="702"/>
      <c r="K68" s="702"/>
      <c r="L68" s="702"/>
      <c r="M68" s="702"/>
      <c r="N68" s="702"/>
      <c r="O68" s="702"/>
      <c r="P68" s="702"/>
      <c r="Q68" s="702"/>
      <c r="R68" s="702"/>
      <c r="S68" s="702"/>
      <c r="T68" s="702"/>
      <c r="U68" s="702"/>
      <c r="V68" s="702"/>
      <c r="W68" s="702"/>
      <c r="X68" s="702"/>
      <c r="Y68" s="702"/>
      <c r="Z68" s="702"/>
      <c r="AA68" s="702"/>
      <c r="AB68" s="702"/>
      <c r="AC68" s="702"/>
      <c r="AD68" s="702"/>
      <c r="AE68" s="428"/>
    </row>
    <row r="69" spans="1:31" s="3" customFormat="1" ht="3" customHeight="1" thickBot="1" x14ac:dyDescent="0.3">
      <c r="A69" s="427"/>
      <c r="B69" s="429"/>
      <c r="C69" s="429"/>
      <c r="D69" s="429"/>
      <c r="E69" s="430"/>
      <c r="F69" s="430"/>
      <c r="G69" s="430"/>
      <c r="H69" s="429"/>
      <c r="I69" s="429"/>
      <c r="J69" s="429"/>
      <c r="K69" s="429"/>
      <c r="L69" s="429"/>
      <c r="M69" s="429"/>
      <c r="N69" s="429"/>
      <c r="O69" s="429"/>
      <c r="P69" s="429"/>
      <c r="Q69" s="429"/>
      <c r="R69" s="429"/>
      <c r="S69" s="429"/>
      <c r="T69" s="429"/>
      <c r="U69" s="429"/>
      <c r="V69" s="429"/>
      <c r="W69" s="429"/>
      <c r="X69" s="429"/>
      <c r="Y69" s="429"/>
      <c r="Z69" s="429"/>
      <c r="AA69" s="429"/>
      <c r="AB69" s="429"/>
      <c r="AC69" s="429"/>
      <c r="AD69" s="429"/>
      <c r="AE69" s="428"/>
    </row>
    <row r="70" spans="1:31" s="3" customFormat="1" x14ac:dyDescent="0.25">
      <c r="A70" s="15"/>
      <c r="B70" s="703"/>
      <c r="C70" s="703"/>
      <c r="D70" s="703"/>
      <c r="E70" s="703"/>
      <c r="F70" s="703"/>
      <c r="G70" s="703"/>
      <c r="H70" s="703"/>
      <c r="I70" s="703"/>
      <c r="J70" s="703"/>
      <c r="K70" s="703"/>
      <c r="L70" s="703"/>
      <c r="M70" s="703"/>
      <c r="N70" s="703"/>
      <c r="O70" s="703"/>
      <c r="P70" s="703"/>
      <c r="Q70" s="703"/>
      <c r="R70" s="703"/>
      <c r="S70" s="703"/>
      <c r="T70" s="703"/>
      <c r="U70" s="703"/>
      <c r="V70" s="703"/>
      <c r="W70" s="703"/>
      <c r="X70" s="703"/>
      <c r="Y70" s="703"/>
      <c r="Z70" s="703"/>
      <c r="AA70" s="703"/>
      <c r="AB70" s="703"/>
      <c r="AC70" s="703"/>
      <c r="AD70" s="703"/>
      <c r="AE70" s="14"/>
    </row>
    <row r="71" spans="1:31" s="3" customFormat="1" x14ac:dyDescent="0.25">
      <c r="A71" s="15"/>
      <c r="B71" s="704"/>
      <c r="C71" s="704"/>
      <c r="D71" s="704"/>
      <c r="E71" s="704"/>
      <c r="F71" s="704"/>
      <c r="G71" s="704"/>
      <c r="H71" s="704"/>
      <c r="I71" s="704"/>
      <c r="J71" s="704"/>
      <c r="K71" s="704"/>
      <c r="L71" s="704"/>
      <c r="M71" s="704"/>
      <c r="N71" s="704"/>
      <c r="O71" s="704"/>
      <c r="P71" s="704"/>
      <c r="Q71" s="704"/>
      <c r="R71" s="704"/>
      <c r="S71" s="704"/>
      <c r="T71" s="704"/>
      <c r="U71" s="704"/>
      <c r="V71" s="704"/>
      <c r="W71" s="704"/>
      <c r="X71" s="704"/>
      <c r="Y71" s="704"/>
      <c r="Z71" s="704"/>
      <c r="AA71" s="704"/>
      <c r="AB71" s="704"/>
      <c r="AC71" s="704"/>
      <c r="AD71" s="704"/>
      <c r="AE71" s="14"/>
    </row>
    <row r="72" spans="1:31" s="3" customFormat="1" x14ac:dyDescent="0.25">
      <c r="A72" s="15"/>
      <c r="B72" s="704"/>
      <c r="C72" s="704"/>
      <c r="D72" s="704"/>
      <c r="E72" s="704"/>
      <c r="F72" s="704"/>
      <c r="G72" s="704"/>
      <c r="H72" s="704"/>
      <c r="I72" s="704"/>
      <c r="J72" s="704"/>
      <c r="K72" s="704"/>
      <c r="L72" s="704"/>
      <c r="M72" s="704"/>
      <c r="N72" s="704"/>
      <c r="O72" s="704"/>
      <c r="P72" s="704"/>
      <c r="Q72" s="704"/>
      <c r="R72" s="704"/>
      <c r="S72" s="704"/>
      <c r="T72" s="704"/>
      <c r="U72" s="704"/>
      <c r="V72" s="704"/>
      <c r="W72" s="704"/>
      <c r="X72" s="704"/>
      <c r="Y72" s="704"/>
      <c r="Z72" s="704"/>
      <c r="AA72" s="704"/>
      <c r="AB72" s="704"/>
      <c r="AC72" s="704"/>
      <c r="AD72" s="704"/>
      <c r="AE72" s="14"/>
    </row>
    <row r="73" spans="1:31" s="3" customFormat="1" x14ac:dyDescent="0.25">
      <c r="A73" s="15"/>
      <c r="B73" s="704"/>
      <c r="C73" s="704"/>
      <c r="D73" s="704"/>
      <c r="E73" s="704"/>
      <c r="F73" s="704"/>
      <c r="G73" s="704"/>
      <c r="H73" s="704"/>
      <c r="I73" s="704"/>
      <c r="J73" s="704"/>
      <c r="K73" s="704"/>
      <c r="L73" s="704"/>
      <c r="M73" s="704"/>
      <c r="N73" s="704"/>
      <c r="O73" s="704"/>
      <c r="P73" s="704"/>
      <c r="Q73" s="704"/>
      <c r="R73" s="704"/>
      <c r="S73" s="704"/>
      <c r="T73" s="704"/>
      <c r="U73" s="704"/>
      <c r="V73" s="704"/>
      <c r="W73" s="704"/>
      <c r="X73" s="704"/>
      <c r="Y73" s="704"/>
      <c r="Z73" s="704"/>
      <c r="AA73" s="704"/>
      <c r="AB73" s="704"/>
      <c r="AC73" s="704"/>
      <c r="AD73" s="704"/>
      <c r="AE73" s="14"/>
    </row>
    <row r="74" spans="1:31" s="3" customFormat="1" x14ac:dyDescent="0.25">
      <c r="A74" s="15"/>
      <c r="B74" s="704"/>
      <c r="C74" s="704"/>
      <c r="D74" s="704"/>
      <c r="E74" s="704"/>
      <c r="F74" s="704"/>
      <c r="G74" s="704"/>
      <c r="H74" s="704"/>
      <c r="I74" s="704"/>
      <c r="J74" s="704"/>
      <c r="K74" s="704"/>
      <c r="L74" s="704"/>
      <c r="M74" s="704"/>
      <c r="N74" s="704"/>
      <c r="O74" s="704"/>
      <c r="P74" s="704"/>
      <c r="Q74" s="704"/>
      <c r="R74" s="704"/>
      <c r="S74" s="704"/>
      <c r="T74" s="704"/>
      <c r="U74" s="704"/>
      <c r="V74" s="704"/>
      <c r="W74" s="704"/>
      <c r="X74" s="704"/>
      <c r="Y74" s="704"/>
      <c r="Z74" s="704"/>
      <c r="AA74" s="704"/>
      <c r="AB74" s="704"/>
      <c r="AC74" s="704"/>
      <c r="AD74" s="704"/>
      <c r="AE74" s="14"/>
    </row>
    <row r="75" spans="1:31" s="3" customFormat="1" x14ac:dyDescent="0.25">
      <c r="A75" s="15"/>
      <c r="B75" s="704"/>
      <c r="C75" s="704"/>
      <c r="D75" s="704"/>
      <c r="E75" s="704"/>
      <c r="F75" s="704"/>
      <c r="G75" s="704"/>
      <c r="H75" s="704"/>
      <c r="I75" s="704"/>
      <c r="J75" s="704"/>
      <c r="K75" s="704"/>
      <c r="L75" s="704"/>
      <c r="M75" s="704"/>
      <c r="N75" s="704"/>
      <c r="O75" s="704"/>
      <c r="P75" s="704"/>
      <c r="Q75" s="704"/>
      <c r="R75" s="704"/>
      <c r="S75" s="704"/>
      <c r="T75" s="704"/>
      <c r="U75" s="704"/>
      <c r="V75" s="704"/>
      <c r="W75" s="704"/>
      <c r="X75" s="704"/>
      <c r="Y75" s="704"/>
      <c r="Z75" s="704"/>
      <c r="AA75" s="704"/>
      <c r="AB75" s="704"/>
      <c r="AC75" s="704"/>
      <c r="AD75" s="704"/>
      <c r="AE75" s="14"/>
    </row>
    <row r="76" spans="1:31" s="3" customFormat="1" x14ac:dyDescent="0.25">
      <c r="A76" s="15"/>
      <c r="B76" s="704"/>
      <c r="C76" s="704"/>
      <c r="D76" s="704"/>
      <c r="E76" s="704"/>
      <c r="F76" s="704"/>
      <c r="G76" s="704"/>
      <c r="H76" s="704"/>
      <c r="I76" s="704"/>
      <c r="J76" s="704"/>
      <c r="K76" s="704"/>
      <c r="L76" s="704"/>
      <c r="M76" s="704"/>
      <c r="N76" s="704"/>
      <c r="O76" s="704"/>
      <c r="P76" s="704"/>
      <c r="Q76" s="704"/>
      <c r="R76" s="704"/>
      <c r="S76" s="704"/>
      <c r="T76" s="704"/>
      <c r="U76" s="704"/>
      <c r="V76" s="704"/>
      <c r="W76" s="704"/>
      <c r="X76" s="704"/>
      <c r="Y76" s="704"/>
      <c r="Z76" s="704"/>
      <c r="AA76" s="704"/>
      <c r="AB76" s="704"/>
      <c r="AC76" s="704"/>
      <c r="AD76" s="704"/>
      <c r="AE76" s="14"/>
    </row>
    <row r="77" spans="1:31" s="3" customFormat="1" x14ac:dyDescent="0.25">
      <c r="A77" s="15"/>
      <c r="B77" s="704"/>
      <c r="C77" s="704"/>
      <c r="D77" s="704"/>
      <c r="E77" s="704"/>
      <c r="F77" s="704"/>
      <c r="G77" s="704"/>
      <c r="H77" s="704"/>
      <c r="I77" s="704"/>
      <c r="J77" s="704"/>
      <c r="K77" s="704"/>
      <c r="L77" s="704"/>
      <c r="M77" s="704"/>
      <c r="N77" s="704"/>
      <c r="O77" s="704"/>
      <c r="P77" s="704"/>
      <c r="Q77" s="704"/>
      <c r="R77" s="704"/>
      <c r="S77" s="704"/>
      <c r="T77" s="704"/>
      <c r="U77" s="704"/>
      <c r="V77" s="704"/>
      <c r="W77" s="704"/>
      <c r="X77" s="704"/>
      <c r="Y77" s="704"/>
      <c r="Z77" s="704"/>
      <c r="AA77" s="704"/>
      <c r="AB77" s="704"/>
      <c r="AC77" s="704"/>
      <c r="AD77" s="704"/>
      <c r="AE77" s="14"/>
    </row>
    <row r="78" spans="1:31" s="3" customFormat="1" ht="3" customHeight="1" thickBot="1" x14ac:dyDescent="0.3">
      <c r="A78" s="307"/>
      <c r="B78" s="2"/>
      <c r="C78" s="2"/>
      <c r="D78" s="2"/>
      <c r="E78" s="23"/>
      <c r="F78" s="23"/>
      <c r="G78" s="23"/>
      <c r="H78" s="2"/>
      <c r="I78" s="2"/>
      <c r="J78" s="2"/>
      <c r="K78" s="2"/>
      <c r="L78" s="2"/>
      <c r="M78" s="2"/>
      <c r="N78" s="2"/>
      <c r="O78" s="2"/>
      <c r="P78" s="2"/>
      <c r="Q78" s="2"/>
      <c r="R78" s="2"/>
      <c r="S78" s="2"/>
      <c r="T78" s="2"/>
      <c r="U78" s="2"/>
      <c r="V78" s="2"/>
      <c r="W78" s="2"/>
      <c r="X78" s="2"/>
      <c r="Y78" s="2"/>
      <c r="Z78" s="2"/>
      <c r="AA78" s="2"/>
      <c r="AB78" s="2"/>
      <c r="AC78" s="2"/>
      <c r="AD78" s="2"/>
      <c r="AE78" s="24"/>
    </row>
    <row r="79" spans="1:31" s="3" customFormat="1" x14ac:dyDescent="0.25">
      <c r="E79" s="8"/>
      <c r="F79" s="8"/>
      <c r="G79" s="8"/>
    </row>
    <row r="80" spans="1:31" s="3" customFormat="1" x14ac:dyDescent="0.25">
      <c r="E80" s="8"/>
      <c r="F80" s="8"/>
      <c r="G80" s="8"/>
    </row>
    <row r="81" spans="5:7" s="3" customFormat="1" x14ac:dyDescent="0.25">
      <c r="E81" s="8"/>
      <c r="F81" s="8"/>
      <c r="G81" s="8"/>
    </row>
    <row r="82" spans="5:7" s="3" customFormat="1" x14ac:dyDescent="0.25">
      <c r="E82" s="8"/>
      <c r="F82" s="8"/>
      <c r="G82" s="8"/>
    </row>
    <row r="83" spans="5:7" s="3" customFormat="1" x14ac:dyDescent="0.25">
      <c r="E83" s="8"/>
      <c r="F83" s="8"/>
      <c r="G83" s="8"/>
    </row>
    <row r="84" spans="5:7" s="3" customFormat="1" x14ac:dyDescent="0.25">
      <c r="E84" s="8"/>
      <c r="F84" s="8"/>
      <c r="G84" s="8"/>
    </row>
    <row r="85" spans="5:7" s="3" customFormat="1" x14ac:dyDescent="0.25">
      <c r="E85" s="8"/>
      <c r="F85" s="8"/>
      <c r="G85" s="8"/>
    </row>
    <row r="86" spans="5:7" s="3" customFormat="1" x14ac:dyDescent="0.25">
      <c r="E86" s="8"/>
      <c r="F86" s="8"/>
      <c r="G86" s="8"/>
    </row>
    <row r="87" spans="5:7" s="3" customFormat="1" x14ac:dyDescent="0.25">
      <c r="E87" s="8"/>
      <c r="F87" s="8"/>
      <c r="G87" s="8"/>
    </row>
    <row r="88" spans="5:7" s="3" customFormat="1" x14ac:dyDescent="0.25">
      <c r="E88" s="8"/>
      <c r="F88" s="8"/>
      <c r="G88" s="8"/>
    </row>
    <row r="89" spans="5:7" s="3" customFormat="1" x14ac:dyDescent="0.25">
      <c r="E89" s="8"/>
      <c r="F89" s="8"/>
      <c r="G89" s="8"/>
    </row>
    <row r="90" spans="5:7" s="3" customFormat="1" x14ac:dyDescent="0.25">
      <c r="E90" s="8"/>
      <c r="F90" s="8"/>
      <c r="G90" s="8"/>
    </row>
    <row r="91" spans="5:7" s="3" customFormat="1" x14ac:dyDescent="0.25">
      <c r="E91" s="8"/>
      <c r="F91" s="8"/>
      <c r="G91" s="8"/>
    </row>
    <row r="92" spans="5:7" s="3" customFormat="1" x14ac:dyDescent="0.25">
      <c r="E92" s="8"/>
      <c r="F92" s="8"/>
      <c r="G92" s="8"/>
    </row>
    <row r="93" spans="5:7" s="3" customFormat="1" x14ac:dyDescent="0.25">
      <c r="E93" s="8"/>
      <c r="F93" s="8"/>
      <c r="G93" s="8"/>
    </row>
    <row r="94" spans="5:7" s="3" customFormat="1" x14ac:dyDescent="0.25">
      <c r="E94" s="8"/>
      <c r="F94" s="8"/>
      <c r="G94" s="8"/>
    </row>
    <row r="95" spans="5:7" s="3" customFormat="1" x14ac:dyDescent="0.25">
      <c r="E95" s="8"/>
      <c r="F95" s="8"/>
      <c r="G95" s="8"/>
    </row>
    <row r="96" spans="5:7" s="3" customFormat="1" x14ac:dyDescent="0.25">
      <c r="E96" s="8"/>
      <c r="F96" s="8"/>
      <c r="G96" s="8"/>
    </row>
    <row r="97" spans="5:7" s="3" customFormat="1" x14ac:dyDescent="0.25">
      <c r="E97" s="8"/>
      <c r="F97" s="8"/>
      <c r="G97" s="8"/>
    </row>
    <row r="98" spans="5:7" s="3" customFormat="1" x14ac:dyDescent="0.25">
      <c r="E98" s="8"/>
      <c r="F98" s="8"/>
      <c r="G98" s="8"/>
    </row>
    <row r="99" spans="5:7" s="3" customFormat="1" x14ac:dyDescent="0.25">
      <c r="E99" s="8"/>
      <c r="F99" s="8"/>
      <c r="G99" s="8"/>
    </row>
    <row r="100" spans="5:7" s="3" customFormat="1" x14ac:dyDescent="0.25">
      <c r="E100" s="8"/>
      <c r="F100" s="8"/>
      <c r="G100" s="8"/>
    </row>
    <row r="101" spans="5:7" s="3" customFormat="1" x14ac:dyDescent="0.25">
      <c r="E101" s="8"/>
      <c r="F101" s="8"/>
      <c r="G101" s="8"/>
    </row>
    <row r="102" spans="5:7" s="3" customFormat="1" x14ac:dyDescent="0.25">
      <c r="E102" s="8"/>
      <c r="F102" s="8"/>
      <c r="G102" s="8"/>
    </row>
    <row r="103" spans="5:7" s="3" customFormat="1" x14ac:dyDescent="0.25">
      <c r="E103" s="8"/>
      <c r="F103" s="8"/>
      <c r="G103" s="8"/>
    </row>
    <row r="104" spans="5:7" s="3" customFormat="1" x14ac:dyDescent="0.25">
      <c r="E104" s="8"/>
      <c r="F104" s="8"/>
      <c r="G104" s="8"/>
    </row>
    <row r="105" spans="5:7" s="3" customFormat="1" x14ac:dyDescent="0.25">
      <c r="E105" s="8"/>
      <c r="F105" s="8"/>
      <c r="G105" s="8"/>
    </row>
    <row r="106" spans="5:7" s="3" customFormat="1" x14ac:dyDescent="0.25">
      <c r="E106" s="8"/>
      <c r="F106" s="8"/>
      <c r="G106" s="8"/>
    </row>
    <row r="107" spans="5:7" s="3" customFormat="1" x14ac:dyDescent="0.25">
      <c r="E107" s="8"/>
      <c r="F107" s="8"/>
      <c r="G107" s="8"/>
    </row>
    <row r="108" spans="5:7" s="3" customFormat="1" x14ac:dyDescent="0.25">
      <c r="E108" s="8"/>
      <c r="F108" s="8"/>
      <c r="G108" s="8"/>
    </row>
    <row r="109" spans="5:7" s="3" customFormat="1" x14ac:dyDescent="0.25">
      <c r="E109" s="8"/>
      <c r="F109" s="8"/>
      <c r="G109" s="8"/>
    </row>
    <row r="110" spans="5:7" s="3" customFormat="1" x14ac:dyDescent="0.25">
      <c r="E110" s="8"/>
      <c r="F110" s="8"/>
      <c r="G110" s="8"/>
    </row>
    <row r="111" spans="5:7" s="3" customFormat="1" x14ac:dyDescent="0.25">
      <c r="E111" s="8"/>
      <c r="F111" s="8"/>
      <c r="G111" s="8"/>
    </row>
    <row r="112" spans="5:7" s="3" customFormat="1" x14ac:dyDescent="0.25">
      <c r="E112" s="8"/>
      <c r="F112" s="8"/>
      <c r="G112" s="8"/>
    </row>
    <row r="113" spans="5:7" s="3" customFormat="1" x14ac:dyDescent="0.25">
      <c r="E113" s="8"/>
      <c r="F113" s="8"/>
      <c r="G113" s="8"/>
    </row>
    <row r="114" spans="5:7" s="3" customFormat="1" x14ac:dyDescent="0.25">
      <c r="E114" s="8"/>
      <c r="F114" s="8"/>
      <c r="G114" s="8"/>
    </row>
    <row r="115" spans="5:7" s="3" customFormat="1" x14ac:dyDescent="0.25">
      <c r="E115" s="8"/>
      <c r="F115" s="8"/>
      <c r="G115" s="8"/>
    </row>
    <row r="116" spans="5:7" s="3" customFormat="1" x14ac:dyDescent="0.25">
      <c r="E116" s="8"/>
      <c r="F116" s="8"/>
      <c r="G116" s="8"/>
    </row>
    <row r="117" spans="5:7" s="3" customFormat="1" x14ac:dyDescent="0.25">
      <c r="E117" s="8"/>
      <c r="F117" s="8"/>
      <c r="G117" s="8"/>
    </row>
    <row r="118" spans="5:7" s="3" customFormat="1" x14ac:dyDescent="0.25">
      <c r="E118" s="8"/>
      <c r="F118" s="8"/>
      <c r="G118" s="8"/>
    </row>
    <row r="119" spans="5:7" s="3" customFormat="1" x14ac:dyDescent="0.25">
      <c r="E119" s="8"/>
      <c r="F119" s="8"/>
      <c r="G119" s="8"/>
    </row>
    <row r="120" spans="5:7" s="3" customFormat="1" x14ac:dyDescent="0.25">
      <c r="E120" s="8"/>
      <c r="F120" s="8"/>
      <c r="G120" s="8"/>
    </row>
    <row r="121" spans="5:7" s="3" customFormat="1" x14ac:dyDescent="0.25">
      <c r="E121" s="8"/>
      <c r="F121" s="8"/>
      <c r="G121" s="8"/>
    </row>
    <row r="122" spans="5:7" s="3" customFormat="1" x14ac:dyDescent="0.25">
      <c r="E122" s="8"/>
      <c r="F122" s="8"/>
      <c r="G122" s="8"/>
    </row>
    <row r="123" spans="5:7" s="3" customFormat="1" x14ac:dyDescent="0.25">
      <c r="E123" s="8"/>
      <c r="F123" s="8"/>
      <c r="G123" s="8"/>
    </row>
    <row r="124" spans="5:7" s="3" customFormat="1" x14ac:dyDescent="0.25">
      <c r="E124" s="8"/>
      <c r="F124" s="8"/>
      <c r="G124" s="8"/>
    </row>
    <row r="125" spans="5:7" s="3" customFormat="1" x14ac:dyDescent="0.25">
      <c r="E125" s="8"/>
      <c r="F125" s="8"/>
      <c r="G125" s="8"/>
    </row>
    <row r="126" spans="5:7" s="3" customFormat="1" x14ac:dyDescent="0.25">
      <c r="E126" s="8"/>
      <c r="F126" s="8"/>
      <c r="G126" s="8"/>
    </row>
    <row r="127" spans="5:7" s="3" customFormat="1" x14ac:dyDescent="0.25">
      <c r="E127" s="8"/>
      <c r="F127" s="8"/>
      <c r="G127" s="8"/>
    </row>
    <row r="128" spans="5:7" s="3" customFormat="1" x14ac:dyDescent="0.25">
      <c r="E128" s="8"/>
      <c r="F128" s="8"/>
      <c r="G128" s="8"/>
    </row>
    <row r="129" spans="5:7" s="3" customFormat="1" x14ac:dyDescent="0.25">
      <c r="E129" s="8"/>
      <c r="F129" s="8"/>
      <c r="G129" s="8"/>
    </row>
    <row r="130" spans="5:7" s="3" customFormat="1" x14ac:dyDescent="0.25">
      <c r="E130" s="8"/>
      <c r="F130" s="8"/>
      <c r="G130" s="8"/>
    </row>
    <row r="131" spans="5:7" s="3" customFormat="1" x14ac:dyDescent="0.25">
      <c r="E131" s="8"/>
      <c r="F131" s="8"/>
      <c r="G131" s="8"/>
    </row>
    <row r="132" spans="5:7" s="3" customFormat="1" x14ac:dyDescent="0.25">
      <c r="E132" s="8"/>
      <c r="F132" s="8"/>
      <c r="G132" s="8"/>
    </row>
    <row r="133" spans="5:7" s="3" customFormat="1" x14ac:dyDescent="0.25">
      <c r="E133" s="8"/>
      <c r="F133" s="8"/>
      <c r="G133" s="8"/>
    </row>
    <row r="134" spans="5:7" s="3" customFormat="1" x14ac:dyDescent="0.25">
      <c r="E134" s="8"/>
      <c r="F134" s="8"/>
      <c r="G134" s="8"/>
    </row>
    <row r="135" spans="5:7" s="3" customFormat="1" x14ac:dyDescent="0.25">
      <c r="E135" s="8"/>
      <c r="F135" s="8"/>
      <c r="G135" s="8"/>
    </row>
    <row r="136" spans="5:7" s="3" customFormat="1" x14ac:dyDescent="0.25">
      <c r="E136" s="8"/>
      <c r="F136" s="8"/>
      <c r="G136" s="8"/>
    </row>
    <row r="137" spans="5:7" s="3" customFormat="1" x14ac:dyDescent="0.25">
      <c r="E137" s="8"/>
      <c r="F137" s="8"/>
      <c r="G137" s="8"/>
    </row>
    <row r="138" spans="5:7" s="3" customFormat="1" x14ac:dyDescent="0.25">
      <c r="E138" s="8"/>
      <c r="F138" s="8"/>
      <c r="G138" s="8"/>
    </row>
    <row r="139" spans="5:7" s="3" customFormat="1" x14ac:dyDescent="0.25">
      <c r="E139" s="8"/>
      <c r="F139" s="8"/>
      <c r="G139" s="8"/>
    </row>
    <row r="140" spans="5:7" s="3" customFormat="1" x14ac:dyDescent="0.25">
      <c r="E140" s="8"/>
      <c r="F140" s="8"/>
      <c r="G140" s="8"/>
    </row>
    <row r="141" spans="5:7" s="3" customFormat="1" x14ac:dyDescent="0.25">
      <c r="E141" s="8"/>
      <c r="F141" s="8"/>
      <c r="G141" s="8"/>
    </row>
    <row r="142" spans="5:7" s="3" customFormat="1" x14ac:dyDescent="0.25">
      <c r="E142" s="8"/>
      <c r="F142" s="8"/>
      <c r="G142" s="8"/>
    </row>
    <row r="143" spans="5:7" s="3" customFormat="1" x14ac:dyDescent="0.25">
      <c r="E143" s="8"/>
      <c r="F143" s="8"/>
      <c r="G143" s="8"/>
    </row>
    <row r="144" spans="5:7" s="3" customFormat="1" x14ac:dyDescent="0.25">
      <c r="E144" s="8"/>
      <c r="F144" s="8"/>
      <c r="G144" s="8"/>
    </row>
    <row r="145" spans="2:30" x14ac:dyDescent="0.25">
      <c r="B145" s="3"/>
      <c r="C145" s="3"/>
      <c r="D145" s="3"/>
      <c r="E145" s="8"/>
      <c r="F145" s="8"/>
      <c r="G145" s="8"/>
      <c r="H145" s="3"/>
      <c r="I145" s="3"/>
      <c r="J145" s="3"/>
      <c r="K145" s="3"/>
      <c r="L145" s="3"/>
      <c r="M145" s="3"/>
      <c r="N145" s="3"/>
      <c r="P145" s="3"/>
      <c r="Q145" s="3"/>
      <c r="R145" s="3"/>
      <c r="S145" s="3"/>
      <c r="T145" s="3"/>
      <c r="U145" s="3"/>
      <c r="V145" s="3"/>
      <c r="W145" s="3"/>
      <c r="X145" s="3"/>
      <c r="Y145" s="3"/>
      <c r="Z145" s="3"/>
      <c r="AA145" s="3"/>
      <c r="AB145" s="3"/>
      <c r="AC145" s="3"/>
      <c r="AD145" s="3"/>
    </row>
    <row r="146" spans="2:30" x14ac:dyDescent="0.25">
      <c r="B146" s="3"/>
      <c r="C146" s="3"/>
      <c r="D146" s="3"/>
      <c r="E146" s="8"/>
      <c r="F146" s="8"/>
      <c r="G146" s="8"/>
      <c r="H146" s="3"/>
      <c r="I146" s="3"/>
      <c r="J146" s="3"/>
      <c r="K146" s="3"/>
      <c r="L146" s="3"/>
      <c r="M146" s="3"/>
      <c r="N146" s="3"/>
    </row>
    <row r="147" spans="2:30" x14ac:dyDescent="0.25">
      <c r="B147" s="3"/>
      <c r="C147" s="3"/>
      <c r="D147" s="3"/>
      <c r="E147" s="8"/>
      <c r="F147" s="8"/>
      <c r="G147" s="8"/>
      <c r="H147" s="3"/>
      <c r="I147" s="3"/>
      <c r="J147" s="3"/>
      <c r="K147" s="3"/>
      <c r="L147" s="3"/>
      <c r="M147" s="3"/>
      <c r="N147" s="3"/>
    </row>
    <row r="148" spans="2:30" x14ac:dyDescent="0.25">
      <c r="B148" s="3"/>
      <c r="C148" s="3"/>
      <c r="D148" s="3"/>
      <c r="E148" s="8"/>
      <c r="F148" s="8"/>
      <c r="G148" s="8"/>
      <c r="H148" s="3"/>
      <c r="I148" s="3"/>
      <c r="J148" s="3"/>
      <c r="K148" s="3"/>
      <c r="L148" s="3"/>
      <c r="M148" s="3"/>
      <c r="N148" s="3"/>
    </row>
  </sheetData>
  <sheetProtection selectLockedCells="1"/>
  <mergeCells count="35">
    <mergeCell ref="X36:AD36"/>
    <mergeCell ref="P34:V34"/>
    <mergeCell ref="H42:J42"/>
    <mergeCell ref="B32:P32"/>
    <mergeCell ref="X34:AD34"/>
    <mergeCell ref="X40:AD40"/>
    <mergeCell ref="P40:R40"/>
    <mergeCell ref="H34:J34"/>
    <mergeCell ref="H40:J40"/>
    <mergeCell ref="B68:AD68"/>
    <mergeCell ref="B70:AD77"/>
    <mergeCell ref="P46:AD46"/>
    <mergeCell ref="H64:J64"/>
    <mergeCell ref="H44:J44"/>
    <mergeCell ref="H46:J46"/>
    <mergeCell ref="H62:J62"/>
    <mergeCell ref="H48:J48"/>
    <mergeCell ref="H58:J58"/>
    <mergeCell ref="H60:J60"/>
    <mergeCell ref="V4:AB4"/>
    <mergeCell ref="D2:N2"/>
    <mergeCell ref="H56:J56"/>
    <mergeCell ref="P42:R42"/>
    <mergeCell ref="R2:AB2"/>
    <mergeCell ref="H50:J50"/>
    <mergeCell ref="H52:J52"/>
    <mergeCell ref="P54:AD54"/>
    <mergeCell ref="P52:AD52"/>
    <mergeCell ref="H54:J54"/>
    <mergeCell ref="X38:AD38"/>
    <mergeCell ref="X42:AD42"/>
    <mergeCell ref="F6:L6"/>
    <mergeCell ref="H36:J36"/>
    <mergeCell ref="R44:T44"/>
    <mergeCell ref="H38:J38"/>
  </mergeCells>
  <conditionalFormatting sqref="R58">
    <cfRule type="colorScale" priority="58">
      <colorScale>
        <cfvo type="min"/>
        <cfvo type="max"/>
        <color rgb="FFFF0000"/>
        <color rgb="FFFFEF9C"/>
      </colorScale>
    </cfRule>
  </conditionalFormatting>
  <conditionalFormatting sqref="D4">
    <cfRule type="expression" dxfId="126" priority="57">
      <formula>OR($D$4="Chaotic",$D$4="Evil")</formula>
    </cfRule>
    <cfRule type="expression" dxfId="125" priority="61">
      <formula>$D$4="Neutral"</formula>
    </cfRule>
    <cfRule type="expression" dxfId="124" priority="62">
      <formula>OR($D$4="Lawful",$D$4="Good")</formula>
    </cfRule>
  </conditionalFormatting>
  <conditionalFormatting sqref="F4">
    <cfRule type="expression" dxfId="123" priority="59">
      <formula>$F$4="Neutral"</formula>
    </cfRule>
  </conditionalFormatting>
  <conditionalFormatting sqref="F4">
    <cfRule type="expression" dxfId="122" priority="54">
      <formula>OR($F$4="Chaotic",$F$4="Evil")</formula>
    </cfRule>
    <cfRule type="expression" dxfId="121" priority="56">
      <formula>OR($F$4="Lawful",$F$4="Good")</formula>
    </cfRule>
  </conditionalFormatting>
  <conditionalFormatting sqref="N58">
    <cfRule type="expression" dxfId="120" priority="51">
      <formula>$N$58="Stability"</formula>
    </cfRule>
    <cfRule type="expression" dxfId="119" priority="52">
      <formula>$N$58="Economy"</formula>
    </cfRule>
    <cfRule type="expression" dxfId="118" priority="53">
      <formula>$N$58="Loyalty"</formula>
    </cfRule>
  </conditionalFormatting>
  <conditionalFormatting sqref="P36">
    <cfRule type="expression" dxfId="117" priority="45">
      <formula>$P$36="Stability"</formula>
    </cfRule>
    <cfRule type="expression" dxfId="116" priority="46">
      <formula>$P$36="Economy"</formula>
    </cfRule>
    <cfRule type="expression" dxfId="115" priority="47">
      <formula>$P$36="Loyalty"</formula>
    </cfRule>
  </conditionalFormatting>
  <conditionalFormatting sqref="R36">
    <cfRule type="expression" dxfId="114" priority="36">
      <formula>$R$36="Stability"</formula>
    </cfRule>
    <cfRule type="expression" dxfId="113" priority="37">
      <formula>$R$36="Economy"</formula>
    </cfRule>
    <cfRule type="expression" dxfId="112" priority="38">
      <formula>$R$36="Loyalty"</formula>
    </cfRule>
  </conditionalFormatting>
  <conditionalFormatting sqref="N38">
    <cfRule type="expression" dxfId="111" priority="33">
      <formula>$N$38="Stability"</formula>
    </cfRule>
    <cfRule type="expression" dxfId="110" priority="34">
      <formula>$N$38="Economy"</formula>
    </cfRule>
    <cfRule type="expression" dxfId="109" priority="35">
      <formula>$N$38="Loyalty"</formula>
    </cfRule>
  </conditionalFormatting>
  <conditionalFormatting sqref="P38">
    <cfRule type="expression" dxfId="108" priority="30">
      <formula>$P$38="Stability"</formula>
    </cfRule>
    <cfRule type="expression" dxfId="107" priority="31">
      <formula>$P$38="Economy"</formula>
    </cfRule>
    <cfRule type="expression" dxfId="106" priority="32">
      <formula>$P$38="Loyalty"</formula>
    </cfRule>
  </conditionalFormatting>
  <conditionalFormatting sqref="R38">
    <cfRule type="expression" dxfId="105" priority="27">
      <formula>$R$38="Stability"</formula>
    </cfRule>
    <cfRule type="expression" dxfId="104" priority="28">
      <formula>$R$38="Economy"</formula>
    </cfRule>
    <cfRule type="expression" dxfId="103" priority="29">
      <formula>$R$38="Loyalty"</formula>
    </cfRule>
  </conditionalFormatting>
  <conditionalFormatting sqref="N36">
    <cfRule type="expression" dxfId="102" priority="48">
      <formula>$N$36="Stability"</formula>
    </cfRule>
    <cfRule type="expression" dxfId="101" priority="49">
      <formula>$N$36="Economy"</formula>
    </cfRule>
    <cfRule type="expression" dxfId="100" priority="50">
      <formula>$N$36="Loyalty"</formula>
    </cfRule>
  </conditionalFormatting>
  <dataValidations xWindow="438" yWindow="739" count="25">
    <dataValidation allowBlank="1" showInputMessage="1" showErrorMessage="1" prompt="Ruler's Charisma Modifier_x000a_+1 for Leadership feat" sqref="L36 L38"/>
    <dataValidation allowBlank="1" showInputMessage="1" showErrorMessage="1" prompt="Councilor's Charisma or Wisdom Modifier_x000a_+1 for Leadership feat" sqref="L42"/>
    <dataValidation allowBlank="1" showInputMessage="1" showErrorMessage="1" prompt="General's Charisma or Strength Modifier_x000a_+1 for Leadership feat" sqref="L44"/>
    <dataValidation allowBlank="1" showInputMessage="1" showErrorMessage="1" prompt="Grand Diplomat's Charisma or Intelligence Modifier_x000a_+1 for Leadership feat" sqref="L46"/>
    <dataValidation allowBlank="1" showInputMessage="1" showErrorMessage="1" prompt="High Priest's Charisma or Wisdom Modifier_x000a_+1 for Leadership feat" sqref="L50"/>
    <dataValidation allowBlank="1" showInputMessage="1" showErrorMessage="1" prompt="Magister's Charisma or Intelligence Modifier_x000a_+1 for Leadership feat" sqref="L52"/>
    <dataValidation allowBlank="1" showInputMessage="1" showErrorMessage="1" prompt="Royal Assassin's Dexterity or Strength Modifier_x000a_+1 for Leadership feat_x000a_Optional: -1 Unrest in Upkeep phase - Succeed at Loyalty check or Loyalty reduces by 1" sqref="L56"/>
    <dataValidation allowBlank="1" showInputMessage="1" showErrorMessage="1" prompt="Marshal's Dexterity or Wisdom Modifier_x000a_+1 for Leadership feat" sqref="L54"/>
    <dataValidation allowBlank="1" showInputMessage="1" showErrorMessage="1" prompt="Spymaster's Dexterity or Intelligence Modifier_x000a_+1 for Leadership feat" sqref="L58"/>
    <dataValidation allowBlank="1" showInputMessage="1" showErrorMessage="1" prompt="Treasurer's Intelligence or Wisdom Modifier_x000a_+1 for Leadership feat" sqref="L60"/>
    <dataValidation allowBlank="1" showInputMessage="1" showErrorMessage="1" prompt="Warden's Constitution or Strength Modifier_x000a_+1 for Leadership feat" sqref="L64"/>
    <dataValidation allowBlank="1" showInputMessage="1" showErrorMessage="1" prompt="Consort's Charisma Modifier_x000a_+1 for Leadership feat" sqref="L40"/>
    <dataValidation allowBlank="1" showInputMessage="1" showErrorMessage="1" prompt="Heir's Charisma Modifier_x000a_+1 for Leadership feat" sqref="L48"/>
    <dataValidation allowBlank="1" showInputMessage="1" showErrorMessage="1" prompt="Viceroy's Intelligence or Wisdom Modifier_x000a_+1 for Leadership feat" sqref="L62"/>
    <dataValidation type="list" allowBlank="1" showInputMessage="1" showErrorMessage="1" sqref="E4">
      <formula1>Alignment</formula1>
    </dataValidation>
    <dataValidation type="list" allowBlank="1" showInputMessage="1" showErrorMessage="1" promptTitle="Alignment" prompt="Lawful kingdoms gain a +2 bonus on Economy checks._x000a__x000a_Neutral kingdoms gain a +2 bonus on Stability checks_x000a__x000a_Chaotic kingdoms gain a +2 bonus on Loyalty checks._x000a_" sqref="D4">
      <formula1>AlignLC</formula1>
    </dataValidation>
    <dataValidation type="list" allowBlank="1" showInputMessage="1" showErrorMessage="1" prompt="Good kingdoms gain a +2 bonus on Loyalty checks. _x000a__x000a_Neutral kingdoms gain a +2 bonus on Stability checks_x000a__x000a_Evil kingdoms gain a +2 bonus on Economy checks. _x000a_" sqref="F4">
      <formula1>AlignGE</formula1>
    </dataValidation>
    <dataValidation type="list" allowBlank="1" showInputMessage="1" showErrorMessage="1" prompt="Festivals, which can also include parades and other public events, can increase the kingdom’s happiness and loyalty." sqref="R62">
      <formula1>Holiday</formula1>
    </dataValidation>
    <dataValidation type="list" allowBlank="1" showInputMessage="1" showErrorMessage="1" prompt="Expansion represents how aggressive your kingdom is in terms of enlarging its territory and claiming new subjects." sqref="R58">
      <formula1>Expansion</formula1>
    </dataValidation>
    <dataValidation type="list" allowBlank="1" showInputMessage="1" showErrorMessage="1" prompt="Taxes are payments gathered from a kingdom’s citizens to help pay for Consumption." sqref="R60">
      <formula1>Tax</formula1>
    </dataValidation>
    <dataValidation type="list" allowBlank="1" showInputMessage="1" showErrorMessage="1" sqref="D6">
      <formula1>FoG</formula1>
    </dataValidation>
    <dataValidation type="list" allowBlank="1" showInputMessage="1" showErrorMessage="1" sqref="R64">
      <formula1>Recruitment</formula1>
    </dataValidation>
    <dataValidation type="list" allowBlank="1" showInputMessage="1" showErrorMessage="1" sqref="H36:J36 H38:J38 H40:J40 H42:J42 H44:J44 H46:J46 H48:J48 H50:J50 H52:J52 H54:J54 H56:J56 H58:J58 H60:J60 H62:J62 H64:J64">
      <formula1>Rulers</formula1>
    </dataValidation>
    <dataValidation type="list" allowBlank="1" showInputMessage="1" showErrorMessage="1" sqref="N36 P36 R36 N38 P38 R38 N58">
      <formula1>Attributes</formula1>
    </dataValidation>
    <dataValidation type="list" allowBlank="1" showInputMessage="1" showErrorMessage="1" sqref="X36:AD36 X38:AD38 X40:AD40 X42:AD42">
      <formula1>Events</formula1>
    </dataValidation>
  </dataValidations>
  <printOptions horizontalCentered="1" verticalCentered="1"/>
  <pageMargins left="0.70866141732283472" right="0.70866141732283472" top="0.74803149606299213" bottom="0.74803149606299213" header="0.31496062992125984" footer="0.31496062992125984"/>
  <pageSetup paperSize="9" scale="57" orientation="landscape" r:id="rId1"/>
  <headerFooter>
    <oddHeader>&amp;CKingdom Overview</oddHeader>
    <oddFooter>&amp;LAdrian&amp;CPage &amp;P&amp;R&amp;D</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rgb="FFDA4A10"/>
  </sheetPr>
  <dimension ref="A1:BK97"/>
  <sheetViews>
    <sheetView zoomScale="85" zoomScaleNormal="85" workbookViewId="0">
      <selection activeCell="D28" sqref="D28"/>
    </sheetView>
  </sheetViews>
  <sheetFormatPr defaultColWidth="9.140625" defaultRowHeight="15" x14ac:dyDescent="0.25"/>
  <cols>
    <col min="1" max="1" width="0.85546875" style="61" customWidth="1"/>
    <col min="2" max="2" width="55.7109375" style="61" customWidth="1"/>
    <col min="3" max="3" width="0.85546875" style="64" customWidth="1"/>
    <col min="4" max="4" width="9.140625" style="61" customWidth="1"/>
    <col min="5" max="5" width="1" style="68" hidden="1" customWidth="1"/>
    <col min="6" max="6" width="11.85546875" style="61" hidden="1" customWidth="1"/>
    <col min="7" max="7" width="0.85546875" style="68" hidden="1" customWidth="1"/>
    <col min="8" max="8" width="10" style="61" hidden="1" customWidth="1"/>
    <col min="9" max="9" width="0.85546875" style="68" hidden="1" customWidth="1"/>
    <col min="10" max="10" width="10.85546875" style="61" hidden="1" customWidth="1"/>
    <col min="11" max="11" width="0.85546875" style="68" hidden="1" customWidth="1"/>
    <col min="12" max="12" width="10.85546875" style="61" hidden="1" customWidth="1"/>
    <col min="13" max="13" width="0.85546875" style="68" hidden="1" customWidth="1"/>
    <col min="14" max="14" width="16.7109375" style="61" hidden="1" customWidth="1"/>
    <col min="15" max="15" width="0.85546875" style="61" hidden="1" customWidth="1"/>
    <col min="16" max="16" width="10.140625" style="61" hidden="1" customWidth="1"/>
    <col min="17" max="17" width="9.140625" style="61" hidden="1" customWidth="1"/>
    <col min="18" max="18" width="11.85546875" style="61" hidden="1" customWidth="1"/>
    <col min="19" max="19" width="10" style="61" hidden="1" customWidth="1"/>
    <col min="20" max="21" width="10.85546875" style="61" hidden="1" customWidth="1"/>
    <col min="22" max="22" width="16.7109375" style="61" hidden="1" customWidth="1"/>
    <col min="23" max="23" width="10.140625" style="145" hidden="1" customWidth="1"/>
    <col min="24" max="25" width="9.140625" style="61" hidden="1" customWidth="1"/>
    <col min="26" max="26" width="0.85546875" style="61" customWidth="1"/>
    <col min="27" max="28" width="9.140625" style="61"/>
    <col min="29" max="29" width="33.7109375" style="61" bestFit="1" customWidth="1"/>
    <col min="30" max="30" width="0.85546875" style="61" customWidth="1"/>
    <col min="31" max="31" width="20.85546875" style="61" bestFit="1" customWidth="1"/>
    <col min="32" max="32" width="0.85546875" style="61" customWidth="1"/>
    <col min="33" max="33" width="8.5703125" style="61" customWidth="1"/>
    <col min="34" max="34" width="0.85546875" style="61" customWidth="1"/>
    <col min="35" max="35" width="8.85546875" style="61" bestFit="1" customWidth="1"/>
    <col min="36" max="36" width="0.85546875" style="61" customWidth="1"/>
    <col min="37" max="37" width="12.42578125" style="61" customWidth="1"/>
    <col min="38" max="38" width="0.85546875" style="61" customWidth="1"/>
    <col min="39" max="39" width="9.28515625" style="61" bestFit="1" customWidth="1"/>
    <col min="40" max="40" width="0.85546875" style="61" customWidth="1"/>
    <col min="41" max="41" width="8.140625" style="61" customWidth="1"/>
    <col min="42" max="42" width="0.85546875" style="61" customWidth="1"/>
    <col min="43" max="43" width="7.7109375" style="61" customWidth="1"/>
    <col min="44" max="44" width="0.85546875" style="61" customWidth="1"/>
    <col min="45" max="45" width="12.28515625" style="61" customWidth="1"/>
    <col min="46" max="46" width="0.85546875" style="61" customWidth="1"/>
    <col min="47" max="47" width="6.42578125" style="61" customWidth="1"/>
    <col min="48" max="48" width="0.85546875" style="61" customWidth="1"/>
    <col min="49" max="49" width="12" style="61" customWidth="1"/>
    <col min="50" max="50" width="0.85546875" style="61" customWidth="1"/>
    <col min="51" max="51" width="7.140625" style="61" customWidth="1"/>
    <col min="52" max="52" width="0.85546875" style="61" customWidth="1"/>
    <col min="53" max="53" width="10" style="61" bestFit="1" customWidth="1"/>
    <col min="54" max="54" width="0.85546875" style="61" customWidth="1"/>
    <col min="55" max="55" width="7.42578125" style="61" customWidth="1"/>
    <col min="56" max="56" width="0.85546875" style="61" customWidth="1"/>
    <col min="57" max="57" width="11" style="61" bestFit="1" customWidth="1"/>
    <col min="58" max="58" width="0.85546875" style="61" customWidth="1"/>
    <col min="59" max="59" width="16.28515625" style="61" customWidth="1"/>
    <col min="60" max="60" width="0.85546875" style="61" customWidth="1"/>
    <col min="61" max="61" width="14.140625" style="61" customWidth="1"/>
    <col min="62" max="62" width="0.85546875" style="61" customWidth="1"/>
    <col min="63" max="16384" width="9.140625" style="61"/>
  </cols>
  <sheetData>
    <row r="1" spans="1:26" ht="6" customHeight="1" thickBot="1" x14ac:dyDescent="0.3">
      <c r="A1" s="141"/>
      <c r="B1" s="142"/>
      <c r="C1" s="143"/>
      <c r="D1" s="142"/>
      <c r="E1" s="144"/>
    </row>
    <row r="2" spans="1:26" ht="15.75" thickBot="1" x14ac:dyDescent="0.3">
      <c r="A2" s="96"/>
      <c r="B2" s="378" t="s">
        <v>89</v>
      </c>
      <c r="C2" s="379"/>
      <c r="D2" s="39">
        <v>2</v>
      </c>
      <c r="E2" s="380"/>
      <c r="F2" s="142"/>
      <c r="G2" s="142"/>
      <c r="H2" s="142"/>
      <c r="I2" s="142"/>
      <c r="J2" s="142"/>
      <c r="K2" s="142"/>
      <c r="L2" s="142"/>
      <c r="M2" s="142"/>
      <c r="N2" s="142"/>
      <c r="O2" s="142"/>
      <c r="P2" s="142"/>
      <c r="Q2" s="142"/>
      <c r="R2" s="142"/>
      <c r="S2" s="142"/>
      <c r="T2" s="142"/>
      <c r="U2" s="142"/>
      <c r="V2" s="142"/>
      <c r="W2" s="381"/>
      <c r="X2" s="142"/>
      <c r="Y2" s="142"/>
      <c r="Z2" s="144"/>
    </row>
    <row r="3" spans="1:26" s="65" customFormat="1" ht="3" customHeight="1" thickBot="1" x14ac:dyDescent="0.3">
      <c r="A3" s="146"/>
      <c r="B3" s="382"/>
      <c r="C3" s="62"/>
      <c r="D3" s="298"/>
      <c r="E3" s="147"/>
      <c r="F3" s="298"/>
      <c r="G3" s="298"/>
      <c r="H3" s="298"/>
      <c r="I3" s="298"/>
      <c r="J3" s="298"/>
      <c r="K3" s="298"/>
      <c r="L3" s="298"/>
      <c r="M3" s="298"/>
      <c r="N3" s="298"/>
      <c r="O3" s="298"/>
      <c r="P3" s="298"/>
      <c r="Q3" s="298"/>
      <c r="R3" s="298"/>
      <c r="S3" s="298"/>
      <c r="T3" s="298"/>
      <c r="U3" s="298"/>
      <c r="V3" s="298"/>
      <c r="W3" s="67"/>
      <c r="X3" s="298"/>
      <c r="Y3" s="298"/>
      <c r="Z3" s="147"/>
    </row>
    <row r="4" spans="1:26" s="65" customFormat="1" ht="15.75" customHeight="1" thickBot="1" x14ac:dyDescent="0.3">
      <c r="A4" s="146"/>
      <c r="B4" s="387" t="s">
        <v>1549</v>
      </c>
      <c r="C4" s="62"/>
      <c r="D4" s="127">
        <f>BI76</f>
        <v>500</v>
      </c>
      <c r="E4" s="147"/>
      <c r="F4" s="298"/>
      <c r="G4" s="298"/>
      <c r="H4" s="298"/>
      <c r="I4" s="298"/>
      <c r="J4" s="298"/>
      <c r="K4" s="298"/>
      <c r="L4" s="298"/>
      <c r="M4" s="298"/>
      <c r="N4" s="298"/>
      <c r="O4" s="298"/>
      <c r="P4" s="298"/>
      <c r="Q4" s="298"/>
      <c r="R4" s="298"/>
      <c r="S4" s="298"/>
      <c r="T4" s="298"/>
      <c r="U4" s="298"/>
      <c r="V4" s="298"/>
      <c r="W4" s="67"/>
      <c r="X4" s="298"/>
      <c r="Y4" s="298"/>
      <c r="Z4" s="147"/>
    </row>
    <row r="5" spans="1:26" s="65" customFormat="1" ht="3" customHeight="1" thickBot="1" x14ac:dyDescent="0.3">
      <c r="A5" s="146"/>
      <c r="B5" s="382"/>
      <c r="C5" s="62"/>
      <c r="D5" s="298"/>
      <c r="E5" s="147"/>
      <c r="F5" s="298"/>
      <c r="G5" s="298"/>
      <c r="H5" s="298"/>
      <c r="I5" s="298"/>
      <c r="J5" s="298"/>
      <c r="K5" s="298"/>
      <c r="L5" s="298"/>
      <c r="M5" s="298"/>
      <c r="N5" s="298"/>
      <c r="O5" s="298"/>
      <c r="P5" s="298"/>
      <c r="Q5" s="298"/>
      <c r="R5" s="298"/>
      <c r="S5" s="298"/>
      <c r="T5" s="298"/>
      <c r="U5" s="298"/>
      <c r="V5" s="298"/>
      <c r="W5" s="67"/>
      <c r="X5" s="298"/>
      <c r="Y5" s="298"/>
      <c r="Z5" s="147"/>
    </row>
    <row r="6" spans="1:26" ht="15.75" thickBot="1" x14ac:dyDescent="0.3">
      <c r="A6" s="96"/>
      <c r="B6" s="563" t="s">
        <v>49</v>
      </c>
      <c r="C6" s="559"/>
      <c r="D6" s="127">
        <f>ROUNDDOWN((SUM(R22:R89)),0)</f>
        <v>1</v>
      </c>
      <c r="E6" s="148"/>
      <c r="F6" s="562"/>
      <c r="G6" s="562"/>
      <c r="H6" s="562"/>
      <c r="I6" s="562"/>
      <c r="J6" s="562"/>
      <c r="K6" s="562"/>
      <c r="L6" s="562"/>
      <c r="M6" s="562"/>
      <c r="N6" s="562"/>
      <c r="O6" s="562"/>
      <c r="P6" s="562"/>
      <c r="Q6" s="562"/>
      <c r="R6" s="562"/>
      <c r="S6" s="562"/>
      <c r="T6" s="562"/>
      <c r="U6" s="562"/>
      <c r="V6" s="562"/>
      <c r="W6" s="556"/>
      <c r="X6" s="562"/>
      <c r="Y6" s="562"/>
      <c r="Z6" s="97"/>
    </row>
    <row r="7" spans="1:26" s="65" customFormat="1" ht="3" customHeight="1" thickBot="1" x14ac:dyDescent="0.3">
      <c r="A7" s="146"/>
      <c r="B7" s="382"/>
      <c r="C7" s="62"/>
      <c r="D7" s="67"/>
      <c r="E7" s="149"/>
      <c r="F7" s="298"/>
      <c r="G7" s="298"/>
      <c r="H7" s="298"/>
      <c r="I7" s="298"/>
      <c r="J7" s="298"/>
      <c r="K7" s="298"/>
      <c r="L7" s="298"/>
      <c r="M7" s="298"/>
      <c r="N7" s="298"/>
      <c r="O7" s="298"/>
      <c r="P7" s="298"/>
      <c r="Q7" s="298"/>
      <c r="R7" s="298"/>
      <c r="S7" s="298"/>
      <c r="T7" s="298"/>
      <c r="U7" s="298"/>
      <c r="V7" s="298"/>
      <c r="W7" s="67"/>
      <c r="X7" s="298"/>
      <c r="Y7" s="298"/>
      <c r="Z7" s="147"/>
    </row>
    <row r="8" spans="1:26" ht="15.75" thickBot="1" x14ac:dyDescent="0.3">
      <c r="A8" s="96"/>
      <c r="B8" s="563" t="s">
        <v>50</v>
      </c>
      <c r="C8" s="559"/>
      <c r="D8" s="127">
        <f>ROUNDDOWN((SUM(S22:S89)),0)</f>
        <v>0</v>
      </c>
      <c r="E8" s="148"/>
      <c r="F8" s="562"/>
      <c r="G8" s="562"/>
      <c r="H8" s="562"/>
      <c r="I8" s="562"/>
      <c r="J8" s="562"/>
      <c r="K8" s="562"/>
      <c r="L8" s="562"/>
      <c r="M8" s="562"/>
      <c r="N8" s="562"/>
      <c r="O8" s="562"/>
      <c r="P8" s="562"/>
      <c r="Q8" s="562"/>
      <c r="R8" s="562"/>
      <c r="S8" s="562"/>
      <c r="T8" s="562"/>
      <c r="U8" s="562"/>
      <c r="V8" s="562"/>
      <c r="W8" s="556"/>
      <c r="X8" s="562"/>
      <c r="Y8" s="562"/>
      <c r="Z8" s="97"/>
    </row>
    <row r="9" spans="1:26" s="65" customFormat="1" ht="3" customHeight="1" thickBot="1" x14ac:dyDescent="0.3">
      <c r="A9" s="146"/>
      <c r="B9" s="382"/>
      <c r="C9" s="62"/>
      <c r="D9" s="67"/>
      <c r="E9" s="149"/>
      <c r="F9" s="298"/>
      <c r="G9" s="298"/>
      <c r="H9" s="298"/>
      <c r="I9" s="298"/>
      <c r="J9" s="298"/>
      <c r="K9" s="298"/>
      <c r="L9" s="298"/>
      <c r="M9" s="298"/>
      <c r="N9" s="298"/>
      <c r="O9" s="298"/>
      <c r="P9" s="298"/>
      <c r="Q9" s="298"/>
      <c r="R9" s="298"/>
      <c r="S9" s="298"/>
      <c r="T9" s="298"/>
      <c r="U9" s="298"/>
      <c r="V9" s="298"/>
      <c r="W9" s="67"/>
      <c r="X9" s="298"/>
      <c r="Y9" s="298"/>
      <c r="Z9" s="147"/>
    </row>
    <row r="10" spans="1:26" ht="15.75" thickBot="1" x14ac:dyDescent="0.3">
      <c r="A10" s="96"/>
      <c r="B10" s="563" t="s">
        <v>51</v>
      </c>
      <c r="C10" s="559"/>
      <c r="D10" s="127">
        <f>ROUNDDOWN((SUM(T22:T89)),0)</f>
        <v>1</v>
      </c>
      <c r="E10" s="148"/>
      <c r="F10" s="562"/>
      <c r="G10" s="562"/>
      <c r="H10" s="562"/>
      <c r="I10" s="562"/>
      <c r="J10" s="562"/>
      <c r="K10" s="562"/>
      <c r="L10" s="562"/>
      <c r="M10" s="562"/>
      <c r="N10" s="562"/>
      <c r="O10" s="562"/>
      <c r="P10" s="562"/>
      <c r="Q10" s="562"/>
      <c r="R10" s="562"/>
      <c r="S10" s="562"/>
      <c r="T10" s="562"/>
      <c r="U10" s="562"/>
      <c r="V10" s="562"/>
      <c r="W10" s="556"/>
      <c r="X10" s="562"/>
      <c r="Y10" s="562"/>
      <c r="Z10" s="97"/>
    </row>
    <row r="11" spans="1:26" s="65" customFormat="1" ht="3" customHeight="1" thickBot="1" x14ac:dyDescent="0.3">
      <c r="A11" s="146"/>
      <c r="B11" s="383"/>
      <c r="C11" s="559"/>
      <c r="D11" s="63"/>
      <c r="E11" s="238"/>
      <c r="F11" s="298"/>
      <c r="G11" s="298"/>
      <c r="H11" s="298"/>
      <c r="I11" s="298"/>
      <c r="J11" s="298"/>
      <c r="K11" s="298"/>
      <c r="L11" s="298"/>
      <c r="M11" s="298"/>
      <c r="N11" s="298"/>
      <c r="O11" s="298"/>
      <c r="P11" s="298"/>
      <c r="Q11" s="298"/>
      <c r="R11" s="298"/>
      <c r="S11" s="298"/>
      <c r="T11" s="298"/>
      <c r="U11" s="298"/>
      <c r="V11" s="298"/>
      <c r="W11" s="67"/>
      <c r="X11" s="298"/>
      <c r="Y11" s="298"/>
      <c r="Z11" s="147"/>
    </row>
    <row r="12" spans="1:26" ht="15.75" thickBot="1" x14ac:dyDescent="0.3">
      <c r="A12" s="96"/>
      <c r="B12" s="563" t="s">
        <v>85</v>
      </c>
      <c r="C12" s="559"/>
      <c r="D12" s="127">
        <f>ROUNDDOWN((SUM(U22:U89)),0)</f>
        <v>0</v>
      </c>
      <c r="E12" s="148"/>
      <c r="F12" s="562"/>
      <c r="G12" s="562"/>
      <c r="H12" s="562"/>
      <c r="I12" s="562"/>
      <c r="J12" s="562"/>
      <c r="K12" s="562"/>
      <c r="L12" s="562"/>
      <c r="M12" s="562"/>
      <c r="N12" s="562"/>
      <c r="O12" s="562"/>
      <c r="P12" s="562"/>
      <c r="Q12" s="562"/>
      <c r="R12" s="562"/>
      <c r="S12" s="562"/>
      <c r="T12" s="562"/>
      <c r="U12" s="562"/>
      <c r="V12" s="562"/>
      <c r="W12" s="556"/>
      <c r="X12" s="562"/>
      <c r="Y12" s="562"/>
      <c r="Z12" s="97"/>
    </row>
    <row r="13" spans="1:26" s="65" customFormat="1" ht="3" customHeight="1" thickBot="1" x14ac:dyDescent="0.3">
      <c r="A13" s="146"/>
      <c r="B13" s="383"/>
      <c r="C13" s="559"/>
      <c r="D13" s="63"/>
      <c r="E13" s="238"/>
      <c r="F13" s="298"/>
      <c r="G13" s="298"/>
      <c r="H13" s="298"/>
      <c r="I13" s="298"/>
      <c r="J13" s="298"/>
      <c r="K13" s="298"/>
      <c r="L13" s="298"/>
      <c r="M13" s="298"/>
      <c r="N13" s="298"/>
      <c r="O13" s="298"/>
      <c r="P13" s="298"/>
      <c r="Q13" s="298"/>
      <c r="R13" s="298"/>
      <c r="S13" s="298"/>
      <c r="T13" s="298"/>
      <c r="U13" s="298"/>
      <c r="V13" s="298"/>
      <c r="W13" s="67"/>
      <c r="X13" s="298"/>
      <c r="Y13" s="298"/>
      <c r="Z13" s="147"/>
    </row>
    <row r="14" spans="1:26" ht="15.75" thickBot="1" x14ac:dyDescent="0.3">
      <c r="A14" s="96"/>
      <c r="B14" s="563" t="s">
        <v>61</v>
      </c>
      <c r="C14" s="559"/>
      <c r="D14" s="127">
        <f>ROUNDDOWN((SUM(V22:V89)),0)</f>
        <v>-4</v>
      </c>
      <c r="E14" s="148"/>
      <c r="F14" s="562"/>
      <c r="G14" s="562"/>
      <c r="H14" s="562"/>
      <c r="I14" s="562"/>
      <c r="J14" s="562"/>
      <c r="K14" s="562"/>
      <c r="L14" s="562"/>
      <c r="M14" s="562"/>
      <c r="N14" s="562"/>
      <c r="O14" s="562"/>
      <c r="P14" s="562"/>
      <c r="Q14" s="562"/>
      <c r="R14" s="562"/>
      <c r="S14" s="562"/>
      <c r="T14" s="562"/>
      <c r="U14" s="562"/>
      <c r="V14" s="562"/>
      <c r="W14" s="556"/>
      <c r="X14" s="562"/>
      <c r="Y14" s="562"/>
      <c r="Z14" s="97"/>
    </row>
    <row r="15" spans="1:26" s="65" customFormat="1" ht="3" customHeight="1" thickBot="1" x14ac:dyDescent="0.3">
      <c r="A15" s="146"/>
      <c r="B15" s="383"/>
      <c r="C15" s="559"/>
      <c r="D15" s="63"/>
      <c r="E15" s="238"/>
      <c r="F15" s="298"/>
      <c r="G15" s="298"/>
      <c r="H15" s="298"/>
      <c r="I15" s="298"/>
      <c r="J15" s="298"/>
      <c r="K15" s="298"/>
      <c r="L15" s="298"/>
      <c r="M15" s="298"/>
      <c r="N15" s="298"/>
      <c r="O15" s="298"/>
      <c r="P15" s="298"/>
      <c r="Q15" s="298"/>
      <c r="R15" s="298"/>
      <c r="S15" s="298"/>
      <c r="T15" s="298"/>
      <c r="U15" s="298"/>
      <c r="V15" s="298"/>
      <c r="W15" s="67"/>
      <c r="X15" s="298"/>
      <c r="Y15" s="298"/>
      <c r="Z15" s="147"/>
    </row>
    <row r="16" spans="1:26" s="65" customFormat="1" ht="15.75" customHeight="1" thickBot="1" x14ac:dyDescent="0.3">
      <c r="A16" s="146"/>
      <c r="B16" s="563" t="s">
        <v>381</v>
      </c>
      <c r="C16" s="559"/>
      <c r="D16" s="150">
        <f>ROUNDDOWN((SUM(W22:W89)),0)</f>
        <v>2</v>
      </c>
      <c r="E16" s="238"/>
      <c r="F16" s="298"/>
      <c r="G16" s="298"/>
      <c r="H16" s="298"/>
      <c r="I16" s="298"/>
      <c r="J16" s="298"/>
      <c r="K16" s="298"/>
      <c r="L16" s="298"/>
      <c r="M16" s="298"/>
      <c r="N16" s="298"/>
      <c r="O16" s="298"/>
      <c r="P16" s="298"/>
      <c r="Q16" s="298"/>
      <c r="R16" s="298"/>
      <c r="S16" s="298"/>
      <c r="T16" s="298"/>
      <c r="U16" s="298"/>
      <c r="V16" s="298"/>
      <c r="W16" s="67"/>
      <c r="X16" s="298"/>
      <c r="Y16" s="298"/>
      <c r="Z16" s="147"/>
    </row>
    <row r="17" spans="1:63" s="65" customFormat="1" ht="3" customHeight="1" x14ac:dyDescent="0.25">
      <c r="A17" s="146"/>
      <c r="B17" s="383"/>
      <c r="C17" s="559"/>
      <c r="D17" s="63"/>
      <c r="E17" s="238"/>
      <c r="F17" s="298"/>
      <c r="G17" s="298"/>
      <c r="H17" s="298"/>
      <c r="I17" s="298"/>
      <c r="J17" s="298"/>
      <c r="K17" s="298"/>
      <c r="L17" s="298"/>
      <c r="M17" s="298"/>
      <c r="N17" s="298"/>
      <c r="O17" s="298"/>
      <c r="P17" s="298"/>
      <c r="Q17" s="298"/>
      <c r="R17" s="298"/>
      <c r="S17" s="298"/>
      <c r="T17" s="298"/>
      <c r="U17" s="298"/>
      <c r="V17" s="298"/>
      <c r="W17" s="67"/>
      <c r="X17" s="298"/>
      <c r="Y17" s="298"/>
      <c r="Z17" s="147"/>
    </row>
    <row r="18" spans="1:63" x14ac:dyDescent="0.25">
      <c r="A18" s="96"/>
      <c r="B18" s="714" t="s">
        <v>321</v>
      </c>
      <c r="C18" s="715"/>
      <c r="D18" s="715"/>
      <c r="E18" s="151"/>
      <c r="F18" s="554"/>
      <c r="G18" s="554"/>
      <c r="H18" s="554"/>
      <c r="I18" s="554"/>
      <c r="J18" s="554"/>
      <c r="K18" s="554"/>
      <c r="L18" s="554"/>
      <c r="M18" s="554"/>
      <c r="N18" s="554"/>
      <c r="O18" s="554"/>
      <c r="P18" s="554"/>
      <c r="Q18" s="562"/>
      <c r="R18" s="562"/>
      <c r="S18" s="562"/>
      <c r="T18" s="562"/>
      <c r="U18" s="562"/>
      <c r="V18" s="562"/>
      <c r="W18" s="556"/>
      <c r="X18" s="562"/>
      <c r="Y18" s="562"/>
      <c r="Z18" s="97"/>
    </row>
    <row r="19" spans="1:63" s="65" customFormat="1" ht="3" customHeight="1" thickBot="1" x14ac:dyDescent="0.3">
      <c r="A19" s="146"/>
      <c r="B19" s="383"/>
      <c r="C19" s="559"/>
      <c r="D19" s="63"/>
      <c r="E19" s="238"/>
      <c r="F19" s="298"/>
      <c r="G19" s="298"/>
      <c r="H19" s="298"/>
      <c r="I19" s="298"/>
      <c r="J19" s="298"/>
      <c r="K19" s="298"/>
      <c r="L19" s="298"/>
      <c r="M19" s="298"/>
      <c r="N19" s="298"/>
      <c r="O19" s="298"/>
      <c r="P19" s="298"/>
      <c r="Q19" s="298"/>
      <c r="R19" s="298"/>
      <c r="S19" s="298"/>
      <c r="T19" s="298"/>
      <c r="U19" s="298"/>
      <c r="V19" s="298"/>
      <c r="W19" s="67"/>
      <c r="X19" s="298"/>
      <c r="Y19" s="298"/>
      <c r="Z19" s="147"/>
    </row>
    <row r="20" spans="1:63" ht="15.75" thickBot="1" x14ac:dyDescent="0.3">
      <c r="A20" s="96"/>
      <c r="B20" s="384" t="s">
        <v>84</v>
      </c>
      <c r="C20" s="152"/>
      <c r="D20" s="153" t="s">
        <v>90</v>
      </c>
      <c r="E20" s="154"/>
      <c r="F20" s="153" t="s">
        <v>49</v>
      </c>
      <c r="G20" s="153"/>
      <c r="H20" s="153" t="s">
        <v>50</v>
      </c>
      <c r="I20" s="153"/>
      <c r="J20" s="153" t="s">
        <v>51</v>
      </c>
      <c r="K20" s="153"/>
      <c r="L20" s="153" t="s">
        <v>85</v>
      </c>
      <c r="M20" s="153"/>
      <c r="N20" s="153" t="s">
        <v>61</v>
      </c>
      <c r="O20" s="153"/>
      <c r="P20" s="153" t="s">
        <v>381</v>
      </c>
      <c r="Q20" s="562"/>
      <c r="R20" s="155" t="s">
        <v>49</v>
      </c>
      <c r="S20" s="156" t="s">
        <v>50</v>
      </c>
      <c r="T20" s="156" t="s">
        <v>51</v>
      </c>
      <c r="U20" s="156" t="s">
        <v>85</v>
      </c>
      <c r="V20" s="156" t="s">
        <v>61</v>
      </c>
      <c r="W20" s="157" t="s">
        <v>381</v>
      </c>
      <c r="X20" s="562"/>
      <c r="Y20" s="562"/>
      <c r="Z20" s="97"/>
      <c r="AC20" s="549" t="s">
        <v>327</v>
      </c>
      <c r="AD20" s="544"/>
      <c r="AE20" s="549" t="s">
        <v>1547</v>
      </c>
      <c r="AF20" s="544"/>
      <c r="AG20" s="549" t="s">
        <v>52</v>
      </c>
      <c r="AH20" s="544"/>
      <c r="AI20" s="549" t="s">
        <v>1623</v>
      </c>
      <c r="AJ20" s="544"/>
      <c r="AK20" s="549" t="s">
        <v>311</v>
      </c>
      <c r="AL20" s="544"/>
      <c r="AM20" s="549" t="s">
        <v>253</v>
      </c>
      <c r="AN20" s="544"/>
      <c r="AO20" s="549" t="s">
        <v>251</v>
      </c>
      <c r="AP20" s="544"/>
      <c r="AQ20" s="549" t="s">
        <v>129</v>
      </c>
      <c r="AR20" s="544"/>
      <c r="AS20" s="549" t="s">
        <v>1548</v>
      </c>
      <c r="AT20" s="544"/>
      <c r="AU20" s="549" t="s">
        <v>223</v>
      </c>
      <c r="AV20" s="544"/>
      <c r="AW20" s="549" t="s">
        <v>313</v>
      </c>
      <c r="AX20" s="544"/>
      <c r="AY20" s="549" t="s">
        <v>224</v>
      </c>
      <c r="AZ20" s="544"/>
      <c r="BA20" s="549" t="s">
        <v>314</v>
      </c>
      <c r="BB20" s="544"/>
      <c r="BC20" s="549" t="s">
        <v>88</v>
      </c>
      <c r="BD20" s="544"/>
      <c r="BE20" s="549" t="s">
        <v>315</v>
      </c>
      <c r="BF20" s="544"/>
      <c r="BG20" s="549" t="s">
        <v>41</v>
      </c>
      <c r="BH20" s="544"/>
      <c r="BI20" s="549" t="s">
        <v>46</v>
      </c>
      <c r="BJ20"/>
      <c r="BK20" s="544"/>
    </row>
    <row r="21" spans="1:63" s="65" customFormat="1" ht="3" customHeight="1" thickBot="1" x14ac:dyDescent="0.3">
      <c r="A21" s="146"/>
      <c r="B21" s="383"/>
      <c r="C21" s="559"/>
      <c r="D21" s="63"/>
      <c r="E21" s="238"/>
      <c r="F21" s="298"/>
      <c r="G21" s="298"/>
      <c r="H21" s="298"/>
      <c r="I21" s="298"/>
      <c r="J21" s="298"/>
      <c r="K21" s="298"/>
      <c r="L21" s="298"/>
      <c r="M21" s="298"/>
      <c r="N21" s="298"/>
      <c r="O21" s="298"/>
      <c r="P21" s="298"/>
      <c r="Q21" s="298"/>
      <c r="R21" s="298"/>
      <c r="S21" s="298"/>
      <c r="T21" s="298"/>
      <c r="U21" s="298"/>
      <c r="V21" s="298"/>
      <c r="W21" s="158"/>
      <c r="X21" s="298"/>
      <c r="Y21" s="298"/>
      <c r="Z21" s="147"/>
      <c r="AC21" s="544"/>
      <c r="AD21" s="545"/>
      <c r="AE21" s="545"/>
      <c r="AF21" s="545"/>
      <c r="AG21" s="545"/>
      <c r="AH21" s="545"/>
      <c r="AI21" s="545"/>
      <c r="AJ21" s="545"/>
      <c r="AK21" s="545"/>
      <c r="AL21" s="545"/>
      <c r="AM21" s="545"/>
      <c r="AN21" s="545"/>
      <c r="AO21" s="545"/>
      <c r="AP21" s="545"/>
      <c r="AQ21" s="545"/>
      <c r="AR21" s="545"/>
      <c r="AS21" s="545"/>
      <c r="AT21" s="545"/>
      <c r="AU21" s="545"/>
      <c r="AV21" s="545"/>
      <c r="AW21" s="545"/>
      <c r="AX21" s="545"/>
      <c r="AY21" s="545"/>
      <c r="AZ21" s="545"/>
      <c r="BA21" s="545"/>
      <c r="BB21" s="545"/>
      <c r="BC21" s="545"/>
      <c r="BD21" s="545"/>
      <c r="BE21" s="545"/>
      <c r="BF21" s="545"/>
      <c r="BG21" s="545"/>
      <c r="BH21" s="545"/>
      <c r="BI21" s="545"/>
      <c r="BJ21"/>
      <c r="BK21" s="545"/>
    </row>
    <row r="22" spans="1:63" ht="15.75" thickBot="1" x14ac:dyDescent="0.3">
      <c r="A22" s="96"/>
      <c r="B22" s="385" t="s">
        <v>311</v>
      </c>
      <c r="C22" s="298"/>
      <c r="D22" s="39"/>
      <c r="E22" s="97"/>
      <c r="F22" s="137"/>
      <c r="G22" s="159"/>
      <c r="H22" s="42">
        <v>1</v>
      </c>
      <c r="I22" s="160"/>
      <c r="J22" s="42">
        <v>1</v>
      </c>
      <c r="K22" s="160"/>
      <c r="L22" s="42"/>
      <c r="M22" s="160"/>
      <c r="N22" s="42"/>
      <c r="O22" s="161"/>
      <c r="P22" s="42"/>
      <c r="Q22" s="562"/>
      <c r="R22" s="162">
        <f>$D22*F22</f>
        <v>0</v>
      </c>
      <c r="S22" s="163">
        <f>$D22*H22</f>
        <v>0</v>
      </c>
      <c r="T22" s="163">
        <f>$D22*J22</f>
        <v>0</v>
      </c>
      <c r="U22" s="163">
        <f t="shared" ref="U22:U38" si="0">$D22*L22</f>
        <v>0</v>
      </c>
      <c r="V22" s="164">
        <f>$D22*N22</f>
        <v>0</v>
      </c>
      <c r="W22" s="165">
        <f>$D22*P22</f>
        <v>0</v>
      </c>
      <c r="X22" s="562"/>
      <c r="Y22" s="562"/>
      <c r="Z22" s="97"/>
      <c r="AC22" s="549" t="s">
        <v>1520</v>
      </c>
      <c r="AD22" s="544"/>
      <c r="AE22" s="548">
        <v>25</v>
      </c>
      <c r="AF22" s="544"/>
      <c r="AG22" s="548"/>
      <c r="AH22" s="544"/>
      <c r="AI22" s="548"/>
      <c r="AJ22" s="544"/>
      <c r="AK22" s="548"/>
      <c r="AL22" s="544"/>
      <c r="AM22" s="548"/>
      <c r="AN22" s="544"/>
      <c r="AO22" s="548"/>
      <c r="AP22" s="544"/>
      <c r="AQ22" s="548"/>
      <c r="AR22" s="544"/>
      <c r="AS22" s="548"/>
      <c r="AT22" s="544"/>
      <c r="AU22" s="548"/>
      <c r="AV22" s="544"/>
      <c r="AW22" s="548"/>
      <c r="AX22" s="544"/>
      <c r="AY22" s="548"/>
      <c r="AZ22" s="544"/>
      <c r="BA22" s="548"/>
      <c r="BB22" s="544"/>
      <c r="BC22" s="548"/>
      <c r="BD22" s="544"/>
      <c r="BE22" s="548"/>
      <c r="BF22" s="544"/>
      <c r="BG22" s="548"/>
      <c r="BH22" s="544"/>
      <c r="BI22" s="550">
        <f>$AE22*AG22+AM22*25+AO22*25+AQ22*100+AS22*50+AU22*50+AW22*25+AY22*25+BA22*25+BE22*25+BG22*25</f>
        <v>0</v>
      </c>
      <c r="BJ22"/>
      <c r="BK22" s="544"/>
    </row>
    <row r="23" spans="1:63" ht="3" customHeight="1" thickBot="1" x14ac:dyDescent="0.3">
      <c r="A23" s="96"/>
      <c r="B23" s="96"/>
      <c r="C23" s="298"/>
      <c r="D23" s="166"/>
      <c r="E23" s="97"/>
      <c r="F23" s="161"/>
      <c r="G23" s="161"/>
      <c r="H23" s="161"/>
      <c r="I23" s="161"/>
      <c r="J23" s="161"/>
      <c r="K23" s="161"/>
      <c r="L23" s="161"/>
      <c r="M23" s="161"/>
      <c r="N23" s="161"/>
      <c r="O23" s="161"/>
      <c r="P23" s="161"/>
      <c r="Q23" s="562"/>
      <c r="R23" s="167"/>
      <c r="S23" s="168"/>
      <c r="T23" s="168"/>
      <c r="U23" s="168">
        <f t="shared" si="0"/>
        <v>0</v>
      </c>
      <c r="V23" s="168"/>
      <c r="W23" s="169"/>
      <c r="X23" s="562"/>
      <c r="Y23" s="562"/>
      <c r="Z23" s="97"/>
      <c r="AC23" s="412"/>
      <c r="AD23" s="544"/>
      <c r="AE23" s="544"/>
      <c r="AF23" s="544"/>
      <c r="AG23" s="544"/>
      <c r="AH23" s="544"/>
      <c r="AI23" s="544"/>
      <c r="AJ23" s="544"/>
      <c r="AK23" s="544"/>
      <c r="AL23" s="544"/>
      <c r="AM23" s="544"/>
      <c r="AN23" s="544"/>
      <c r="AO23" s="544"/>
      <c r="AP23" s="544"/>
      <c r="AQ23" s="544"/>
      <c r="AR23" s="544"/>
      <c r="AS23" s="544"/>
      <c r="AT23" s="544"/>
      <c r="AU23" s="544"/>
      <c r="AV23" s="544"/>
      <c r="AW23" s="544"/>
      <c r="AX23" s="544"/>
      <c r="AY23" s="544"/>
      <c r="AZ23" s="544"/>
      <c r="BA23" s="544"/>
      <c r="BB23" s="544"/>
      <c r="BC23" s="544"/>
      <c r="BD23" s="544"/>
      <c r="BE23" s="544"/>
      <c r="BF23" s="544"/>
      <c r="BG23" s="544"/>
      <c r="BH23" s="544"/>
      <c r="BI23"/>
      <c r="BJ23"/>
      <c r="BK23" s="544"/>
    </row>
    <row r="24" spans="1:63" ht="15.75" thickBot="1" x14ac:dyDescent="0.3">
      <c r="A24" s="96"/>
      <c r="B24" s="385" t="s">
        <v>253</v>
      </c>
      <c r="C24" s="298"/>
      <c r="D24" s="39"/>
      <c r="E24" s="97"/>
      <c r="F24" s="137"/>
      <c r="G24" s="159"/>
      <c r="H24" s="42"/>
      <c r="I24" s="160"/>
      <c r="J24" s="42"/>
      <c r="K24" s="160"/>
      <c r="L24" s="42"/>
      <c r="M24" s="160"/>
      <c r="N24" s="42"/>
      <c r="O24" s="161"/>
      <c r="P24" s="42"/>
      <c r="Q24" s="562"/>
      <c r="R24" s="170">
        <f>$D24*F24</f>
        <v>0</v>
      </c>
      <c r="S24" s="171">
        <f>$D24*H24</f>
        <v>0</v>
      </c>
      <c r="T24" s="171">
        <f>$D24*J24</f>
        <v>0</v>
      </c>
      <c r="U24" s="171">
        <f t="shared" si="0"/>
        <v>0</v>
      </c>
      <c r="V24" s="168">
        <f>$D24*N24</f>
        <v>0</v>
      </c>
      <c r="W24" s="172">
        <f>$D24*P24</f>
        <v>0</v>
      </c>
      <c r="X24" s="562"/>
      <c r="Y24" s="562"/>
      <c r="Z24" s="97"/>
      <c r="AC24" s="549" t="s">
        <v>1529</v>
      </c>
      <c r="AD24" s="544"/>
      <c r="AE24" s="547">
        <f>AE22*2</f>
        <v>50</v>
      </c>
      <c r="AF24" s="544"/>
      <c r="AG24" s="548"/>
      <c r="AH24" s="544"/>
      <c r="AI24" s="548"/>
      <c r="AJ24" s="544"/>
      <c r="AK24" s="548"/>
      <c r="AL24" s="544"/>
      <c r="AM24" s="548"/>
      <c r="AN24" s="544"/>
      <c r="AO24" s="548"/>
      <c r="AP24" s="544"/>
      <c r="AQ24" s="548"/>
      <c r="AR24" s="544"/>
      <c r="AS24" s="548"/>
      <c r="AT24" s="544"/>
      <c r="AU24" s="548"/>
      <c r="AV24" s="544"/>
      <c r="AW24" s="548"/>
      <c r="AX24" s="544"/>
      <c r="AY24" s="548"/>
      <c r="AZ24" s="544"/>
      <c r="BA24" s="548"/>
      <c r="BB24" s="544"/>
      <c r="BC24" s="548"/>
      <c r="BD24" s="544"/>
      <c r="BE24" s="548"/>
      <c r="BF24" s="544"/>
      <c r="BG24" s="548"/>
      <c r="BH24" s="544"/>
      <c r="BI24" s="550">
        <f>$AE24*AG24+AM24*25+AO24*25+AQ24*100+AS24*50+AU24*50+AW24*25+AY24*25+BA24*25+BE24*25+BG24*25</f>
        <v>0</v>
      </c>
      <c r="BJ24"/>
      <c r="BK24" s="544"/>
    </row>
    <row r="25" spans="1:63" s="68" customFormat="1" ht="3" customHeight="1" thickBot="1" x14ac:dyDescent="0.3">
      <c r="A25" s="96"/>
      <c r="B25" s="96"/>
      <c r="C25" s="298"/>
      <c r="D25" s="556"/>
      <c r="E25" s="97"/>
      <c r="F25" s="161"/>
      <c r="G25" s="161"/>
      <c r="H25" s="161"/>
      <c r="I25" s="161"/>
      <c r="J25" s="161"/>
      <c r="K25" s="161"/>
      <c r="L25" s="161"/>
      <c r="M25" s="161"/>
      <c r="N25" s="161"/>
      <c r="O25" s="161"/>
      <c r="P25" s="161"/>
      <c r="Q25" s="562"/>
      <c r="R25" s="167"/>
      <c r="S25" s="168"/>
      <c r="T25" s="168"/>
      <c r="U25" s="168">
        <f t="shared" si="0"/>
        <v>0</v>
      </c>
      <c r="V25" s="168"/>
      <c r="W25" s="169"/>
      <c r="X25" s="562"/>
      <c r="Y25" s="562"/>
      <c r="Z25" s="97"/>
      <c r="AC25" s="412"/>
      <c r="AD25" s="412"/>
      <c r="AE25" s="412"/>
      <c r="AF25" s="412"/>
      <c r="AG25" s="412"/>
      <c r="AH25" s="412"/>
      <c r="AI25" s="412"/>
      <c r="AJ25" s="412"/>
      <c r="AK25" s="412"/>
      <c r="AL25" s="412"/>
      <c r="AM25" s="412"/>
      <c r="AN25" s="412"/>
      <c r="AO25" s="412"/>
      <c r="AP25" s="412"/>
      <c r="AQ25" s="412"/>
      <c r="AR25" s="412"/>
      <c r="AS25" s="412"/>
      <c r="AT25" s="412"/>
      <c r="AU25" s="412"/>
      <c r="AV25" s="412"/>
      <c r="AW25" s="412"/>
      <c r="AX25" s="412"/>
      <c r="AY25" s="412"/>
      <c r="AZ25" s="412"/>
      <c r="BA25" s="412"/>
      <c r="BB25" s="412"/>
      <c r="BC25" s="412"/>
      <c r="BD25" s="412"/>
      <c r="BE25" s="412"/>
      <c r="BF25" s="412"/>
      <c r="BG25" s="412"/>
      <c r="BH25" s="412"/>
      <c r="BI25"/>
      <c r="BJ25"/>
      <c r="BK25" s="412"/>
    </row>
    <row r="26" spans="1:63" ht="15.75" thickBot="1" x14ac:dyDescent="0.3">
      <c r="A26" s="96"/>
      <c r="B26" s="385" t="s">
        <v>251</v>
      </c>
      <c r="C26" s="298"/>
      <c r="D26" s="39"/>
      <c r="E26" s="97"/>
      <c r="F26" s="137"/>
      <c r="G26" s="159"/>
      <c r="H26" s="42"/>
      <c r="I26" s="160"/>
      <c r="J26" s="42"/>
      <c r="K26" s="160"/>
      <c r="L26" s="42"/>
      <c r="M26" s="160"/>
      <c r="N26" s="42"/>
      <c r="O26" s="161"/>
      <c r="P26" s="42"/>
      <c r="Q26" s="562"/>
      <c r="R26" s="170">
        <f>$D26*F26</f>
        <v>0</v>
      </c>
      <c r="S26" s="171">
        <f>$D26*H26</f>
        <v>0</v>
      </c>
      <c r="T26" s="171">
        <f>$D26*J26</f>
        <v>0</v>
      </c>
      <c r="U26" s="171">
        <f t="shared" si="0"/>
        <v>0</v>
      </c>
      <c r="V26" s="168">
        <f>$D26*N26</f>
        <v>0</v>
      </c>
      <c r="W26" s="172">
        <f>$D26*P26</f>
        <v>0</v>
      </c>
      <c r="X26" s="562"/>
      <c r="Y26" s="562"/>
      <c r="Z26" s="97"/>
      <c r="AC26" s="549" t="s">
        <v>1530</v>
      </c>
      <c r="AD26" s="544"/>
      <c r="AE26" s="547">
        <f>3*AE22</f>
        <v>75</v>
      </c>
      <c r="AF26" s="544"/>
      <c r="AG26" s="548"/>
      <c r="AH26" s="544"/>
      <c r="AI26" s="548"/>
      <c r="AJ26" s="544"/>
      <c r="AK26" s="548"/>
      <c r="AL26" s="544"/>
      <c r="AM26" s="548"/>
      <c r="AN26" s="544"/>
      <c r="AO26" s="548"/>
      <c r="AP26" s="544"/>
      <c r="AQ26" s="548"/>
      <c r="AR26" s="544"/>
      <c r="AS26" s="548"/>
      <c r="AT26" s="544"/>
      <c r="AU26" s="548"/>
      <c r="AV26" s="544"/>
      <c r="AW26" s="548"/>
      <c r="AX26" s="544"/>
      <c r="AY26" s="548"/>
      <c r="AZ26" s="544"/>
      <c r="BA26" s="548"/>
      <c r="BB26" s="544"/>
      <c r="BC26" s="548"/>
      <c r="BD26" s="544"/>
      <c r="BE26" s="548"/>
      <c r="BF26" s="544"/>
      <c r="BG26" s="548"/>
      <c r="BH26" s="544"/>
      <c r="BI26" s="550">
        <f>$AE26*AG26+AM26*25+AO26*25+AQ26*100+AS26*50+AU26*50+AW26*25+AY26*25+BA26*25+BE26*25+BG26*25</f>
        <v>0</v>
      </c>
      <c r="BJ26"/>
      <c r="BK26" s="544"/>
    </row>
    <row r="27" spans="1:63" s="68" customFormat="1" ht="3" customHeight="1" thickBot="1" x14ac:dyDescent="0.3">
      <c r="A27" s="96"/>
      <c r="B27" s="96"/>
      <c r="C27" s="298"/>
      <c r="D27" s="556"/>
      <c r="E27" s="97"/>
      <c r="F27" s="161"/>
      <c r="G27" s="161"/>
      <c r="H27" s="161"/>
      <c r="I27" s="161"/>
      <c r="J27" s="161"/>
      <c r="K27" s="161"/>
      <c r="L27" s="161"/>
      <c r="M27" s="161"/>
      <c r="N27" s="161"/>
      <c r="O27" s="161"/>
      <c r="P27" s="161"/>
      <c r="Q27" s="562"/>
      <c r="R27" s="167"/>
      <c r="S27" s="168"/>
      <c r="T27" s="168"/>
      <c r="U27" s="168">
        <f t="shared" si="0"/>
        <v>0</v>
      </c>
      <c r="V27" s="168"/>
      <c r="W27" s="169"/>
      <c r="X27" s="562"/>
      <c r="Y27" s="562"/>
      <c r="Z27" s="97"/>
      <c r="AC27" s="412"/>
      <c r="AD27" s="412"/>
      <c r="AE27" s="412"/>
      <c r="AF27" s="412"/>
      <c r="AG27" s="412"/>
      <c r="AH27" s="412"/>
      <c r="AI27" s="412"/>
      <c r="AJ27" s="412"/>
      <c r="AK27" s="412"/>
      <c r="AL27" s="412"/>
      <c r="AM27" s="412"/>
      <c r="AN27" s="412"/>
      <c r="AO27" s="412"/>
      <c r="AP27" s="412"/>
      <c r="AQ27" s="412"/>
      <c r="AR27" s="412"/>
      <c r="AS27" s="412"/>
      <c r="AT27" s="412"/>
      <c r="AU27" s="412"/>
      <c r="AV27" s="412"/>
      <c r="AW27" s="412"/>
      <c r="AX27" s="412"/>
      <c r="AY27" s="412"/>
      <c r="AZ27" s="412"/>
      <c r="BA27" s="412"/>
      <c r="BB27" s="412"/>
      <c r="BC27" s="412"/>
      <c r="BD27" s="412"/>
      <c r="BE27" s="412"/>
      <c r="BF27" s="412"/>
      <c r="BG27" s="412"/>
      <c r="BH27" s="412"/>
      <c r="BI27"/>
      <c r="BJ27"/>
      <c r="BK27" s="412"/>
    </row>
    <row r="28" spans="1:63" ht="15.75" thickBot="1" x14ac:dyDescent="0.3">
      <c r="A28" s="96"/>
      <c r="B28" s="385" t="s">
        <v>129</v>
      </c>
      <c r="C28" s="298"/>
      <c r="D28" s="39">
        <v>2</v>
      </c>
      <c r="E28" s="97"/>
      <c r="F28" s="137"/>
      <c r="G28" s="159"/>
      <c r="H28" s="42"/>
      <c r="I28" s="160"/>
      <c r="J28" s="42"/>
      <c r="K28" s="160"/>
      <c r="L28" s="42"/>
      <c r="M28" s="160"/>
      <c r="N28" s="42">
        <v>-2</v>
      </c>
      <c r="O28" s="161"/>
      <c r="P28" s="42"/>
      <c r="Q28" s="562"/>
      <c r="R28" s="170">
        <f>$D28*F28</f>
        <v>0</v>
      </c>
      <c r="S28" s="171">
        <f>$D28*H28</f>
        <v>0</v>
      </c>
      <c r="T28" s="171">
        <f>$D28*J28</f>
        <v>0</v>
      </c>
      <c r="U28" s="171">
        <f t="shared" si="0"/>
        <v>0</v>
      </c>
      <c r="V28" s="168">
        <f>$D28*N28</f>
        <v>-4</v>
      </c>
      <c r="W28" s="172">
        <f>$D28*P28</f>
        <v>0</v>
      </c>
      <c r="X28" s="562"/>
      <c r="Y28" s="562"/>
      <c r="Z28" s="97"/>
      <c r="AC28" s="542" t="s">
        <v>1521</v>
      </c>
      <c r="AD28" s="544"/>
      <c r="AE28" s="548">
        <v>25</v>
      </c>
      <c r="AF28" s="544"/>
      <c r="AG28" s="548"/>
      <c r="AH28" s="544"/>
      <c r="AI28" s="548"/>
      <c r="AJ28" s="544"/>
      <c r="AK28" s="548"/>
      <c r="AL28" s="544"/>
      <c r="AM28" s="548"/>
      <c r="AN28" s="544"/>
      <c r="AO28" s="548"/>
      <c r="AP28" s="544"/>
      <c r="AQ28" s="548"/>
      <c r="AR28" s="544"/>
      <c r="AS28" s="548"/>
      <c r="AT28" s="544"/>
      <c r="AU28" s="548"/>
      <c r="AV28" s="544"/>
      <c r="AW28" s="548"/>
      <c r="AX28" s="544"/>
      <c r="AY28" s="548"/>
      <c r="AZ28" s="544"/>
      <c r="BA28" s="548"/>
      <c r="BB28" s="544"/>
      <c r="BC28" s="548"/>
      <c r="BD28" s="544"/>
      <c r="BE28" s="548"/>
      <c r="BF28" s="544"/>
      <c r="BG28" s="548"/>
      <c r="BH28" s="544"/>
      <c r="BI28" s="550">
        <f>$AE28*AG28+AM28*25+AO28*25+AQ28*100+AS28*50+AU28*50+AW28*25+AY28*25+BA28*25+BE28*25+BG28*25</f>
        <v>0</v>
      </c>
      <c r="BJ28"/>
      <c r="BK28" s="544"/>
    </row>
    <row r="29" spans="1:63" s="68" customFormat="1" ht="3" customHeight="1" thickBot="1" x14ac:dyDescent="0.3">
      <c r="A29" s="96"/>
      <c r="B29" s="96"/>
      <c r="C29" s="298"/>
      <c r="D29" s="556">
        <v>2</v>
      </c>
      <c r="E29" s="97"/>
      <c r="F29" s="161"/>
      <c r="G29" s="161"/>
      <c r="H29" s="161"/>
      <c r="I29" s="161"/>
      <c r="J29" s="161"/>
      <c r="K29" s="161"/>
      <c r="L29" s="161"/>
      <c r="M29" s="161"/>
      <c r="N29" s="161"/>
      <c r="O29" s="161"/>
      <c r="P29" s="161"/>
      <c r="Q29" s="562"/>
      <c r="R29" s="167"/>
      <c r="S29" s="168"/>
      <c r="T29" s="168"/>
      <c r="U29" s="168">
        <f t="shared" si="0"/>
        <v>0</v>
      </c>
      <c r="V29" s="168"/>
      <c r="W29" s="169"/>
      <c r="X29" s="562"/>
      <c r="Y29" s="562"/>
      <c r="Z29" s="97"/>
      <c r="AC29" s="412"/>
      <c r="AD29" s="412"/>
      <c r="AE29" s="412"/>
      <c r="AF29" s="412"/>
      <c r="AG29" s="412"/>
      <c r="AH29" s="412"/>
      <c r="AI29" s="412"/>
      <c r="AJ29" s="412"/>
      <c r="AK29" s="412"/>
      <c r="AL29" s="412"/>
      <c r="AM29" s="412"/>
      <c r="AN29" s="412"/>
      <c r="AO29" s="412"/>
      <c r="AP29" s="412"/>
      <c r="AQ29" s="412"/>
      <c r="AR29" s="412"/>
      <c r="AS29" s="412"/>
      <c r="AT29" s="412"/>
      <c r="AU29" s="412"/>
      <c r="AV29" s="412"/>
      <c r="AW29" s="412"/>
      <c r="AX29" s="412"/>
      <c r="AY29" s="412"/>
      <c r="AZ29" s="412"/>
      <c r="BA29" s="412"/>
      <c r="BB29" s="412"/>
      <c r="BC29" s="412"/>
      <c r="BD29" s="412"/>
      <c r="BE29" s="412"/>
      <c r="BF29" s="412"/>
      <c r="BG29" s="412"/>
      <c r="BH29" s="412"/>
      <c r="BI29"/>
      <c r="BJ29"/>
      <c r="BK29" s="412"/>
    </row>
    <row r="30" spans="1:63" s="68" customFormat="1" ht="15.75" thickBot="1" x14ac:dyDescent="0.3">
      <c r="A30" s="96"/>
      <c r="B30" s="385" t="s">
        <v>322</v>
      </c>
      <c r="C30" s="298"/>
      <c r="D30" s="39"/>
      <c r="E30" s="97"/>
      <c r="F30" s="137"/>
      <c r="G30" s="159"/>
      <c r="H30" s="42"/>
      <c r="I30" s="160"/>
      <c r="J30" s="42"/>
      <c r="K30" s="160"/>
      <c r="L30" s="42"/>
      <c r="M30" s="160"/>
      <c r="N30" s="42">
        <v>-3</v>
      </c>
      <c r="O30" s="161"/>
      <c r="P30" s="42"/>
      <c r="Q30" s="562"/>
      <c r="R30" s="170">
        <f>$D30*F30</f>
        <v>0</v>
      </c>
      <c r="S30" s="171">
        <f>$D30*H30</f>
        <v>0</v>
      </c>
      <c r="T30" s="171">
        <f>$D30*J30</f>
        <v>0</v>
      </c>
      <c r="U30" s="171">
        <f t="shared" si="0"/>
        <v>0</v>
      </c>
      <c r="V30" s="168">
        <f>$D30*N30</f>
        <v>0</v>
      </c>
      <c r="W30" s="172">
        <f>$D30*P30</f>
        <v>0</v>
      </c>
      <c r="X30" s="562"/>
      <c r="Y30" s="562"/>
      <c r="Z30" s="97"/>
      <c r="AC30" s="542" t="s">
        <v>1531</v>
      </c>
      <c r="AD30" s="412"/>
      <c r="AE30" s="547">
        <f>AE28*2</f>
        <v>50</v>
      </c>
      <c r="AF30" s="412"/>
      <c r="AG30" s="548"/>
      <c r="AH30" s="412"/>
      <c r="AI30" s="548"/>
      <c r="AJ30" s="412"/>
      <c r="AK30" s="548"/>
      <c r="AL30" s="412"/>
      <c r="AM30" s="548"/>
      <c r="AN30" s="412"/>
      <c r="AO30" s="548"/>
      <c r="AP30" s="412"/>
      <c r="AQ30" s="548"/>
      <c r="AR30" s="412"/>
      <c r="AS30" s="548"/>
      <c r="AT30" s="412"/>
      <c r="AU30" s="548"/>
      <c r="AV30" s="412"/>
      <c r="AW30" s="548"/>
      <c r="AX30" s="412"/>
      <c r="AY30" s="548"/>
      <c r="AZ30" s="412"/>
      <c r="BA30" s="548"/>
      <c r="BB30" s="412"/>
      <c r="BC30" s="548"/>
      <c r="BD30" s="412"/>
      <c r="BE30" s="548"/>
      <c r="BF30" s="412"/>
      <c r="BG30" s="548"/>
      <c r="BH30" s="412"/>
      <c r="BI30" s="550">
        <f>$AE30*AG30+AM30*25+AO30*25+AQ30*100+AS30*50+AU30*50+AW30*25+AY30*25+BA30*25+BE30*25+BG30*25</f>
        <v>0</v>
      </c>
      <c r="BJ30"/>
      <c r="BK30" s="412"/>
    </row>
    <row r="31" spans="1:63" s="68" customFormat="1" ht="3" customHeight="1" thickBot="1" x14ac:dyDescent="0.3">
      <c r="A31" s="96"/>
      <c r="B31" s="96"/>
      <c r="C31" s="298"/>
      <c r="D31" s="556"/>
      <c r="E31" s="97"/>
      <c r="F31" s="161"/>
      <c r="G31" s="161"/>
      <c r="H31" s="161"/>
      <c r="I31" s="161"/>
      <c r="J31" s="161"/>
      <c r="K31" s="161"/>
      <c r="L31" s="161"/>
      <c r="M31" s="161"/>
      <c r="N31" s="161"/>
      <c r="O31" s="161"/>
      <c r="P31" s="161"/>
      <c r="Q31" s="562"/>
      <c r="R31" s="167"/>
      <c r="S31" s="168"/>
      <c r="T31" s="168"/>
      <c r="U31" s="168">
        <f t="shared" si="0"/>
        <v>0</v>
      </c>
      <c r="V31" s="168"/>
      <c r="W31" s="169"/>
      <c r="X31" s="562"/>
      <c r="Y31" s="562"/>
      <c r="Z31" s="97"/>
      <c r="AC31" s="412"/>
      <c r="AD31" s="412"/>
      <c r="AE31" s="412"/>
      <c r="AF31" s="412"/>
      <c r="AG31" s="412"/>
      <c r="AH31" s="412"/>
      <c r="AI31" s="412"/>
      <c r="AJ31" s="412"/>
      <c r="AK31" s="412"/>
      <c r="AL31" s="412"/>
      <c r="AM31" s="412"/>
      <c r="AN31" s="412"/>
      <c r="AO31" s="412"/>
      <c r="AP31" s="412"/>
      <c r="AQ31" s="412"/>
      <c r="AR31" s="412"/>
      <c r="AS31" s="412"/>
      <c r="AT31" s="412"/>
      <c r="AU31" s="412"/>
      <c r="AV31" s="412"/>
      <c r="AW31" s="412"/>
      <c r="AX31" s="412"/>
      <c r="AY31" s="412"/>
      <c r="AZ31" s="412"/>
      <c r="BA31" s="412"/>
      <c r="BB31" s="412"/>
      <c r="BC31" s="412"/>
      <c r="BD31" s="412"/>
      <c r="BE31" s="412"/>
      <c r="BF31" s="412"/>
      <c r="BG31" s="412"/>
      <c r="BH31" s="412"/>
      <c r="BI31"/>
      <c r="BJ31"/>
      <c r="BK31" s="412"/>
    </row>
    <row r="32" spans="1:63" s="406" customFormat="1" ht="15.75" customHeight="1" thickBot="1" x14ac:dyDescent="0.3">
      <c r="A32" s="96"/>
      <c r="B32" s="387" t="s">
        <v>841</v>
      </c>
      <c r="C32" s="298"/>
      <c r="D32" s="39"/>
      <c r="E32" s="97"/>
      <c r="F32" s="42"/>
      <c r="G32" s="161"/>
      <c r="H32" s="42"/>
      <c r="I32" s="161"/>
      <c r="J32" s="42"/>
      <c r="K32" s="161"/>
      <c r="L32" s="42"/>
      <c r="M32" s="161"/>
      <c r="N32" s="42">
        <v>-3</v>
      </c>
      <c r="O32" s="161"/>
      <c r="P32" s="42"/>
      <c r="Q32" s="562"/>
      <c r="R32" s="170">
        <f>$D32*F32</f>
        <v>0</v>
      </c>
      <c r="S32" s="171">
        <f>$D32*H32</f>
        <v>0</v>
      </c>
      <c r="T32" s="171">
        <f>$D32*J32</f>
        <v>0</v>
      </c>
      <c r="U32" s="171">
        <f t="shared" si="0"/>
        <v>0</v>
      </c>
      <c r="V32" s="168">
        <f>$D32*N32</f>
        <v>0</v>
      </c>
      <c r="W32" s="172">
        <f>$D32*P32</f>
        <v>0</v>
      </c>
      <c r="X32" s="562"/>
      <c r="Y32" s="562"/>
      <c r="Z32" s="97"/>
      <c r="AC32" s="542" t="s">
        <v>1532</v>
      </c>
      <c r="AD32" s="412"/>
      <c r="AE32" s="547">
        <f>AE28*3</f>
        <v>75</v>
      </c>
      <c r="AF32" s="412"/>
      <c r="AG32" s="548"/>
      <c r="AH32" s="412"/>
      <c r="AI32" s="548"/>
      <c r="AJ32" s="412"/>
      <c r="AK32" s="548"/>
      <c r="AL32" s="412"/>
      <c r="AM32" s="548"/>
      <c r="AN32" s="412"/>
      <c r="AO32" s="548"/>
      <c r="AP32" s="412"/>
      <c r="AQ32" s="548"/>
      <c r="AR32" s="412"/>
      <c r="AS32" s="548"/>
      <c r="AT32" s="412"/>
      <c r="AU32" s="548"/>
      <c r="AV32" s="412"/>
      <c r="AW32" s="548"/>
      <c r="AX32" s="412"/>
      <c r="AY32" s="548"/>
      <c r="AZ32" s="412"/>
      <c r="BA32" s="548"/>
      <c r="BB32" s="412"/>
      <c r="BC32" s="548"/>
      <c r="BD32" s="412"/>
      <c r="BE32" s="548"/>
      <c r="BF32" s="412"/>
      <c r="BG32" s="548"/>
      <c r="BH32" s="412"/>
      <c r="BI32" s="550">
        <f>$AE32*AG32+AM32*25+AO32*25+AQ32*100+AS32*50+AU32*50+AW32*25+AY32*25+BA32*25+BE32*25+BG32*25</f>
        <v>0</v>
      </c>
      <c r="BJ32"/>
      <c r="BK32" s="412"/>
    </row>
    <row r="33" spans="1:63" s="406" customFormat="1" ht="3" customHeight="1" thickBot="1" x14ac:dyDescent="0.3">
      <c r="A33" s="96"/>
      <c r="B33" s="96"/>
      <c r="C33" s="298"/>
      <c r="D33" s="556"/>
      <c r="E33" s="97"/>
      <c r="F33" s="161"/>
      <c r="G33" s="161"/>
      <c r="H33" s="161"/>
      <c r="I33" s="161"/>
      <c r="J33" s="161"/>
      <c r="K33" s="161"/>
      <c r="L33" s="161"/>
      <c r="M33" s="161"/>
      <c r="N33" s="161"/>
      <c r="O33" s="161"/>
      <c r="P33" s="161"/>
      <c r="Q33" s="562"/>
      <c r="R33" s="408"/>
      <c r="S33" s="175"/>
      <c r="T33" s="175"/>
      <c r="U33" s="175"/>
      <c r="V33" s="175"/>
      <c r="W33" s="169"/>
      <c r="X33" s="562"/>
      <c r="Y33" s="562"/>
      <c r="Z33" s="97"/>
      <c r="AC33" s="412"/>
      <c r="AD33" s="412"/>
      <c r="AE33" s="412"/>
      <c r="AF33" s="412"/>
      <c r="AG33" s="412"/>
      <c r="AH33" s="412"/>
      <c r="AI33" s="412"/>
      <c r="AJ33" s="412"/>
      <c r="AK33" s="412"/>
      <c r="AL33" s="412"/>
      <c r="AM33" s="412"/>
      <c r="AN33" s="412"/>
      <c r="AO33" s="412"/>
      <c r="AP33" s="412"/>
      <c r="AQ33" s="412"/>
      <c r="AR33" s="412"/>
      <c r="AS33" s="412"/>
      <c r="AT33" s="412"/>
      <c r="AU33" s="412"/>
      <c r="AV33" s="412"/>
      <c r="AW33" s="412"/>
      <c r="AX33" s="412"/>
      <c r="AY33" s="412"/>
      <c r="AZ33" s="412"/>
      <c r="BA33" s="412"/>
      <c r="BB33" s="412"/>
      <c r="BC33" s="412"/>
      <c r="BD33" s="412"/>
      <c r="BE33" s="412"/>
      <c r="BF33" s="412"/>
      <c r="BG33" s="412"/>
      <c r="BH33" s="412"/>
      <c r="BI33"/>
      <c r="BJ33"/>
      <c r="BK33" s="412"/>
    </row>
    <row r="34" spans="1:63" s="406" customFormat="1" ht="15.75" customHeight="1" thickBot="1" x14ac:dyDescent="0.3">
      <c r="A34" s="96"/>
      <c r="B34" s="387" t="s">
        <v>842</v>
      </c>
      <c r="C34" s="298"/>
      <c r="D34" s="39"/>
      <c r="E34" s="97"/>
      <c r="F34" s="42"/>
      <c r="G34" s="161"/>
      <c r="H34" s="42"/>
      <c r="I34" s="161"/>
      <c r="J34" s="42"/>
      <c r="K34" s="161"/>
      <c r="L34" s="42"/>
      <c r="M34" s="161"/>
      <c r="N34" s="42">
        <v>-4</v>
      </c>
      <c r="O34" s="161"/>
      <c r="P34" s="42"/>
      <c r="Q34" s="562"/>
      <c r="R34" s="170">
        <f>$D34*F34</f>
        <v>0</v>
      </c>
      <c r="S34" s="171">
        <f>$D34*H34</f>
        <v>0</v>
      </c>
      <c r="T34" s="171">
        <f>$D34*J34</f>
        <v>0</v>
      </c>
      <c r="U34" s="171">
        <f t="shared" si="0"/>
        <v>0</v>
      </c>
      <c r="V34" s="171">
        <f>$D34*N34</f>
        <v>0</v>
      </c>
      <c r="W34" s="172">
        <f>$D34*P34</f>
        <v>0</v>
      </c>
      <c r="X34" s="562"/>
      <c r="Y34" s="562"/>
      <c r="Z34" s="97"/>
      <c r="AC34" s="549" t="s">
        <v>1522</v>
      </c>
      <c r="AD34" s="412"/>
      <c r="AE34" s="548">
        <v>25</v>
      </c>
      <c r="AF34" s="412"/>
      <c r="AG34" s="548"/>
      <c r="AH34" s="412"/>
      <c r="AI34" s="548"/>
      <c r="AJ34" s="412"/>
      <c r="AK34" s="548"/>
      <c r="AL34" s="412"/>
      <c r="AM34" s="548"/>
      <c r="AN34" s="412"/>
      <c r="AO34" s="548"/>
      <c r="AP34" s="412"/>
      <c r="AQ34" s="548"/>
      <c r="AR34" s="412"/>
      <c r="AS34" s="548"/>
      <c r="AT34" s="412"/>
      <c r="AU34" s="548"/>
      <c r="AV34" s="412"/>
      <c r="AW34" s="548"/>
      <c r="AX34" s="412"/>
      <c r="AY34" s="548"/>
      <c r="AZ34" s="412"/>
      <c r="BA34" s="548"/>
      <c r="BB34" s="412"/>
      <c r="BC34" s="548"/>
      <c r="BD34" s="412"/>
      <c r="BE34" s="548"/>
      <c r="BF34" s="412"/>
      <c r="BG34" s="548"/>
      <c r="BH34" s="412"/>
      <c r="BI34" s="550">
        <f>$AE34*AG34+AM34*25+AO34*25+AQ34*100+AS34*50+AU34*50+AW34*25+AY34*25+BA34*25+BE34*25+BG34*25</f>
        <v>0</v>
      </c>
      <c r="BJ34"/>
      <c r="BK34" s="412"/>
    </row>
    <row r="35" spans="1:63" s="406" customFormat="1" ht="3" customHeight="1" thickBot="1" x14ac:dyDescent="0.3">
      <c r="A35" s="96"/>
      <c r="B35" s="96"/>
      <c r="C35" s="298"/>
      <c r="D35" s="556"/>
      <c r="E35" s="97"/>
      <c r="F35" s="161"/>
      <c r="G35" s="161"/>
      <c r="H35" s="161"/>
      <c r="I35" s="161"/>
      <c r="J35" s="161"/>
      <c r="K35" s="161"/>
      <c r="L35" s="161"/>
      <c r="M35" s="161"/>
      <c r="N35" s="161"/>
      <c r="O35" s="161"/>
      <c r="P35" s="161"/>
      <c r="Q35" s="562"/>
      <c r="R35" s="408"/>
      <c r="S35" s="175"/>
      <c r="T35" s="175"/>
      <c r="U35" s="175"/>
      <c r="V35" s="175"/>
      <c r="W35" s="169"/>
      <c r="X35" s="562"/>
      <c r="Y35" s="562"/>
      <c r="Z35" s="97"/>
      <c r="AC35" s="545"/>
      <c r="AD35" s="412"/>
      <c r="AE35" s="412"/>
      <c r="AF35" s="412"/>
      <c r="AG35" s="412"/>
      <c r="AH35" s="412"/>
      <c r="AI35" s="412"/>
      <c r="AJ35" s="412"/>
      <c r="AK35" s="412"/>
      <c r="AL35" s="412"/>
      <c r="AM35" s="412"/>
      <c r="AN35" s="412"/>
      <c r="AO35" s="412"/>
      <c r="AP35" s="412"/>
      <c r="AQ35" s="412"/>
      <c r="AR35" s="412"/>
      <c r="AS35" s="412"/>
      <c r="AT35" s="412"/>
      <c r="AU35" s="412"/>
      <c r="AV35" s="412"/>
      <c r="AW35" s="412"/>
      <c r="AX35" s="412"/>
      <c r="AY35" s="412"/>
      <c r="AZ35" s="412"/>
      <c r="BA35" s="412"/>
      <c r="BB35" s="412"/>
      <c r="BC35" s="412"/>
      <c r="BD35" s="412"/>
      <c r="BE35" s="412"/>
      <c r="BF35" s="412"/>
      <c r="BG35" s="412"/>
      <c r="BH35" s="412"/>
      <c r="BI35"/>
      <c r="BJ35"/>
      <c r="BK35" s="412"/>
    </row>
    <row r="36" spans="1:63" ht="15.75" thickBot="1" x14ac:dyDescent="0.3">
      <c r="A36" s="96"/>
      <c r="B36" s="385" t="s">
        <v>312</v>
      </c>
      <c r="C36" s="298"/>
      <c r="D36" s="39"/>
      <c r="E36" s="97"/>
      <c r="F36" s="137"/>
      <c r="G36" s="159"/>
      <c r="H36" s="42"/>
      <c r="I36" s="160"/>
      <c r="J36" s="42"/>
      <c r="K36" s="160"/>
      <c r="L36" s="42"/>
      <c r="M36" s="160"/>
      <c r="N36" s="42">
        <v>-1</v>
      </c>
      <c r="O36" s="161"/>
      <c r="P36" s="42"/>
      <c r="Q36" s="562"/>
      <c r="R36" s="173">
        <f>$D36*F36</f>
        <v>0</v>
      </c>
      <c r="S36" s="174">
        <f>$D36*H36</f>
        <v>0</v>
      </c>
      <c r="T36" s="174">
        <f>$D36*J36</f>
        <v>0</v>
      </c>
      <c r="U36" s="174">
        <f t="shared" si="0"/>
        <v>0</v>
      </c>
      <c r="V36" s="175">
        <f>$D36*N36</f>
        <v>0</v>
      </c>
      <c r="W36" s="172">
        <f>$D36*P36</f>
        <v>0</v>
      </c>
      <c r="X36" s="562"/>
      <c r="Y36" s="562"/>
      <c r="Z36" s="97"/>
      <c r="AC36" s="549" t="s">
        <v>1533</v>
      </c>
      <c r="AD36" s="544"/>
      <c r="AE36" s="547">
        <f>AE34*2</f>
        <v>50</v>
      </c>
      <c r="AF36" s="544"/>
      <c r="AG36" s="548"/>
      <c r="AH36" s="544"/>
      <c r="AI36" s="548"/>
      <c r="AJ36" s="544"/>
      <c r="AK36" s="548"/>
      <c r="AL36" s="544"/>
      <c r="AM36" s="548"/>
      <c r="AN36" s="544"/>
      <c r="AO36" s="548"/>
      <c r="AP36" s="544"/>
      <c r="AQ36" s="548"/>
      <c r="AR36" s="544"/>
      <c r="AS36" s="548"/>
      <c r="AT36" s="544"/>
      <c r="AU36" s="548"/>
      <c r="AV36" s="544"/>
      <c r="AW36" s="548"/>
      <c r="AX36" s="544"/>
      <c r="AY36" s="548"/>
      <c r="AZ36" s="544"/>
      <c r="BA36" s="548"/>
      <c r="BB36" s="544"/>
      <c r="BC36" s="548"/>
      <c r="BD36" s="544"/>
      <c r="BE36" s="548"/>
      <c r="BF36" s="544"/>
      <c r="BG36" s="548"/>
      <c r="BH36" s="544"/>
      <c r="BI36" s="550">
        <f>$AE36*AG36+AM36*25+AO36*25+AQ36*100+AS36*50+AU36*50+AW36*25+AY36*25+BA36*25+BE36*25+BG36*25</f>
        <v>0</v>
      </c>
      <c r="BJ36"/>
      <c r="BK36" s="544"/>
    </row>
    <row r="37" spans="1:63" s="65" customFormat="1" ht="3" customHeight="1" thickBot="1" x14ac:dyDescent="0.3">
      <c r="A37" s="146"/>
      <c r="B37" s="383"/>
      <c r="C37" s="559"/>
      <c r="D37" s="63"/>
      <c r="E37" s="238"/>
      <c r="F37" s="298"/>
      <c r="G37" s="298"/>
      <c r="H37" s="298"/>
      <c r="I37" s="298"/>
      <c r="J37" s="298"/>
      <c r="K37" s="298"/>
      <c r="L37" s="298"/>
      <c r="M37" s="298"/>
      <c r="N37" s="298"/>
      <c r="O37" s="298"/>
      <c r="P37" s="298"/>
      <c r="Q37" s="298"/>
      <c r="R37" s="176"/>
      <c r="S37" s="177"/>
      <c r="T37" s="177"/>
      <c r="U37" s="177">
        <f t="shared" si="0"/>
        <v>0</v>
      </c>
      <c r="V37" s="177"/>
      <c r="W37" s="178"/>
      <c r="X37" s="298"/>
      <c r="Y37" s="298"/>
      <c r="Z37" s="147"/>
      <c r="AC37" s="545"/>
      <c r="AD37" s="545"/>
      <c r="AE37" s="545"/>
      <c r="AF37" s="545"/>
      <c r="AG37" s="545"/>
      <c r="AH37" s="545"/>
      <c r="AI37" s="545"/>
      <c r="AJ37" s="545"/>
      <c r="AK37" s="545"/>
      <c r="AL37" s="545"/>
      <c r="AM37" s="545"/>
      <c r="AN37" s="545"/>
      <c r="AO37" s="545"/>
      <c r="AP37" s="545"/>
      <c r="AQ37" s="545"/>
      <c r="AR37" s="545"/>
      <c r="AS37" s="545"/>
      <c r="AT37" s="545"/>
      <c r="AU37" s="545"/>
      <c r="AV37" s="545"/>
      <c r="AW37" s="545"/>
      <c r="AX37" s="545"/>
      <c r="AY37" s="545"/>
      <c r="AZ37" s="545"/>
      <c r="BA37" s="545"/>
      <c r="BB37" s="545"/>
      <c r="BC37" s="545"/>
      <c r="BD37" s="545"/>
      <c r="BE37" s="545"/>
      <c r="BF37" s="545"/>
      <c r="BG37" s="545"/>
      <c r="BH37" s="545"/>
      <c r="BI37"/>
      <c r="BJ37"/>
      <c r="BK37" s="545"/>
    </row>
    <row r="38" spans="1:63" s="65" customFormat="1" ht="15.75" thickBot="1" x14ac:dyDescent="0.3">
      <c r="A38" s="146"/>
      <c r="B38" s="385" t="s">
        <v>323</v>
      </c>
      <c r="C38" s="559"/>
      <c r="D38" s="39"/>
      <c r="E38" s="97"/>
      <c r="F38" s="137"/>
      <c r="G38" s="159"/>
      <c r="H38" s="42"/>
      <c r="I38" s="160"/>
      <c r="J38" s="42"/>
      <c r="K38" s="160"/>
      <c r="L38" s="42"/>
      <c r="M38" s="160"/>
      <c r="N38" s="42">
        <v>-2</v>
      </c>
      <c r="O38" s="161"/>
      <c r="P38" s="42"/>
      <c r="Q38" s="298"/>
      <c r="R38" s="170">
        <f>$D38*F38</f>
        <v>0</v>
      </c>
      <c r="S38" s="171">
        <f>$D38*H38</f>
        <v>0</v>
      </c>
      <c r="T38" s="171">
        <f>$D38*J38</f>
        <v>0</v>
      </c>
      <c r="U38" s="171">
        <f t="shared" si="0"/>
        <v>0</v>
      </c>
      <c r="V38" s="168">
        <f>$D38*N38</f>
        <v>0</v>
      </c>
      <c r="W38" s="172">
        <f>$D38*P38</f>
        <v>0</v>
      </c>
      <c r="X38" s="298"/>
      <c r="Y38" s="298"/>
      <c r="Z38" s="147"/>
      <c r="AC38" s="549" t="s">
        <v>1534</v>
      </c>
      <c r="AD38" s="545"/>
      <c r="AE38" s="547">
        <f>AE34*3</f>
        <v>75</v>
      </c>
      <c r="AF38" s="545"/>
      <c r="AG38" s="409"/>
      <c r="AH38" s="545"/>
      <c r="AI38" s="409"/>
      <c r="AJ38" s="545"/>
      <c r="AK38" s="409"/>
      <c r="AL38" s="545"/>
      <c r="AM38" s="409"/>
      <c r="AN38" s="545"/>
      <c r="AO38" s="409"/>
      <c r="AP38" s="545"/>
      <c r="AQ38" s="409"/>
      <c r="AR38" s="545"/>
      <c r="AS38" s="409"/>
      <c r="AT38" s="545"/>
      <c r="AU38" s="409"/>
      <c r="AV38" s="545"/>
      <c r="AW38" s="409"/>
      <c r="AX38" s="545"/>
      <c r="AY38" s="409"/>
      <c r="AZ38" s="545"/>
      <c r="BA38" s="409"/>
      <c r="BB38" s="545"/>
      <c r="BC38" s="409"/>
      <c r="BD38" s="545"/>
      <c r="BE38" s="409"/>
      <c r="BF38" s="545"/>
      <c r="BG38" s="409"/>
      <c r="BH38" s="545"/>
      <c r="BI38" s="550">
        <f>$AE38*AG38+AM38*25+AO38*25+AQ38*100+AS38*50+AU38*50+AW38*25+AY38*25+BA38*25+BE38*25+BG38*25</f>
        <v>0</v>
      </c>
      <c r="BJ38"/>
      <c r="BK38" s="545"/>
    </row>
    <row r="39" spans="1:63" s="65" customFormat="1" ht="3" customHeight="1" thickBot="1" x14ac:dyDescent="0.3">
      <c r="A39" s="146"/>
      <c r="B39" s="383"/>
      <c r="C39" s="559"/>
      <c r="D39" s="63"/>
      <c r="E39" s="238"/>
      <c r="F39" s="298"/>
      <c r="G39" s="298"/>
      <c r="H39" s="298"/>
      <c r="I39" s="298"/>
      <c r="J39" s="298"/>
      <c r="K39" s="298"/>
      <c r="L39" s="298"/>
      <c r="M39" s="298"/>
      <c r="N39" s="298"/>
      <c r="O39" s="298"/>
      <c r="P39" s="298"/>
      <c r="Q39" s="298"/>
      <c r="R39" s="179"/>
      <c r="S39" s="180"/>
      <c r="T39" s="180"/>
      <c r="U39" s="180"/>
      <c r="V39" s="180"/>
      <c r="W39" s="178"/>
      <c r="X39" s="298"/>
      <c r="Y39" s="298"/>
      <c r="Z39" s="147"/>
      <c r="AC39" s="545"/>
      <c r="AD39" s="545"/>
      <c r="AE39" s="545"/>
      <c r="AF39" s="545"/>
      <c r="AG39" s="545"/>
      <c r="AH39" s="545"/>
      <c r="AI39" s="545"/>
      <c r="AJ39" s="545"/>
      <c r="AK39" s="545"/>
      <c r="AL39" s="545"/>
      <c r="AM39" s="545"/>
      <c r="AN39" s="545"/>
      <c r="AO39" s="545"/>
      <c r="AP39" s="545"/>
      <c r="AQ39" s="545"/>
      <c r="AR39" s="545"/>
      <c r="AS39" s="545"/>
      <c r="AT39" s="545"/>
      <c r="AU39" s="545"/>
      <c r="AV39" s="545"/>
      <c r="AW39" s="545"/>
      <c r="AX39" s="545"/>
      <c r="AY39" s="545"/>
      <c r="AZ39" s="545"/>
      <c r="BA39" s="545"/>
      <c r="BB39" s="545"/>
      <c r="BC39" s="545"/>
      <c r="BD39" s="545"/>
      <c r="BE39" s="545"/>
      <c r="BF39" s="545"/>
      <c r="BG39" s="545"/>
      <c r="BH39" s="545"/>
      <c r="BI39"/>
      <c r="BJ39"/>
      <c r="BK39" s="545"/>
    </row>
    <row r="40" spans="1:63" ht="15.75" thickBot="1" x14ac:dyDescent="0.3">
      <c r="A40" s="96"/>
      <c r="B40" s="386" t="s">
        <v>223</v>
      </c>
      <c r="C40" s="298"/>
      <c r="D40" s="39"/>
      <c r="E40" s="97"/>
      <c r="F40" s="137"/>
      <c r="G40" s="159"/>
      <c r="H40" s="42"/>
      <c r="I40" s="160"/>
      <c r="J40" s="42">
        <v>2</v>
      </c>
      <c r="K40" s="160"/>
      <c r="L40" s="42">
        <v>4</v>
      </c>
      <c r="M40" s="160"/>
      <c r="N40" s="42">
        <v>1</v>
      </c>
      <c r="O40" s="161"/>
      <c r="P40" s="42"/>
      <c r="Q40" s="562"/>
      <c r="R40" s="181">
        <f>$D40*F40</f>
        <v>0</v>
      </c>
      <c r="S40" s="182">
        <f>$D40*H40</f>
        <v>0</v>
      </c>
      <c r="T40" s="182">
        <f>$D40*J40</f>
        <v>0</v>
      </c>
      <c r="U40" s="182">
        <f t="shared" ref="U40:U70" si="1">$D40*L40</f>
        <v>0</v>
      </c>
      <c r="V40" s="183">
        <f>$D40*N40</f>
        <v>0</v>
      </c>
      <c r="W40" s="172">
        <f>$D40*P40</f>
        <v>0</v>
      </c>
      <c r="X40" s="562"/>
      <c r="Y40" s="562"/>
      <c r="Z40" s="97"/>
      <c r="AC40" s="549" t="s">
        <v>1523</v>
      </c>
      <c r="AD40" s="544"/>
      <c r="AE40" s="548">
        <v>50</v>
      </c>
      <c r="AF40" s="544"/>
      <c r="AG40" s="548"/>
      <c r="AH40" s="544"/>
      <c r="AI40" s="548"/>
      <c r="AJ40" s="544"/>
      <c r="AK40" s="548"/>
      <c r="AL40" s="544"/>
      <c r="AM40" s="548"/>
      <c r="AN40" s="544"/>
      <c r="AO40" s="548"/>
      <c r="AP40" s="544"/>
      <c r="AQ40" s="548"/>
      <c r="AR40" s="544"/>
      <c r="AS40" s="548"/>
      <c r="AT40" s="544"/>
      <c r="AU40" s="548"/>
      <c r="AV40" s="544"/>
      <c r="AW40" s="548"/>
      <c r="AX40" s="544"/>
      <c r="AY40" s="548"/>
      <c r="AZ40" s="544"/>
      <c r="BA40" s="548"/>
      <c r="BB40" s="544"/>
      <c r="BC40" s="548"/>
      <c r="BD40" s="544"/>
      <c r="BE40" s="548"/>
      <c r="BF40" s="544"/>
      <c r="BG40" s="548"/>
      <c r="BH40" s="544"/>
      <c r="BI40" s="550">
        <f>$AE40*AG40+AM40*25+AO40*25+AQ40*100+AS40*50+AU40*50+AW40*25+AY40*25+BA40*25+BE40*25+BG40*25</f>
        <v>0</v>
      </c>
      <c r="BJ40"/>
      <c r="BK40" s="544"/>
    </row>
    <row r="41" spans="1:63" customFormat="1" ht="3" customHeight="1" thickBot="1" x14ac:dyDescent="0.3">
      <c r="B41" s="15"/>
      <c r="C41" s="3"/>
      <c r="D41" s="3"/>
      <c r="E41" s="3"/>
      <c r="F41" s="3"/>
      <c r="G41" s="3"/>
      <c r="H41" s="3"/>
      <c r="I41" s="3"/>
      <c r="J41" s="3"/>
      <c r="K41" s="3"/>
      <c r="L41" s="3"/>
      <c r="M41" s="3"/>
      <c r="N41" s="3"/>
      <c r="O41" s="3"/>
      <c r="P41" s="3"/>
      <c r="Q41" s="3"/>
      <c r="R41" s="3"/>
      <c r="S41" s="3"/>
      <c r="T41" s="3"/>
      <c r="U41" s="3"/>
      <c r="V41" s="3"/>
      <c r="W41" s="3"/>
      <c r="X41" s="3"/>
      <c r="Y41" s="3"/>
      <c r="Z41" s="14"/>
    </row>
    <row r="42" spans="1:63" ht="15.75" thickBot="1" x14ac:dyDescent="0.3">
      <c r="A42" s="96"/>
      <c r="B42" s="387" t="s">
        <v>1577</v>
      </c>
      <c r="C42" s="298"/>
      <c r="D42" s="39"/>
      <c r="E42" s="97"/>
      <c r="F42" s="42"/>
      <c r="G42" s="161"/>
      <c r="H42" s="42"/>
      <c r="I42" s="161"/>
      <c r="J42" s="42">
        <v>2</v>
      </c>
      <c r="K42" s="161"/>
      <c r="L42" s="42">
        <v>5</v>
      </c>
      <c r="M42" s="161"/>
      <c r="N42" s="42">
        <v>1</v>
      </c>
      <c r="O42" s="161"/>
      <c r="P42" s="42"/>
      <c r="Q42" s="562"/>
      <c r="R42" s="258">
        <v>0</v>
      </c>
      <c r="S42" s="258">
        <v>0</v>
      </c>
      <c r="T42" s="258">
        <v>0</v>
      </c>
      <c r="U42" s="258">
        <v>0</v>
      </c>
      <c r="V42" s="258">
        <v>0</v>
      </c>
      <c r="W42" s="258">
        <v>0</v>
      </c>
      <c r="X42" s="562"/>
      <c r="Y42" s="562"/>
      <c r="Z42" s="97"/>
      <c r="AC42" s="549" t="s">
        <v>1535</v>
      </c>
      <c r="AD42" s="544"/>
      <c r="AE42" s="547">
        <f>AE40*2</f>
        <v>100</v>
      </c>
      <c r="AF42" s="544"/>
      <c r="AG42" s="548"/>
      <c r="AH42" s="544"/>
      <c r="AI42" s="548"/>
      <c r="AJ42" s="544"/>
      <c r="AK42" s="548"/>
      <c r="AL42" s="544"/>
      <c r="AM42" s="548"/>
      <c r="AN42" s="544"/>
      <c r="AO42" s="548"/>
      <c r="AP42" s="544"/>
      <c r="AQ42" s="548"/>
      <c r="AR42" s="544"/>
      <c r="AS42" s="548"/>
      <c r="AT42" s="544"/>
      <c r="AU42" s="548"/>
      <c r="AV42" s="544"/>
      <c r="AW42" s="548"/>
      <c r="AX42" s="544"/>
      <c r="AY42" s="548"/>
      <c r="AZ42" s="544"/>
      <c r="BA42" s="548"/>
      <c r="BB42" s="544"/>
      <c r="BC42" s="548"/>
      <c r="BD42" s="544"/>
      <c r="BE42" s="548"/>
      <c r="BF42" s="544"/>
      <c r="BG42" s="548"/>
      <c r="BH42" s="544"/>
      <c r="BI42" s="550">
        <f>$AE42*AG42+AM42*25+AO42*25+AQ42*100+AS42*50+AU42*50+AW42*25+AY42*25+BA42*25+BE42*25+BG42*25</f>
        <v>0</v>
      </c>
      <c r="BJ42"/>
      <c r="BK42" s="544"/>
    </row>
    <row r="43" spans="1:63" s="65" customFormat="1" ht="3" customHeight="1" thickBot="1" x14ac:dyDescent="0.3">
      <c r="A43" s="146"/>
      <c r="B43" s="383"/>
      <c r="C43" s="559"/>
      <c r="D43" s="63"/>
      <c r="E43" s="238"/>
      <c r="F43" s="161"/>
      <c r="G43" s="161"/>
      <c r="H43" s="161"/>
      <c r="I43" s="161"/>
      <c r="J43" s="161"/>
      <c r="K43" s="161"/>
      <c r="L43" s="161"/>
      <c r="M43" s="161"/>
      <c r="N43" s="161"/>
      <c r="O43" s="161"/>
      <c r="P43" s="161"/>
      <c r="Q43" s="298"/>
      <c r="R43" s="179"/>
      <c r="S43" s="180"/>
      <c r="T43" s="180"/>
      <c r="U43" s="180">
        <f t="shared" si="1"/>
        <v>0</v>
      </c>
      <c r="V43" s="180"/>
      <c r="W43" s="552"/>
      <c r="X43" s="298"/>
      <c r="Y43" s="298"/>
      <c r="Z43" s="147"/>
      <c r="AC43" s="545"/>
      <c r="AD43" s="545"/>
      <c r="AE43" s="545"/>
      <c r="AF43" s="545"/>
      <c r="AG43" s="545"/>
      <c r="AH43" s="545"/>
      <c r="AI43" s="545"/>
      <c r="AJ43" s="545"/>
      <c r="AK43" s="545"/>
      <c r="AL43" s="545"/>
      <c r="AM43" s="545"/>
      <c r="AN43" s="545"/>
      <c r="AO43" s="545"/>
      <c r="AP43" s="545"/>
      <c r="AQ43" s="545"/>
      <c r="AR43" s="545"/>
      <c r="AS43" s="545"/>
      <c r="AT43" s="545"/>
      <c r="AU43" s="545"/>
      <c r="AV43" s="545"/>
      <c r="AW43" s="545"/>
      <c r="AX43" s="545"/>
      <c r="AY43" s="545"/>
      <c r="AZ43" s="545"/>
      <c r="BA43" s="545"/>
      <c r="BB43" s="545"/>
      <c r="BC43" s="545"/>
      <c r="BD43" s="545"/>
      <c r="BE43" s="545"/>
      <c r="BF43" s="545"/>
      <c r="BG43" s="545"/>
      <c r="BH43" s="545"/>
      <c r="BI43"/>
      <c r="BJ43"/>
      <c r="BK43" s="545"/>
    </row>
    <row r="44" spans="1:63" ht="15.75" thickBot="1" x14ac:dyDescent="0.3">
      <c r="A44" s="96"/>
      <c r="B44" s="386" t="s">
        <v>313</v>
      </c>
      <c r="C44" s="298"/>
      <c r="D44" s="39"/>
      <c r="E44" s="97"/>
      <c r="F44" s="137">
        <v>0.25</v>
      </c>
      <c r="G44" s="159"/>
      <c r="H44" s="42"/>
      <c r="I44" s="160"/>
      <c r="J44" s="42">
        <v>0.125</v>
      </c>
      <c r="K44" s="160"/>
      <c r="L44" s="42"/>
      <c r="M44" s="160"/>
      <c r="N44" s="42"/>
      <c r="O44" s="161"/>
      <c r="P44" s="42"/>
      <c r="Q44" s="562"/>
      <c r="R44" s="170">
        <f>INT($D44*F44)</f>
        <v>0</v>
      </c>
      <c r="S44" s="171">
        <f>$D44*H44</f>
        <v>0</v>
      </c>
      <c r="T44" s="171">
        <f>INT($D44*J44)</f>
        <v>0</v>
      </c>
      <c r="U44" s="171">
        <f t="shared" si="1"/>
        <v>0</v>
      </c>
      <c r="V44" s="168">
        <f>$D44*N44</f>
        <v>0</v>
      </c>
      <c r="W44" s="172">
        <f>$D44*P44</f>
        <v>0</v>
      </c>
      <c r="X44" s="562"/>
      <c r="Y44" s="562"/>
      <c r="Z44" s="97"/>
      <c r="AC44" s="549" t="s">
        <v>1536</v>
      </c>
      <c r="AD44" s="544"/>
      <c r="AE44" s="547">
        <f>AE40*3</f>
        <v>150</v>
      </c>
      <c r="AF44" s="544"/>
      <c r="AG44" s="548"/>
      <c r="AH44" s="544"/>
      <c r="AI44" s="548"/>
      <c r="AJ44" s="544"/>
      <c r="AK44" s="548"/>
      <c r="AL44" s="544"/>
      <c r="AM44" s="548"/>
      <c r="AN44" s="544"/>
      <c r="AO44" s="548"/>
      <c r="AP44" s="544"/>
      <c r="AQ44" s="548"/>
      <c r="AR44" s="544"/>
      <c r="AS44" s="548"/>
      <c r="AT44" s="544"/>
      <c r="AU44" s="548"/>
      <c r="AV44" s="544"/>
      <c r="AW44" s="548"/>
      <c r="AX44" s="544"/>
      <c r="AY44" s="548"/>
      <c r="AZ44" s="544"/>
      <c r="BA44" s="548"/>
      <c r="BB44" s="544"/>
      <c r="BC44" s="548"/>
      <c r="BD44" s="544"/>
      <c r="BE44" s="548"/>
      <c r="BF44" s="544"/>
      <c r="BG44" s="548"/>
      <c r="BH44" s="544"/>
      <c r="BI44" s="550">
        <f>$AE44*AG44+AM44*25+AO44*25+AQ44*100+AS44*50+AU44*50+AW44*25+AY44*25+BA44*25+BE44*25+BG44*25</f>
        <v>0</v>
      </c>
      <c r="BJ44"/>
      <c r="BK44" s="544"/>
    </row>
    <row r="45" spans="1:63" s="65" customFormat="1" ht="3" customHeight="1" thickBot="1" x14ac:dyDescent="0.3">
      <c r="A45" s="146"/>
      <c r="B45" s="383"/>
      <c r="C45" s="559"/>
      <c r="D45" s="63"/>
      <c r="E45" s="238"/>
      <c r="F45" s="298"/>
      <c r="G45" s="298"/>
      <c r="H45" s="298"/>
      <c r="I45" s="298"/>
      <c r="J45" s="298"/>
      <c r="K45" s="298"/>
      <c r="L45" s="298"/>
      <c r="M45" s="298"/>
      <c r="N45" s="298"/>
      <c r="O45" s="298"/>
      <c r="P45" s="298"/>
      <c r="Q45" s="298"/>
      <c r="R45" s="176"/>
      <c r="S45" s="177"/>
      <c r="T45" s="177"/>
      <c r="U45" s="177">
        <f t="shared" si="1"/>
        <v>0</v>
      </c>
      <c r="V45" s="177"/>
      <c r="W45" s="178"/>
      <c r="X45" s="298"/>
      <c r="Y45" s="298"/>
      <c r="Z45" s="147"/>
      <c r="AC45" s="545"/>
      <c r="AD45" s="545"/>
      <c r="AE45" s="545"/>
      <c r="AF45" s="545"/>
      <c r="AG45" s="545"/>
      <c r="AH45" s="545"/>
      <c r="AI45" s="545"/>
      <c r="AJ45" s="545"/>
      <c r="AK45" s="545"/>
      <c r="AL45" s="545"/>
      <c r="AM45" s="545"/>
      <c r="AN45" s="545"/>
      <c r="AO45" s="545"/>
      <c r="AP45" s="545"/>
      <c r="AQ45" s="545"/>
      <c r="AR45" s="545"/>
      <c r="AS45" s="545"/>
      <c r="AT45" s="545"/>
      <c r="AU45" s="545"/>
      <c r="AV45" s="545"/>
      <c r="AW45" s="409"/>
      <c r="AX45" s="545"/>
      <c r="AY45" s="545"/>
      <c r="AZ45" s="545"/>
      <c r="BA45" s="545"/>
      <c r="BB45" s="545"/>
      <c r="BC45" s="545"/>
      <c r="BD45" s="545"/>
      <c r="BE45" s="545"/>
      <c r="BF45" s="545"/>
      <c r="BG45" s="545"/>
      <c r="BH45" s="545"/>
      <c r="BI45"/>
      <c r="BJ45"/>
      <c r="BK45" s="545"/>
    </row>
    <row r="46" spans="1:63" ht="15.75" thickBot="1" x14ac:dyDescent="0.3">
      <c r="A46" s="96"/>
      <c r="B46" s="387" t="s">
        <v>224</v>
      </c>
      <c r="C46" s="298"/>
      <c r="D46" s="39">
        <v>1</v>
      </c>
      <c r="E46" s="97"/>
      <c r="F46" s="137">
        <v>1</v>
      </c>
      <c r="G46" s="159"/>
      <c r="H46" s="42"/>
      <c r="I46" s="160"/>
      <c r="J46" s="42"/>
      <c r="K46" s="160"/>
      <c r="L46" s="42"/>
      <c r="M46" s="160"/>
      <c r="N46" s="42"/>
      <c r="O46" s="161"/>
      <c r="P46" s="42">
        <v>1</v>
      </c>
      <c r="Q46" s="562"/>
      <c r="R46" s="170">
        <f>$D46*F46</f>
        <v>1</v>
      </c>
      <c r="S46" s="171">
        <f>$D46*H46</f>
        <v>0</v>
      </c>
      <c r="T46" s="171">
        <f>$D46*J46</f>
        <v>0</v>
      </c>
      <c r="U46" s="171">
        <f t="shared" si="1"/>
        <v>0</v>
      </c>
      <c r="V46" s="168">
        <f>$D46*N46</f>
        <v>0</v>
      </c>
      <c r="W46" s="172">
        <f>$D46*P46</f>
        <v>1</v>
      </c>
      <c r="X46" s="562"/>
      <c r="Y46" s="562"/>
      <c r="Z46" s="97"/>
      <c r="AC46" s="549" t="s">
        <v>1524</v>
      </c>
      <c r="AD46" s="545"/>
      <c r="AE46" s="409">
        <v>25</v>
      </c>
      <c r="AF46" s="545"/>
      <c r="AG46" s="409"/>
      <c r="AH46" s="545"/>
      <c r="AI46" s="409"/>
      <c r="AJ46" s="545"/>
      <c r="AK46" s="409"/>
      <c r="AL46" s="545"/>
      <c r="AM46" s="409"/>
      <c r="AN46" s="545"/>
      <c r="AO46" s="409"/>
      <c r="AP46" s="545"/>
      <c r="AQ46" s="409"/>
      <c r="AR46" s="545"/>
      <c r="AS46" s="409"/>
      <c r="AT46" s="545"/>
      <c r="AU46" s="409"/>
      <c r="AV46" s="545"/>
      <c r="AW46" s="409"/>
      <c r="AX46" s="545"/>
      <c r="AY46" s="409"/>
      <c r="AZ46" s="545"/>
      <c r="BA46" s="409"/>
      <c r="BB46" s="545"/>
      <c r="BC46" s="409"/>
      <c r="BD46" s="545"/>
      <c r="BE46" s="409"/>
      <c r="BF46" s="545"/>
      <c r="BG46" s="409"/>
      <c r="BH46" s="545"/>
      <c r="BI46" s="550">
        <f>$AE46*AG46+AM46*25+AO46*25+AQ46*100+AS46*50+AU46*50+AW46*25+AY46*25+BA46*25+BE46*25+BG46*25</f>
        <v>0</v>
      </c>
      <c r="BJ46"/>
      <c r="BK46" s="544"/>
    </row>
    <row r="47" spans="1:63" s="65" customFormat="1" ht="3" customHeight="1" thickBot="1" x14ac:dyDescent="0.3">
      <c r="A47" s="146"/>
      <c r="B47" s="383"/>
      <c r="C47" s="559"/>
      <c r="D47" s="63"/>
      <c r="E47" s="238"/>
      <c r="F47" s="298"/>
      <c r="G47" s="298"/>
      <c r="H47" s="298"/>
      <c r="I47" s="298"/>
      <c r="J47" s="298"/>
      <c r="K47" s="298"/>
      <c r="L47" s="298"/>
      <c r="M47" s="298"/>
      <c r="N47" s="298"/>
      <c r="O47" s="298"/>
      <c r="P47" s="298"/>
      <c r="Q47" s="298"/>
      <c r="R47" s="176"/>
      <c r="S47" s="177"/>
      <c r="T47" s="177"/>
      <c r="U47" s="177">
        <f t="shared" si="1"/>
        <v>0</v>
      </c>
      <c r="V47" s="177"/>
      <c r="W47" s="178"/>
      <c r="X47" s="298"/>
      <c r="Y47" s="298"/>
      <c r="Z47" s="147"/>
      <c r="AC47" s="545"/>
      <c r="AD47" s="545"/>
      <c r="AE47" s="545"/>
      <c r="AF47" s="545"/>
      <c r="AG47" s="545"/>
      <c r="AH47" s="545"/>
      <c r="AI47" s="545"/>
      <c r="AJ47" s="545"/>
      <c r="AK47" s="545"/>
      <c r="AL47" s="545"/>
      <c r="AM47" s="545"/>
      <c r="AN47" s="545"/>
      <c r="AO47" s="545"/>
      <c r="AP47" s="545"/>
      <c r="AQ47" s="545"/>
      <c r="AR47" s="545"/>
      <c r="AS47" s="545"/>
      <c r="AT47" s="545"/>
      <c r="AU47" s="545"/>
      <c r="AV47" s="545"/>
      <c r="AW47" s="545"/>
      <c r="AX47" s="545"/>
      <c r="AY47" s="545"/>
      <c r="AZ47" s="545"/>
      <c r="BA47" s="545"/>
      <c r="BB47" s="545"/>
      <c r="BC47" s="545"/>
      <c r="BD47" s="545"/>
      <c r="BE47" s="545"/>
      <c r="BF47" s="545"/>
      <c r="BG47" s="545"/>
      <c r="BH47" s="545"/>
      <c r="BI47"/>
      <c r="BJ47"/>
      <c r="BK47" s="545"/>
    </row>
    <row r="48" spans="1:63" s="65" customFormat="1" ht="15.75" thickBot="1" x14ac:dyDescent="0.3">
      <c r="A48" s="146"/>
      <c r="B48" s="385" t="s">
        <v>324</v>
      </c>
      <c r="C48" s="559"/>
      <c r="D48" s="39"/>
      <c r="E48" s="97"/>
      <c r="F48" s="137">
        <v>2</v>
      </c>
      <c r="G48" s="159"/>
      <c r="H48" s="42"/>
      <c r="I48" s="160"/>
      <c r="J48" s="42"/>
      <c r="K48" s="160"/>
      <c r="L48" s="42"/>
      <c r="M48" s="160"/>
      <c r="N48" s="42"/>
      <c r="O48" s="161"/>
      <c r="P48" s="42">
        <v>2</v>
      </c>
      <c r="Q48" s="298"/>
      <c r="R48" s="181">
        <f>$D48*F48</f>
        <v>0</v>
      </c>
      <c r="S48" s="182">
        <f>$D48*H48</f>
        <v>0</v>
      </c>
      <c r="T48" s="182">
        <f>$D48*J48</f>
        <v>0</v>
      </c>
      <c r="U48" s="182">
        <f t="shared" si="1"/>
        <v>0</v>
      </c>
      <c r="V48" s="183">
        <f>$D48*N48</f>
        <v>0</v>
      </c>
      <c r="W48" s="172">
        <f>$D48*P48</f>
        <v>0</v>
      </c>
      <c r="X48" s="298"/>
      <c r="Y48" s="298"/>
      <c r="Z48" s="147"/>
      <c r="AC48" s="549" t="s">
        <v>1537</v>
      </c>
      <c r="AD48" s="545"/>
      <c r="AE48" s="547">
        <f>AE46*2</f>
        <v>50</v>
      </c>
      <c r="AF48" s="545"/>
      <c r="AG48" s="409"/>
      <c r="AH48" s="545"/>
      <c r="AI48" s="409"/>
      <c r="AJ48" s="545"/>
      <c r="AK48" s="409"/>
      <c r="AL48" s="545"/>
      <c r="AM48" s="409"/>
      <c r="AN48" s="545"/>
      <c r="AO48" s="409"/>
      <c r="AP48" s="545"/>
      <c r="AQ48" s="409"/>
      <c r="AR48" s="545"/>
      <c r="AS48" s="409"/>
      <c r="AT48" s="545"/>
      <c r="AU48" s="409"/>
      <c r="AV48" s="545"/>
      <c r="AW48" s="409"/>
      <c r="AX48" s="545"/>
      <c r="AY48" s="409"/>
      <c r="AZ48" s="545"/>
      <c r="BA48" s="409"/>
      <c r="BB48" s="545"/>
      <c r="BC48" s="409"/>
      <c r="BD48" s="545"/>
      <c r="BE48" s="409"/>
      <c r="BF48" s="545"/>
      <c r="BG48" s="409"/>
      <c r="BH48" s="545"/>
      <c r="BI48" s="550">
        <f>$AE48*AG48+AM48*25+AO48*25+AQ48*100+AS48*50+AU48*50+AW48*25+AY48*25+BA48*25+BE48*25+BG48*25</f>
        <v>0</v>
      </c>
      <c r="BJ48"/>
      <c r="BK48" s="545"/>
    </row>
    <row r="49" spans="1:63" s="65" customFormat="1" ht="3" customHeight="1" thickBot="1" x14ac:dyDescent="0.3">
      <c r="A49" s="146"/>
      <c r="B49" s="383"/>
      <c r="C49" s="559"/>
      <c r="D49" s="63"/>
      <c r="E49" s="238"/>
      <c r="F49" s="298"/>
      <c r="G49" s="298"/>
      <c r="H49" s="298"/>
      <c r="I49" s="298"/>
      <c r="J49" s="298"/>
      <c r="K49" s="298"/>
      <c r="L49" s="298"/>
      <c r="M49" s="298"/>
      <c r="N49" s="298"/>
      <c r="O49" s="298"/>
      <c r="P49" s="298"/>
      <c r="Q49" s="298"/>
      <c r="R49" s="176"/>
      <c r="S49" s="177"/>
      <c r="T49" s="177"/>
      <c r="U49" s="177">
        <f>$D49*L49</f>
        <v>0</v>
      </c>
      <c r="V49" s="177"/>
      <c r="W49" s="178"/>
      <c r="X49" s="298"/>
      <c r="Y49" s="298"/>
      <c r="Z49" s="147"/>
      <c r="AC49" s="545"/>
      <c r="AD49" s="545"/>
      <c r="AE49" s="545"/>
      <c r="AF49" s="545"/>
      <c r="AG49" s="545"/>
      <c r="AH49" s="545"/>
      <c r="AI49" s="545"/>
      <c r="AJ49" s="545"/>
      <c r="AK49" s="545"/>
      <c r="AL49" s="545"/>
      <c r="AM49" s="545"/>
      <c r="AN49" s="545"/>
      <c r="AO49" s="545"/>
      <c r="AP49" s="545"/>
      <c r="AQ49" s="545"/>
      <c r="AR49" s="545"/>
      <c r="AS49" s="545"/>
      <c r="AT49" s="545"/>
      <c r="AU49" s="545"/>
      <c r="AV49" s="545"/>
      <c r="AW49" s="545"/>
      <c r="AX49" s="545"/>
      <c r="AY49" s="545"/>
      <c r="AZ49" s="545"/>
      <c r="BA49" s="545"/>
      <c r="BB49" s="545"/>
      <c r="BC49" s="545"/>
      <c r="BD49" s="545"/>
      <c r="BE49" s="545"/>
      <c r="BF49" s="545"/>
      <c r="BG49" s="545"/>
      <c r="BH49" s="545"/>
      <c r="BI49"/>
      <c r="BJ49"/>
      <c r="BK49" s="545"/>
    </row>
    <row r="50" spans="1:63" s="65" customFormat="1" ht="15.75" thickBot="1" x14ac:dyDescent="0.3">
      <c r="A50" s="146"/>
      <c r="B50" s="387" t="s">
        <v>613</v>
      </c>
      <c r="C50" s="298"/>
      <c r="D50" s="39"/>
      <c r="E50" s="97"/>
      <c r="F50" s="137">
        <v>2</v>
      </c>
      <c r="G50" s="159"/>
      <c r="H50" s="42"/>
      <c r="I50" s="160"/>
      <c r="J50" s="42"/>
      <c r="K50" s="160"/>
      <c r="L50" s="42"/>
      <c r="M50" s="160"/>
      <c r="N50" s="42"/>
      <c r="O50" s="161"/>
      <c r="P50" s="42">
        <v>2</v>
      </c>
      <c r="Q50" s="562"/>
      <c r="R50" s="170">
        <f>$D50*F50</f>
        <v>0</v>
      </c>
      <c r="S50" s="171">
        <f>$D50*H50</f>
        <v>0</v>
      </c>
      <c r="T50" s="171">
        <f>$D50*J50</f>
        <v>0</v>
      </c>
      <c r="U50" s="171">
        <f>$D50*L50</f>
        <v>0</v>
      </c>
      <c r="V50" s="168">
        <f>$D50*N50</f>
        <v>0</v>
      </c>
      <c r="W50" s="172">
        <f>$D50*P50</f>
        <v>0</v>
      </c>
      <c r="X50" s="298"/>
      <c r="Y50" s="298"/>
      <c r="Z50" s="147"/>
      <c r="AC50" s="549" t="s">
        <v>1538</v>
      </c>
      <c r="AD50" s="545"/>
      <c r="AE50" s="547">
        <f>AE46*3</f>
        <v>75</v>
      </c>
      <c r="AF50" s="545"/>
      <c r="AG50" s="409"/>
      <c r="AH50" s="545"/>
      <c r="AI50" s="409"/>
      <c r="AJ50" s="545"/>
      <c r="AK50" s="409"/>
      <c r="AL50" s="545"/>
      <c r="AM50" s="409"/>
      <c r="AN50" s="545"/>
      <c r="AO50" s="409"/>
      <c r="AP50" s="545"/>
      <c r="AQ50" s="409"/>
      <c r="AR50" s="545"/>
      <c r="AS50" s="409"/>
      <c r="AT50" s="545"/>
      <c r="AU50" s="409"/>
      <c r="AV50" s="545"/>
      <c r="AW50" s="409"/>
      <c r="AX50" s="545"/>
      <c r="AY50" s="409"/>
      <c r="AZ50" s="545"/>
      <c r="BA50" s="409"/>
      <c r="BB50" s="545"/>
      <c r="BC50" s="409"/>
      <c r="BD50" s="545"/>
      <c r="BE50" s="409"/>
      <c r="BF50" s="545"/>
      <c r="BG50" s="409"/>
      <c r="BH50" s="545"/>
      <c r="BI50" s="550">
        <f>$AE50*AG50+AM50*25+AO50*25+AQ50*100+AS50*50+AU50*50+AW50*25+AY50*25+BA50*25+BE50*25+BG50*25</f>
        <v>0</v>
      </c>
      <c r="BJ50"/>
      <c r="BK50" s="545"/>
    </row>
    <row r="51" spans="1:63" s="65" customFormat="1" ht="3" customHeight="1" thickBot="1" x14ac:dyDescent="0.3">
      <c r="A51" s="146"/>
      <c r="B51" s="383"/>
      <c r="C51" s="559"/>
      <c r="D51" s="63"/>
      <c r="E51" s="97"/>
      <c r="F51" s="298"/>
      <c r="G51" s="298"/>
      <c r="H51" s="298"/>
      <c r="I51" s="298"/>
      <c r="J51" s="298"/>
      <c r="K51" s="298"/>
      <c r="L51" s="298"/>
      <c r="M51" s="298"/>
      <c r="N51" s="298"/>
      <c r="O51" s="298"/>
      <c r="P51" s="298"/>
      <c r="Q51" s="298"/>
      <c r="R51" s="176"/>
      <c r="S51" s="177"/>
      <c r="T51" s="177"/>
      <c r="U51" s="177">
        <f>$D51*L51</f>
        <v>0</v>
      </c>
      <c r="V51" s="177"/>
      <c r="W51" s="178"/>
      <c r="X51" s="298"/>
      <c r="Y51" s="298"/>
      <c r="Z51" s="147"/>
      <c r="AC51" s="545"/>
      <c r="AD51" s="545"/>
      <c r="AE51" s="545"/>
      <c r="AF51" s="545"/>
      <c r="AG51" s="545"/>
      <c r="AH51" s="545"/>
      <c r="AI51" s="545"/>
      <c r="AJ51" s="545"/>
      <c r="AK51" s="545"/>
      <c r="AL51" s="545"/>
      <c r="AM51" s="545"/>
      <c r="AN51" s="545"/>
      <c r="AO51" s="545"/>
      <c r="AP51" s="545"/>
      <c r="AQ51" s="545"/>
      <c r="AR51" s="545"/>
      <c r="AS51" s="545"/>
      <c r="AT51" s="545"/>
      <c r="AU51" s="545"/>
      <c r="AV51" s="545"/>
      <c r="AW51" s="545"/>
      <c r="AX51" s="545"/>
      <c r="AY51" s="545"/>
      <c r="AZ51" s="545"/>
      <c r="BA51" s="545"/>
      <c r="BB51" s="545"/>
      <c r="BC51" s="545"/>
      <c r="BD51" s="545"/>
      <c r="BE51" s="545"/>
      <c r="BF51" s="545"/>
      <c r="BG51" s="545"/>
      <c r="BH51" s="545"/>
      <c r="BI51"/>
      <c r="BJ51"/>
      <c r="BK51" s="545"/>
    </row>
    <row r="52" spans="1:63" s="65" customFormat="1" ht="15.75" thickBot="1" x14ac:dyDescent="0.3">
      <c r="A52" s="146"/>
      <c r="B52" s="385" t="s">
        <v>614</v>
      </c>
      <c r="C52" s="559"/>
      <c r="D52" s="39"/>
      <c r="E52" s="97"/>
      <c r="F52" s="137">
        <v>3</v>
      </c>
      <c r="G52" s="159"/>
      <c r="H52" s="42"/>
      <c r="I52" s="160"/>
      <c r="J52" s="42"/>
      <c r="K52" s="160"/>
      <c r="L52" s="42"/>
      <c r="M52" s="160"/>
      <c r="N52" s="42"/>
      <c r="O52" s="161"/>
      <c r="P52" s="42">
        <v>3</v>
      </c>
      <c r="Q52" s="298"/>
      <c r="R52" s="181">
        <f>$D52*F52</f>
        <v>0</v>
      </c>
      <c r="S52" s="182">
        <f>$D52*H52</f>
        <v>0</v>
      </c>
      <c r="T52" s="182">
        <f>$D52*J52</f>
        <v>0</v>
      </c>
      <c r="U52" s="182">
        <f>$D52*L52</f>
        <v>0</v>
      </c>
      <c r="V52" s="183">
        <f>$D52*N52</f>
        <v>0</v>
      </c>
      <c r="W52" s="172">
        <f>$D52*P52</f>
        <v>0</v>
      </c>
      <c r="X52" s="298"/>
      <c r="Y52" s="298"/>
      <c r="Z52" s="147"/>
      <c r="AC52" s="549" t="s">
        <v>1525</v>
      </c>
      <c r="AD52" s="544"/>
      <c r="AE52" s="548">
        <v>50</v>
      </c>
      <c r="AF52" s="544"/>
      <c r="AG52" s="548"/>
      <c r="AH52" s="544"/>
      <c r="AI52" s="548"/>
      <c r="AJ52" s="544"/>
      <c r="AK52" s="548"/>
      <c r="AL52" s="544"/>
      <c r="AM52" s="548"/>
      <c r="AN52" s="544"/>
      <c r="AO52" s="548"/>
      <c r="AP52" s="544"/>
      <c r="AQ52" s="548"/>
      <c r="AR52" s="544"/>
      <c r="AS52" s="548"/>
      <c r="AT52" s="544"/>
      <c r="AU52" s="548"/>
      <c r="AV52" s="544"/>
      <c r="AW52" s="548"/>
      <c r="AX52" s="544"/>
      <c r="AY52" s="548"/>
      <c r="AZ52" s="544"/>
      <c r="BA52" s="548"/>
      <c r="BB52" s="544"/>
      <c r="BC52" s="548"/>
      <c r="BD52" s="544"/>
      <c r="BE52" s="548"/>
      <c r="BF52" s="544"/>
      <c r="BG52" s="548"/>
      <c r="BH52" s="544"/>
      <c r="BI52" s="550">
        <f>$AE52*AG52+AM52*25+AO52*25+AQ52*100+AS52*50+AU52*50+AW52*25+AY52*25+BA52*25+BE52*25+BG52*25</f>
        <v>0</v>
      </c>
      <c r="BJ52"/>
      <c r="BK52" s="545"/>
    </row>
    <row r="53" spans="1:63" s="65" customFormat="1" ht="3" customHeight="1" thickBot="1" x14ac:dyDescent="0.3">
      <c r="A53" s="146"/>
      <c r="B53" s="383"/>
      <c r="C53" s="559"/>
      <c r="D53" s="63"/>
      <c r="E53" s="238"/>
      <c r="F53" s="298"/>
      <c r="G53" s="298"/>
      <c r="H53" s="298"/>
      <c r="I53" s="298"/>
      <c r="J53" s="298"/>
      <c r="K53" s="298"/>
      <c r="L53" s="298"/>
      <c r="M53" s="298"/>
      <c r="N53" s="298"/>
      <c r="O53" s="298"/>
      <c r="P53" s="298"/>
      <c r="Q53" s="298"/>
      <c r="R53" s="176"/>
      <c r="S53" s="177"/>
      <c r="T53" s="177"/>
      <c r="U53" s="177">
        <f t="shared" si="1"/>
        <v>0</v>
      </c>
      <c r="V53" s="177"/>
      <c r="W53" s="178"/>
      <c r="X53" s="298"/>
      <c r="Y53" s="298"/>
      <c r="Z53" s="147"/>
      <c r="AC53" s="545"/>
      <c r="AD53" s="545"/>
      <c r="AE53" s="545"/>
      <c r="AF53" s="545"/>
      <c r="AG53" s="545"/>
      <c r="AH53" s="545"/>
      <c r="AI53" s="545"/>
      <c r="AJ53" s="545"/>
      <c r="AK53" s="545"/>
      <c r="AL53" s="545"/>
      <c r="AM53" s="545"/>
      <c r="AN53" s="545"/>
      <c r="AO53" s="545"/>
      <c r="AP53" s="545"/>
      <c r="AQ53" s="545"/>
      <c r="AR53" s="545"/>
      <c r="AS53" s="545"/>
      <c r="AT53" s="545"/>
      <c r="AU53" s="545"/>
      <c r="AV53" s="545"/>
      <c r="AW53" s="545"/>
      <c r="AX53" s="545"/>
      <c r="AY53" s="545"/>
      <c r="AZ53" s="545"/>
      <c r="BA53" s="545"/>
      <c r="BB53" s="545"/>
      <c r="BC53" s="545"/>
      <c r="BD53" s="545"/>
      <c r="BE53" s="545"/>
      <c r="BF53" s="545"/>
      <c r="BG53" s="545"/>
      <c r="BH53" s="545"/>
      <c r="BI53"/>
      <c r="BJ53"/>
      <c r="BK53" s="545"/>
    </row>
    <row r="54" spans="1:63" ht="15.75" thickBot="1" x14ac:dyDescent="0.3">
      <c r="A54" s="96"/>
      <c r="B54" s="385" t="s">
        <v>314</v>
      </c>
      <c r="C54" s="298"/>
      <c r="D54" s="39">
        <v>1</v>
      </c>
      <c r="E54" s="97"/>
      <c r="F54" s="137"/>
      <c r="G54" s="159"/>
      <c r="H54" s="42"/>
      <c r="I54" s="160"/>
      <c r="J54" s="42">
        <v>1</v>
      </c>
      <c r="K54" s="160"/>
      <c r="L54" s="42"/>
      <c r="M54" s="160"/>
      <c r="N54" s="42"/>
      <c r="O54" s="161"/>
      <c r="P54" s="42">
        <v>1</v>
      </c>
      <c r="Q54" s="562"/>
      <c r="R54" s="170">
        <f>$D54*F54</f>
        <v>0</v>
      </c>
      <c r="S54" s="171">
        <f>$D54*H54</f>
        <v>0</v>
      </c>
      <c r="T54" s="171">
        <f>$D54*J54</f>
        <v>1</v>
      </c>
      <c r="U54" s="171">
        <f t="shared" si="1"/>
        <v>0</v>
      </c>
      <c r="V54" s="168">
        <f>$D54*N54</f>
        <v>0</v>
      </c>
      <c r="W54" s="172">
        <f>$D54*P54</f>
        <v>1</v>
      </c>
      <c r="X54" s="562"/>
      <c r="Y54" s="562"/>
      <c r="Z54" s="97"/>
      <c r="AC54" s="549" t="s">
        <v>1539</v>
      </c>
      <c r="AD54" s="545"/>
      <c r="AE54" s="547">
        <f>AE52*2</f>
        <v>100</v>
      </c>
      <c r="AF54" s="545"/>
      <c r="AG54" s="409">
        <v>1</v>
      </c>
      <c r="AH54" s="545"/>
      <c r="AI54" s="409">
        <v>1</v>
      </c>
      <c r="AJ54" s="545"/>
      <c r="AK54" s="409"/>
      <c r="AL54" s="545"/>
      <c r="AM54" s="409"/>
      <c r="AN54" s="545"/>
      <c r="AO54" s="409"/>
      <c r="AP54" s="545"/>
      <c r="AQ54" s="409">
        <v>1</v>
      </c>
      <c r="AR54" s="545"/>
      <c r="AS54" s="409"/>
      <c r="AT54" s="545"/>
      <c r="AU54" s="409"/>
      <c r="AV54" s="545"/>
      <c r="AW54" s="409"/>
      <c r="AX54" s="545"/>
      <c r="AY54" s="409">
        <v>1</v>
      </c>
      <c r="AZ54" s="545"/>
      <c r="BA54" s="409"/>
      <c r="BB54" s="545"/>
      <c r="BC54" s="409"/>
      <c r="BD54" s="545"/>
      <c r="BE54" s="409"/>
      <c r="BF54" s="545"/>
      <c r="BG54" s="409"/>
      <c r="BH54" s="545"/>
      <c r="BI54" s="550">
        <f>$AE54*AG54+AM54*25+AO54*25+AQ54*100+AS54*50+AU54*50+AW54*25+AY54*25+BA54*25+BE54*25+BG54*25</f>
        <v>225</v>
      </c>
      <c r="BJ54"/>
      <c r="BK54" s="544"/>
    </row>
    <row r="55" spans="1:63" s="65" customFormat="1" ht="3" customHeight="1" thickBot="1" x14ac:dyDescent="0.3">
      <c r="A55" s="146"/>
      <c r="B55" s="383"/>
      <c r="C55" s="559"/>
      <c r="D55" s="63"/>
      <c r="E55" s="238"/>
      <c r="F55" s="298"/>
      <c r="G55" s="298"/>
      <c r="H55" s="298"/>
      <c r="I55" s="298"/>
      <c r="J55" s="298"/>
      <c r="K55" s="298"/>
      <c r="L55" s="298"/>
      <c r="M55" s="298"/>
      <c r="N55" s="298"/>
      <c r="O55" s="298"/>
      <c r="P55" s="298"/>
      <c r="Q55" s="298"/>
      <c r="R55" s="176"/>
      <c r="S55" s="177"/>
      <c r="T55" s="177"/>
      <c r="U55" s="177">
        <f t="shared" si="1"/>
        <v>0</v>
      </c>
      <c r="V55" s="177"/>
      <c r="W55" s="178"/>
      <c r="X55" s="298"/>
      <c r="Y55" s="298"/>
      <c r="Z55" s="147"/>
      <c r="AC55" s="545"/>
      <c r="AD55" s="545"/>
      <c r="AE55" s="545"/>
      <c r="AF55" s="545"/>
      <c r="AG55" s="545"/>
      <c r="AH55" s="545"/>
      <c r="AI55" s="545"/>
      <c r="AJ55" s="545"/>
      <c r="AK55" s="545"/>
      <c r="AL55" s="545"/>
      <c r="AM55" s="545"/>
      <c r="AN55" s="545"/>
      <c r="AO55" s="545"/>
      <c r="AP55" s="545"/>
      <c r="AQ55" s="545"/>
      <c r="AR55" s="545"/>
      <c r="AS55" s="545"/>
      <c r="AT55" s="545"/>
      <c r="AU55" s="545"/>
      <c r="AV55" s="545"/>
      <c r="AW55" s="545"/>
      <c r="AX55" s="545"/>
      <c r="AY55" s="545"/>
      <c r="AZ55" s="545"/>
      <c r="BA55" s="545"/>
      <c r="BB55" s="545"/>
      <c r="BC55" s="545"/>
      <c r="BD55" s="545"/>
      <c r="BE55" s="545"/>
      <c r="BF55" s="545"/>
      <c r="BG55" s="545"/>
      <c r="BH55" s="545"/>
      <c r="BI55"/>
      <c r="BJ55"/>
      <c r="BK55" s="545"/>
    </row>
    <row r="56" spans="1:63" s="65" customFormat="1" ht="15.75" thickBot="1" x14ac:dyDescent="0.3">
      <c r="A56" s="146"/>
      <c r="B56" s="385" t="s">
        <v>325</v>
      </c>
      <c r="C56" s="559"/>
      <c r="D56" s="39"/>
      <c r="E56" s="97"/>
      <c r="F56" s="137"/>
      <c r="G56" s="159"/>
      <c r="H56" s="42"/>
      <c r="I56" s="160"/>
      <c r="J56" s="42">
        <v>2</v>
      </c>
      <c r="K56" s="160"/>
      <c r="L56" s="42"/>
      <c r="M56" s="160"/>
      <c r="N56" s="42"/>
      <c r="O56" s="161"/>
      <c r="P56" s="42">
        <v>2</v>
      </c>
      <c r="Q56" s="298"/>
      <c r="R56" s="170">
        <f>$D56*F56</f>
        <v>0</v>
      </c>
      <c r="S56" s="171">
        <f>$D56*H56</f>
        <v>0</v>
      </c>
      <c r="T56" s="171">
        <f>$D56*J56</f>
        <v>0</v>
      </c>
      <c r="U56" s="171">
        <f t="shared" si="1"/>
        <v>0</v>
      </c>
      <c r="V56" s="168">
        <f>$D56*N56</f>
        <v>0</v>
      </c>
      <c r="W56" s="172">
        <f>$D56*P56</f>
        <v>0</v>
      </c>
      <c r="X56" s="298"/>
      <c r="Y56" s="298"/>
      <c r="Z56" s="147"/>
      <c r="AC56" s="549" t="s">
        <v>1540</v>
      </c>
      <c r="AD56" s="544"/>
      <c r="AE56" s="547">
        <f>AE52*3</f>
        <v>150</v>
      </c>
      <c r="AF56" s="544"/>
      <c r="AG56" s="548">
        <v>1</v>
      </c>
      <c r="AH56" s="544"/>
      <c r="AI56" s="548">
        <v>1</v>
      </c>
      <c r="AJ56" s="544"/>
      <c r="AK56" s="548"/>
      <c r="AL56" s="544"/>
      <c r="AM56" s="548"/>
      <c r="AN56" s="544"/>
      <c r="AO56" s="548"/>
      <c r="AP56" s="544"/>
      <c r="AQ56" s="548">
        <v>1</v>
      </c>
      <c r="AR56" s="544"/>
      <c r="AS56" s="548"/>
      <c r="AT56" s="544"/>
      <c r="AU56" s="548"/>
      <c r="AV56" s="544"/>
      <c r="AW56" s="548"/>
      <c r="AX56" s="544"/>
      <c r="AY56" s="548"/>
      <c r="AZ56" s="544"/>
      <c r="BA56" s="548">
        <v>1</v>
      </c>
      <c r="BB56" s="544"/>
      <c r="BC56" s="548"/>
      <c r="BD56" s="544"/>
      <c r="BE56" s="548"/>
      <c r="BF56" s="544"/>
      <c r="BG56" s="548"/>
      <c r="BH56" s="544"/>
      <c r="BI56" s="550">
        <f>$AE56*AG56+AM56*25+AO56*25+AQ56*100+AS56*50+AU56*50+AW56*25+AY56*25+BA56*25+BE56*25+BG56*25</f>
        <v>275</v>
      </c>
      <c r="BJ56"/>
      <c r="BK56" s="545"/>
    </row>
    <row r="57" spans="1:63" s="65" customFormat="1" ht="3" customHeight="1" thickBot="1" x14ac:dyDescent="0.3">
      <c r="A57" s="146"/>
      <c r="B57" s="383"/>
      <c r="C57" s="559"/>
      <c r="D57" s="67"/>
      <c r="E57" s="238"/>
      <c r="F57" s="298"/>
      <c r="G57" s="298"/>
      <c r="H57" s="298"/>
      <c r="I57" s="298"/>
      <c r="J57" s="298"/>
      <c r="K57" s="298"/>
      <c r="L57" s="298"/>
      <c r="M57" s="298"/>
      <c r="N57" s="298"/>
      <c r="O57" s="298"/>
      <c r="P57" s="298"/>
      <c r="Q57" s="298"/>
      <c r="R57" s="170">
        <f t="shared" ref="R57:R70" si="2">$D57*F57</f>
        <v>0</v>
      </c>
      <c r="S57" s="171">
        <f t="shared" ref="S57:S70" si="3">$D57*H57</f>
        <v>0</v>
      </c>
      <c r="T57" s="171">
        <f t="shared" ref="T57:T70" si="4">$D57*J57</f>
        <v>0</v>
      </c>
      <c r="U57" s="171">
        <f t="shared" si="1"/>
        <v>0</v>
      </c>
      <c r="V57" s="168">
        <f t="shared" ref="V57:V70" si="5">$D57*N57</f>
        <v>0</v>
      </c>
      <c r="W57" s="172">
        <f t="shared" ref="W57:W70" si="6">$D57*P57</f>
        <v>0</v>
      </c>
      <c r="X57" s="298"/>
      <c r="Y57" s="298"/>
      <c r="Z57" s="147"/>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c r="BJ57"/>
      <c r="BK57" s="545"/>
    </row>
    <row r="58" spans="1:63" ht="15.75" thickBot="1" x14ac:dyDescent="0.3">
      <c r="A58" s="96"/>
      <c r="B58" s="387" t="s">
        <v>1632</v>
      </c>
      <c r="C58" s="298"/>
      <c r="D58" s="39"/>
      <c r="E58" s="562"/>
      <c r="F58" s="562"/>
      <c r="G58" s="562"/>
      <c r="H58" s="562"/>
      <c r="I58" s="562"/>
      <c r="J58" s="556">
        <v>1</v>
      </c>
      <c r="K58" s="556"/>
      <c r="L58" s="556"/>
      <c r="M58" s="556"/>
      <c r="N58" s="556"/>
      <c r="O58" s="556"/>
      <c r="P58" s="556">
        <v>1.5</v>
      </c>
      <c r="Q58" s="562"/>
      <c r="R58" s="170">
        <f t="shared" si="2"/>
        <v>0</v>
      </c>
      <c r="S58" s="171">
        <f t="shared" si="3"/>
        <v>0</v>
      </c>
      <c r="T58" s="171">
        <f t="shared" si="4"/>
        <v>0</v>
      </c>
      <c r="U58" s="171">
        <f t="shared" si="1"/>
        <v>0</v>
      </c>
      <c r="V58" s="168">
        <f t="shared" si="5"/>
        <v>0</v>
      </c>
      <c r="W58" s="172">
        <f t="shared" si="6"/>
        <v>0</v>
      </c>
      <c r="X58" s="562"/>
      <c r="Y58" s="562"/>
      <c r="Z58" s="97"/>
      <c r="AC58" s="549" t="s">
        <v>1526</v>
      </c>
      <c r="AD58" s="544"/>
      <c r="AE58" s="548">
        <v>25</v>
      </c>
      <c r="AF58" s="544"/>
      <c r="AG58" s="548"/>
      <c r="AH58" s="544"/>
      <c r="AI58" s="548"/>
      <c r="AJ58" s="544"/>
      <c r="AK58" s="548"/>
      <c r="AL58" s="544"/>
      <c r="AM58" s="548"/>
      <c r="AN58" s="544"/>
      <c r="AO58" s="548"/>
      <c r="AP58" s="544"/>
      <c r="AQ58" s="548"/>
      <c r="AR58" s="544"/>
      <c r="AS58" s="548"/>
      <c r="AT58" s="544"/>
      <c r="AU58" s="548"/>
      <c r="AV58" s="544"/>
      <c r="AW58" s="548"/>
      <c r="AX58" s="544"/>
      <c r="AY58" s="548"/>
      <c r="AZ58" s="544"/>
      <c r="BA58" s="548"/>
      <c r="BB58" s="544"/>
      <c r="BC58" s="548"/>
      <c r="BD58" s="544"/>
      <c r="BE58" s="548"/>
      <c r="BF58" s="544"/>
      <c r="BG58" s="548"/>
      <c r="BH58" s="544"/>
      <c r="BI58" s="550">
        <f>$AE58*AG58+AM58*25+AO58*25+AQ58*100+AS58*50+AU58*50+AW58*25+AY58*25+BA58*25+BE58*25+BG58*25</f>
        <v>0</v>
      </c>
      <c r="BJ58"/>
      <c r="BK58" s="544"/>
    </row>
    <row r="59" spans="1:63" s="65" customFormat="1" ht="3" customHeight="1" thickBot="1" x14ac:dyDescent="0.3">
      <c r="A59" s="146"/>
      <c r="B59" s="15"/>
      <c r="C59" s="298"/>
      <c r="D59" s="67"/>
      <c r="E59" s="298"/>
      <c r="F59" s="298"/>
      <c r="G59" s="298"/>
      <c r="H59" s="298"/>
      <c r="I59" s="298"/>
      <c r="J59" s="67"/>
      <c r="K59" s="67"/>
      <c r="L59" s="67"/>
      <c r="M59" s="67"/>
      <c r="N59" s="67"/>
      <c r="O59" s="67"/>
      <c r="P59" s="67"/>
      <c r="Q59" s="298"/>
      <c r="R59" s="170">
        <f t="shared" si="2"/>
        <v>0</v>
      </c>
      <c r="S59" s="171">
        <f t="shared" si="3"/>
        <v>0</v>
      </c>
      <c r="T59" s="171">
        <f t="shared" si="4"/>
        <v>0</v>
      </c>
      <c r="U59" s="171">
        <f t="shared" si="1"/>
        <v>0</v>
      </c>
      <c r="V59" s="168">
        <f t="shared" si="5"/>
        <v>0</v>
      </c>
      <c r="W59" s="172">
        <f t="shared" si="6"/>
        <v>0</v>
      </c>
      <c r="X59" s="298"/>
      <c r="Y59" s="298"/>
      <c r="Z59" s="147"/>
      <c r="AC59" s="545"/>
      <c r="AD59" s="545"/>
      <c r="AE59" s="545"/>
      <c r="AF59" s="545"/>
      <c r="AG59" s="545"/>
      <c r="AH59" s="545"/>
      <c r="AI59" s="545"/>
      <c r="AJ59" s="545"/>
      <c r="AK59" s="545"/>
      <c r="AL59" s="545"/>
      <c r="AM59" s="545"/>
      <c r="AN59" s="545"/>
      <c r="AO59" s="545"/>
      <c r="AP59" s="545"/>
      <c r="AQ59" s="545"/>
      <c r="AR59" s="545"/>
      <c r="AS59" s="545"/>
      <c r="AT59" s="545"/>
      <c r="AU59" s="545"/>
      <c r="AV59" s="545"/>
      <c r="AW59" s="545"/>
      <c r="AX59" s="545"/>
      <c r="AY59" s="545"/>
      <c r="AZ59" s="545"/>
      <c r="BA59" s="545"/>
      <c r="BB59" s="545"/>
      <c r="BC59" s="545"/>
      <c r="BD59" s="545"/>
      <c r="BE59" s="545"/>
      <c r="BF59" s="545"/>
      <c r="BG59" s="545"/>
      <c r="BH59" s="545"/>
      <c r="BI59"/>
      <c r="BJ59"/>
      <c r="BK59" s="545"/>
    </row>
    <row r="60" spans="1:63" ht="15.75" thickBot="1" x14ac:dyDescent="0.3">
      <c r="A60" s="96"/>
      <c r="B60" s="387" t="s">
        <v>1633</v>
      </c>
      <c r="C60" s="298"/>
      <c r="D60" s="39"/>
      <c r="E60" s="562"/>
      <c r="F60" s="562"/>
      <c r="G60" s="562"/>
      <c r="H60" s="562"/>
      <c r="I60" s="562"/>
      <c r="J60" s="556">
        <v>2</v>
      </c>
      <c r="K60" s="556"/>
      <c r="L60" s="556"/>
      <c r="M60" s="556"/>
      <c r="N60" s="556"/>
      <c r="O60" s="556"/>
      <c r="P60" s="556">
        <v>2.5</v>
      </c>
      <c r="Q60" s="562"/>
      <c r="R60" s="170">
        <f t="shared" si="2"/>
        <v>0</v>
      </c>
      <c r="S60" s="171">
        <f t="shared" si="3"/>
        <v>0</v>
      </c>
      <c r="T60" s="171">
        <f t="shared" si="4"/>
        <v>0</v>
      </c>
      <c r="U60" s="171">
        <f t="shared" si="1"/>
        <v>0</v>
      </c>
      <c r="V60" s="168">
        <f t="shared" si="5"/>
        <v>0</v>
      </c>
      <c r="W60" s="172">
        <f t="shared" si="6"/>
        <v>0</v>
      </c>
      <c r="X60" s="562"/>
      <c r="Y60" s="562"/>
      <c r="Z60" s="97"/>
      <c r="AC60" s="549" t="s">
        <v>1541</v>
      </c>
      <c r="AD60" s="545"/>
      <c r="AE60" s="547">
        <f>AE58*2</f>
        <v>50</v>
      </c>
      <c r="AF60" s="545"/>
      <c r="AG60" s="409"/>
      <c r="AH60" s="545"/>
      <c r="AI60" s="409"/>
      <c r="AJ60" s="545"/>
      <c r="AK60" s="409"/>
      <c r="AL60" s="545"/>
      <c r="AM60" s="409"/>
      <c r="AN60" s="545"/>
      <c r="AO60" s="409"/>
      <c r="AP60" s="545"/>
      <c r="AQ60" s="409"/>
      <c r="AR60" s="545"/>
      <c r="AS60" s="409"/>
      <c r="AT60" s="545"/>
      <c r="AU60" s="409"/>
      <c r="AV60" s="545"/>
      <c r="AW60" s="409"/>
      <c r="AX60" s="545"/>
      <c r="AY60" s="409"/>
      <c r="AZ60" s="545"/>
      <c r="BA60" s="409"/>
      <c r="BB60" s="545"/>
      <c r="BC60" s="409"/>
      <c r="BD60" s="545"/>
      <c r="BE60" s="409"/>
      <c r="BF60" s="545"/>
      <c r="BG60" s="409"/>
      <c r="BH60" s="545"/>
      <c r="BI60" s="550">
        <f>$AE60*AG60+AM60*25+AO60*25+AQ60*100+AS60*50+AU60*50+AW60*25+AY60*25+BA60*25+BE60*25+BG60*25</f>
        <v>0</v>
      </c>
      <c r="BJ60"/>
      <c r="BK60" s="544"/>
    </row>
    <row r="61" spans="1:63" s="65" customFormat="1" ht="3" customHeight="1" thickBot="1" x14ac:dyDescent="0.3">
      <c r="A61" s="146"/>
      <c r="B61" s="146"/>
      <c r="C61" s="298"/>
      <c r="D61" s="298"/>
      <c r="E61" s="298"/>
      <c r="F61" s="298"/>
      <c r="G61" s="298"/>
      <c r="H61" s="298"/>
      <c r="I61" s="298"/>
      <c r="J61" s="298"/>
      <c r="K61" s="298"/>
      <c r="L61" s="298"/>
      <c r="M61" s="298"/>
      <c r="N61" s="298"/>
      <c r="O61" s="298"/>
      <c r="P61" s="298"/>
      <c r="Q61" s="298"/>
      <c r="R61" s="170">
        <f t="shared" si="2"/>
        <v>0</v>
      </c>
      <c r="S61" s="171">
        <f t="shared" si="3"/>
        <v>0</v>
      </c>
      <c r="T61" s="171">
        <f t="shared" si="4"/>
        <v>0</v>
      </c>
      <c r="U61" s="171">
        <f t="shared" si="1"/>
        <v>0</v>
      </c>
      <c r="V61" s="168">
        <f t="shared" si="5"/>
        <v>0</v>
      </c>
      <c r="W61" s="172">
        <f t="shared" si="6"/>
        <v>0</v>
      </c>
      <c r="X61" s="298"/>
      <c r="Y61" s="298"/>
      <c r="Z61" s="147"/>
      <c r="AC61" s="545"/>
      <c r="AD61" s="545"/>
      <c r="AE61" s="545"/>
      <c r="AF61" s="545"/>
      <c r="AG61" s="545"/>
      <c r="AH61" s="545"/>
      <c r="AI61" s="545"/>
      <c r="AJ61" s="545"/>
      <c r="AK61" s="545"/>
      <c r="AL61" s="545"/>
      <c r="AM61" s="545"/>
      <c r="AN61" s="545"/>
      <c r="AO61" s="545"/>
      <c r="AP61" s="545"/>
      <c r="AQ61" s="545"/>
      <c r="AR61" s="545"/>
      <c r="AS61" s="545"/>
      <c r="AT61" s="545"/>
      <c r="AU61" s="545"/>
      <c r="AV61" s="545"/>
      <c r="AW61" s="545"/>
      <c r="AX61" s="545"/>
      <c r="AY61" s="545"/>
      <c r="AZ61" s="545"/>
      <c r="BA61" s="545"/>
      <c r="BB61" s="545"/>
      <c r="BC61" s="545"/>
      <c r="BD61" s="545"/>
      <c r="BE61" s="545"/>
      <c r="BF61" s="545"/>
      <c r="BG61" s="545"/>
      <c r="BH61" s="545"/>
      <c r="BI61"/>
      <c r="BJ61"/>
      <c r="BK61" s="545"/>
    </row>
    <row r="62" spans="1:63" s="65" customFormat="1" ht="15.75" thickBot="1" x14ac:dyDescent="0.3">
      <c r="A62" s="146"/>
      <c r="B62" s="385" t="s">
        <v>88</v>
      </c>
      <c r="C62" s="298"/>
      <c r="D62" s="39"/>
      <c r="E62" s="97"/>
      <c r="F62" s="137">
        <v>0.25</v>
      </c>
      <c r="G62" s="159"/>
      <c r="H62" s="42"/>
      <c r="I62" s="160"/>
      <c r="J62" s="42">
        <v>0.125</v>
      </c>
      <c r="K62" s="160"/>
      <c r="L62" s="42"/>
      <c r="M62" s="160"/>
      <c r="N62" s="42"/>
      <c r="O62" s="161"/>
      <c r="P62" s="42"/>
      <c r="Q62" s="562"/>
      <c r="R62" s="170">
        <f t="shared" si="2"/>
        <v>0</v>
      </c>
      <c r="S62" s="171">
        <f t="shared" si="3"/>
        <v>0</v>
      </c>
      <c r="T62" s="171">
        <f t="shared" si="4"/>
        <v>0</v>
      </c>
      <c r="U62" s="171">
        <f t="shared" si="1"/>
        <v>0</v>
      </c>
      <c r="V62" s="168">
        <f t="shared" si="5"/>
        <v>0</v>
      </c>
      <c r="W62" s="172">
        <f t="shared" si="6"/>
        <v>0</v>
      </c>
      <c r="X62" s="562"/>
      <c r="Y62" s="562"/>
      <c r="Z62" s="97"/>
      <c r="AC62" s="549" t="s">
        <v>1542</v>
      </c>
      <c r="AD62" s="544"/>
      <c r="AE62" s="547">
        <f>AE58*3</f>
        <v>75</v>
      </c>
      <c r="AF62" s="544"/>
      <c r="AG62" s="548"/>
      <c r="AH62" s="544"/>
      <c r="AI62" s="548"/>
      <c r="AJ62" s="544"/>
      <c r="AK62" s="548"/>
      <c r="AL62" s="544"/>
      <c r="AM62" s="548"/>
      <c r="AN62" s="544"/>
      <c r="AO62" s="548"/>
      <c r="AP62" s="544"/>
      <c r="AQ62" s="548"/>
      <c r="AR62" s="544"/>
      <c r="AS62" s="548"/>
      <c r="AT62" s="544"/>
      <c r="AU62" s="548"/>
      <c r="AV62" s="544"/>
      <c r="AW62" s="548"/>
      <c r="AX62" s="544"/>
      <c r="AY62" s="548"/>
      <c r="AZ62" s="544"/>
      <c r="BA62" s="548"/>
      <c r="BB62" s="544"/>
      <c r="BC62" s="548"/>
      <c r="BD62" s="544"/>
      <c r="BE62" s="548"/>
      <c r="BF62" s="544"/>
      <c r="BG62" s="548"/>
      <c r="BH62" s="544"/>
      <c r="BI62" s="550">
        <f>$AE62*AG62+AM62*25+AO62*25+AQ62*100+AS62*50+AU62*50+AW62*25+AY62*25+BA62*25+BE62*25+BG62*25</f>
        <v>0</v>
      </c>
      <c r="BJ62"/>
      <c r="BK62" s="545"/>
    </row>
    <row r="63" spans="1:63" s="65" customFormat="1" ht="3" customHeight="1" thickBot="1" x14ac:dyDescent="0.3">
      <c r="A63" s="146"/>
      <c r="B63" s="383"/>
      <c r="C63" s="559"/>
      <c r="D63" s="63"/>
      <c r="E63" s="238"/>
      <c r="F63" s="298"/>
      <c r="G63" s="298"/>
      <c r="H63" s="298"/>
      <c r="I63" s="298"/>
      <c r="J63" s="298"/>
      <c r="K63" s="298"/>
      <c r="L63" s="298"/>
      <c r="M63" s="298"/>
      <c r="N63" s="298"/>
      <c r="O63" s="298"/>
      <c r="P63" s="298"/>
      <c r="Q63" s="298"/>
      <c r="R63" s="170">
        <f t="shared" si="2"/>
        <v>0</v>
      </c>
      <c r="S63" s="171">
        <f t="shared" si="3"/>
        <v>0</v>
      </c>
      <c r="T63" s="171">
        <f t="shared" si="4"/>
        <v>0</v>
      </c>
      <c r="U63" s="171">
        <f t="shared" si="1"/>
        <v>0</v>
      </c>
      <c r="V63" s="168">
        <f t="shared" si="5"/>
        <v>0</v>
      </c>
      <c r="W63" s="172">
        <f t="shared" si="6"/>
        <v>0</v>
      </c>
      <c r="X63" s="298"/>
      <c r="Y63" s="298"/>
      <c r="Z63" s="147"/>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s="545"/>
    </row>
    <row r="64" spans="1:63" ht="15.75" thickBot="1" x14ac:dyDescent="0.3">
      <c r="A64" s="96"/>
      <c r="B64" s="387" t="s">
        <v>315</v>
      </c>
      <c r="C64" s="298"/>
      <c r="D64" s="39"/>
      <c r="E64" s="97"/>
      <c r="F64" s="137"/>
      <c r="G64" s="159"/>
      <c r="H64" s="42"/>
      <c r="I64" s="160"/>
      <c r="J64" s="42">
        <v>1</v>
      </c>
      <c r="K64" s="160"/>
      <c r="L64" s="42"/>
      <c r="M64" s="160"/>
      <c r="N64" s="42"/>
      <c r="O64" s="161"/>
      <c r="P64" s="42">
        <v>1</v>
      </c>
      <c r="Q64" s="562"/>
      <c r="R64" s="170">
        <f t="shared" si="2"/>
        <v>0</v>
      </c>
      <c r="S64" s="171">
        <f t="shared" si="3"/>
        <v>0</v>
      </c>
      <c r="T64" s="171">
        <f t="shared" si="4"/>
        <v>0</v>
      </c>
      <c r="U64" s="171">
        <f t="shared" si="1"/>
        <v>0</v>
      </c>
      <c r="V64" s="168">
        <f t="shared" si="5"/>
        <v>0</v>
      </c>
      <c r="W64" s="172">
        <f t="shared" si="6"/>
        <v>0</v>
      </c>
      <c r="X64" s="562"/>
      <c r="Y64" s="562"/>
      <c r="Z64" s="97"/>
      <c r="AC64" s="549" t="s">
        <v>1527</v>
      </c>
      <c r="AD64" s="545"/>
      <c r="AE64" s="409">
        <v>100</v>
      </c>
      <c r="AF64" s="545"/>
      <c r="AG64" s="409"/>
      <c r="AH64" s="545"/>
      <c r="AI64" s="409"/>
      <c r="AJ64" s="545"/>
      <c r="AK64" s="409"/>
      <c r="AL64" s="545"/>
      <c r="AM64" s="409"/>
      <c r="AN64" s="545"/>
      <c r="AO64" s="409"/>
      <c r="AP64" s="545"/>
      <c r="AQ64" s="409"/>
      <c r="AR64" s="545"/>
      <c r="AS64" s="409"/>
      <c r="AT64" s="545"/>
      <c r="AU64" s="409"/>
      <c r="AV64" s="545"/>
      <c r="AW64" s="409"/>
      <c r="AX64" s="545"/>
      <c r="AY64" s="409"/>
      <c r="AZ64" s="545"/>
      <c r="BA64" s="409"/>
      <c r="BB64" s="545"/>
      <c r="BC64" s="409"/>
      <c r="BD64" s="545"/>
      <c r="BE64" s="409"/>
      <c r="BF64" s="545"/>
      <c r="BG64" s="409"/>
      <c r="BH64" s="545"/>
      <c r="BI64" s="550">
        <f>$AE64*AG64+AM64*25+AO64*25+AQ64*100+AS64*50+AU64*50+AW64*25+AY64*25+BA64*25+BE64*25+BG64*25</f>
        <v>0</v>
      </c>
      <c r="BJ64"/>
      <c r="BK64" s="544"/>
    </row>
    <row r="65" spans="1:63" customFormat="1" ht="3" customHeight="1" thickBot="1" x14ac:dyDescent="0.3">
      <c r="B65" s="383"/>
      <c r="C65" s="559"/>
      <c r="D65" s="63"/>
      <c r="E65" s="238"/>
      <c r="F65" s="298"/>
      <c r="G65" s="298"/>
      <c r="H65" s="298"/>
      <c r="I65" s="298"/>
      <c r="J65" s="298"/>
      <c r="K65" s="298"/>
      <c r="L65" s="298"/>
      <c r="M65" s="298"/>
      <c r="N65" s="298"/>
      <c r="O65" s="298"/>
      <c r="P65" s="298"/>
      <c r="Q65" s="298"/>
      <c r="R65" s="170">
        <f t="shared" si="2"/>
        <v>0</v>
      </c>
      <c r="S65" s="171">
        <f t="shared" si="3"/>
        <v>0</v>
      </c>
      <c r="T65" s="171">
        <f t="shared" si="4"/>
        <v>0</v>
      </c>
      <c r="U65" s="171">
        <f t="shared" si="1"/>
        <v>0</v>
      </c>
      <c r="V65" s="168">
        <f t="shared" si="5"/>
        <v>0</v>
      </c>
      <c r="W65" s="172">
        <f t="shared" si="6"/>
        <v>0</v>
      </c>
      <c r="X65" s="298"/>
      <c r="Y65" s="298"/>
      <c r="Z65" s="147"/>
      <c r="AC65" s="544"/>
      <c r="AD65" s="545"/>
      <c r="AE65" s="545"/>
      <c r="AF65" s="545"/>
      <c r="AG65" s="545"/>
      <c r="AH65" s="545"/>
      <c r="AI65" s="545"/>
      <c r="AJ65" s="545"/>
      <c r="AK65" s="545"/>
      <c r="AL65" s="545"/>
      <c r="AM65" s="545"/>
      <c r="AN65" s="545"/>
      <c r="AO65" s="545"/>
      <c r="AP65" s="545"/>
      <c r="AQ65" s="545"/>
      <c r="AR65" s="545"/>
      <c r="AS65" s="545"/>
      <c r="AT65" s="545"/>
      <c r="AU65" s="545"/>
      <c r="AV65" s="545"/>
      <c r="AW65" s="545"/>
      <c r="AX65" s="545"/>
      <c r="AY65" s="545"/>
      <c r="AZ65" s="545"/>
      <c r="BA65" s="545"/>
      <c r="BB65" s="545"/>
      <c r="BC65" s="545"/>
      <c r="BD65" s="545"/>
      <c r="BE65" s="545"/>
      <c r="BF65" s="545"/>
      <c r="BG65" s="545"/>
      <c r="BH65" s="545"/>
    </row>
    <row r="66" spans="1:63" ht="15.75" thickBot="1" x14ac:dyDescent="0.3">
      <c r="A66" s="96"/>
      <c r="B66" s="385" t="s">
        <v>326</v>
      </c>
      <c r="C66" s="559"/>
      <c r="D66" s="39"/>
      <c r="E66" s="97"/>
      <c r="F66" s="137"/>
      <c r="G66" s="159"/>
      <c r="H66" s="42"/>
      <c r="I66" s="160"/>
      <c r="J66" s="42">
        <v>2</v>
      </c>
      <c r="K66" s="160"/>
      <c r="L66" s="42"/>
      <c r="M66" s="160"/>
      <c r="N66" s="42"/>
      <c r="O66" s="161"/>
      <c r="P66" s="42">
        <v>2</v>
      </c>
      <c r="Q66" s="298"/>
      <c r="R66" s="170">
        <f t="shared" si="2"/>
        <v>0</v>
      </c>
      <c r="S66" s="171">
        <f t="shared" si="3"/>
        <v>0</v>
      </c>
      <c r="T66" s="171">
        <f t="shared" si="4"/>
        <v>0</v>
      </c>
      <c r="U66" s="171">
        <f t="shared" si="1"/>
        <v>0</v>
      </c>
      <c r="V66" s="168">
        <f t="shared" si="5"/>
        <v>0</v>
      </c>
      <c r="W66" s="172">
        <f t="shared" si="6"/>
        <v>0</v>
      </c>
      <c r="X66" s="298"/>
      <c r="Y66" s="298"/>
      <c r="Z66" s="147"/>
      <c r="AC66" s="549" t="s">
        <v>1543</v>
      </c>
      <c r="AD66" s="545"/>
      <c r="AE66" s="547">
        <f>AE64*2</f>
        <v>200</v>
      </c>
      <c r="AF66" s="545"/>
      <c r="AG66" s="409"/>
      <c r="AH66" s="545"/>
      <c r="AI66" s="409"/>
      <c r="AJ66" s="545"/>
      <c r="AK66" s="409"/>
      <c r="AL66" s="545"/>
      <c r="AM66" s="409"/>
      <c r="AN66" s="545"/>
      <c r="AO66" s="409"/>
      <c r="AP66" s="545"/>
      <c r="AQ66" s="409"/>
      <c r="AR66" s="545"/>
      <c r="AS66" s="409"/>
      <c r="AT66" s="545"/>
      <c r="AU66" s="409"/>
      <c r="AV66" s="545"/>
      <c r="AW66" s="409"/>
      <c r="AX66" s="545"/>
      <c r="AY66" s="409"/>
      <c r="AZ66" s="545"/>
      <c r="BA66" s="409"/>
      <c r="BB66" s="545"/>
      <c r="BC66" s="409"/>
      <c r="BD66" s="545"/>
      <c r="BE66" s="409"/>
      <c r="BF66" s="545"/>
      <c r="BG66" s="409"/>
      <c r="BH66" s="545"/>
      <c r="BI66" s="550">
        <f>$AE66*AG66+AM66*25+AO66*25+AQ66*100+AS66*50+AU66*50+AW66*25+AY66*25+BA66*25+BE66*25+BG66*25</f>
        <v>0</v>
      </c>
      <c r="BJ66"/>
      <c r="BK66" s="544"/>
    </row>
    <row r="67" spans="1:63" s="65" customFormat="1" ht="3" customHeight="1" thickBot="1" x14ac:dyDescent="0.3">
      <c r="A67" s="146"/>
      <c r="B67" s="383"/>
      <c r="C67" s="559"/>
      <c r="D67" s="63"/>
      <c r="E67" s="238"/>
      <c r="F67" s="298"/>
      <c r="G67" s="298"/>
      <c r="H67" s="298"/>
      <c r="I67" s="298"/>
      <c r="J67" s="298"/>
      <c r="K67" s="298"/>
      <c r="L67" s="298"/>
      <c r="M67" s="298"/>
      <c r="N67" s="298"/>
      <c r="O67" s="298"/>
      <c r="P67" s="298"/>
      <c r="Q67" s="298"/>
      <c r="R67" s="170">
        <f t="shared" si="2"/>
        <v>0</v>
      </c>
      <c r="S67" s="171">
        <f t="shared" si="3"/>
        <v>0</v>
      </c>
      <c r="T67" s="171">
        <f t="shared" si="4"/>
        <v>0</v>
      </c>
      <c r="U67" s="171">
        <f t="shared" si="1"/>
        <v>0</v>
      </c>
      <c r="V67" s="168">
        <f t="shared" si="5"/>
        <v>0</v>
      </c>
      <c r="W67" s="172">
        <f t="shared" si="6"/>
        <v>0</v>
      </c>
      <c r="X67" s="298"/>
      <c r="Y67" s="298"/>
      <c r="Z67" s="147"/>
      <c r="AC67" s="544"/>
      <c r="AD67" s="544"/>
      <c r="AE67" s="544"/>
      <c r="AF67" s="544"/>
      <c r="AG67" s="544"/>
      <c r="AH67" s="544"/>
      <c r="AI67" s="544"/>
      <c r="AJ67" s="544"/>
      <c r="AK67" s="544"/>
      <c r="AL67" s="544"/>
      <c r="AM67" s="544"/>
      <c r="AN67" s="544"/>
      <c r="AO67" s="544"/>
      <c r="AP67" s="544"/>
      <c r="AQ67" s="544"/>
      <c r="AR67" s="544"/>
      <c r="AS67" s="544"/>
      <c r="AT67" s="544"/>
      <c r="AU67" s="544"/>
      <c r="AV67" s="544"/>
      <c r="AW67" s="544"/>
      <c r="AX67" s="544"/>
      <c r="AY67" s="544"/>
      <c r="AZ67" s="544"/>
      <c r="BA67" s="544"/>
      <c r="BB67" s="544"/>
      <c r="BC67" s="544"/>
      <c r="BD67" s="544"/>
      <c r="BE67" s="544"/>
      <c r="BF67" s="544"/>
      <c r="BG67" s="544"/>
      <c r="BH67" s="544"/>
      <c r="BI67"/>
      <c r="BJ67"/>
      <c r="BK67" s="545"/>
    </row>
    <row r="68" spans="1:63" s="65" customFormat="1" ht="15.75" thickBot="1" x14ac:dyDescent="0.3">
      <c r="A68" s="64"/>
      <c r="B68" s="387" t="s">
        <v>1630</v>
      </c>
      <c r="C68" s="298"/>
      <c r="D68" s="39"/>
      <c r="E68" s="562"/>
      <c r="F68" s="562"/>
      <c r="G68" s="562"/>
      <c r="H68" s="562"/>
      <c r="I68" s="562"/>
      <c r="J68" s="556">
        <v>1</v>
      </c>
      <c r="K68" s="556"/>
      <c r="L68" s="556"/>
      <c r="M68" s="556"/>
      <c r="N68" s="556"/>
      <c r="O68" s="556"/>
      <c r="P68" s="556">
        <v>1.5</v>
      </c>
      <c r="Q68" s="562"/>
      <c r="R68" s="170">
        <f t="shared" si="2"/>
        <v>0</v>
      </c>
      <c r="S68" s="171">
        <f t="shared" si="3"/>
        <v>0</v>
      </c>
      <c r="T68" s="171">
        <f t="shared" si="4"/>
        <v>0</v>
      </c>
      <c r="U68" s="171">
        <f t="shared" si="1"/>
        <v>0</v>
      </c>
      <c r="V68" s="168">
        <f t="shared" si="5"/>
        <v>0</v>
      </c>
      <c r="W68" s="172">
        <f t="shared" si="6"/>
        <v>0</v>
      </c>
      <c r="X68" s="562"/>
      <c r="Y68" s="562"/>
      <c r="Z68" s="97"/>
      <c r="AC68" s="549" t="s">
        <v>1544</v>
      </c>
      <c r="AD68" s="544"/>
      <c r="AE68" s="547">
        <f>AE64*3</f>
        <v>300</v>
      </c>
      <c r="AF68" s="544"/>
      <c r="AG68" s="548"/>
      <c r="AH68" s="544"/>
      <c r="AI68" s="548"/>
      <c r="AJ68" s="544"/>
      <c r="AK68" s="548"/>
      <c r="AL68" s="544"/>
      <c r="AM68" s="548"/>
      <c r="AN68" s="544"/>
      <c r="AO68" s="548"/>
      <c r="AP68" s="544"/>
      <c r="AQ68" s="548"/>
      <c r="AR68" s="544"/>
      <c r="AS68" s="548"/>
      <c r="AT68" s="544"/>
      <c r="AU68" s="548"/>
      <c r="AV68" s="544"/>
      <c r="AW68" s="548"/>
      <c r="AX68" s="544"/>
      <c r="AY68" s="548"/>
      <c r="AZ68" s="544"/>
      <c r="BA68" s="548"/>
      <c r="BB68" s="544"/>
      <c r="BC68" s="548"/>
      <c r="BD68" s="544"/>
      <c r="BE68" s="548"/>
      <c r="BF68" s="544"/>
      <c r="BG68" s="548"/>
      <c r="BH68" s="544"/>
      <c r="BI68" s="550">
        <f>$AE68*AG68+AM68*25+AO68*25+AQ68*100+AS68*50+AU68*50+AW68*25+AY68*25+BA68*25+BE68*25+BG68*25</f>
        <v>0</v>
      </c>
      <c r="BJ68"/>
      <c r="BK68" s="545"/>
    </row>
    <row r="69" spans="1:63" s="65" customFormat="1" ht="3" customHeight="1" thickBot="1" x14ac:dyDescent="0.3">
      <c r="A69" s="64"/>
      <c r="B69" s="15"/>
      <c r="C69" s="298"/>
      <c r="D69" s="562"/>
      <c r="E69" s="562"/>
      <c r="F69" s="562"/>
      <c r="G69" s="562"/>
      <c r="H69" s="562"/>
      <c r="I69" s="562"/>
      <c r="J69" s="556"/>
      <c r="K69" s="556"/>
      <c r="L69" s="556"/>
      <c r="M69" s="556"/>
      <c r="N69" s="556"/>
      <c r="O69" s="556"/>
      <c r="P69" s="556"/>
      <c r="Q69" s="562"/>
      <c r="R69" s="170">
        <f t="shared" si="2"/>
        <v>0</v>
      </c>
      <c r="S69" s="171">
        <f t="shared" si="3"/>
        <v>0</v>
      </c>
      <c r="T69" s="171">
        <f t="shared" si="4"/>
        <v>0</v>
      </c>
      <c r="U69" s="171">
        <f t="shared" si="1"/>
        <v>0</v>
      </c>
      <c r="V69" s="168">
        <f t="shared" si="5"/>
        <v>0</v>
      </c>
      <c r="W69" s="172">
        <f t="shared" si="6"/>
        <v>0</v>
      </c>
      <c r="X69" s="562"/>
      <c r="Y69" s="562"/>
      <c r="Z69" s="97"/>
      <c r="AC69" s="545"/>
      <c r="AD69" s="544"/>
      <c r="AE69" s="544"/>
      <c r="AF69" s="544"/>
      <c r="AG69" s="544"/>
      <c r="AH69" s="544"/>
      <c r="AI69" s="544"/>
      <c r="AJ69" s="544"/>
      <c r="AK69" s="544"/>
      <c r="AL69" s="544"/>
      <c r="AM69" s="544"/>
      <c r="AN69" s="544"/>
      <c r="AO69" s="544"/>
      <c r="AP69" s="544"/>
      <c r="AQ69" s="544"/>
      <c r="AR69" s="544"/>
      <c r="AS69" s="544"/>
      <c r="AT69" s="544"/>
      <c r="AU69" s="544"/>
      <c r="AV69" s="544"/>
      <c r="AW69" s="544"/>
      <c r="AX69" s="544"/>
      <c r="AY69" s="544"/>
      <c r="AZ69" s="544"/>
      <c r="BA69" s="544"/>
      <c r="BB69" s="544"/>
      <c r="BC69" s="544"/>
      <c r="BD69" s="544"/>
      <c r="BE69" s="544"/>
      <c r="BF69" s="544"/>
      <c r="BG69" s="544"/>
      <c r="BH69" s="544"/>
      <c r="BI69"/>
      <c r="BJ69"/>
      <c r="BK69" s="545"/>
    </row>
    <row r="70" spans="1:63" s="65" customFormat="1" ht="15.75" thickBot="1" x14ac:dyDescent="0.3">
      <c r="A70" s="64"/>
      <c r="B70" s="387" t="s">
        <v>1631</v>
      </c>
      <c r="C70" s="298"/>
      <c r="D70" s="39"/>
      <c r="E70" s="562"/>
      <c r="F70" s="562"/>
      <c r="G70" s="562"/>
      <c r="H70" s="562"/>
      <c r="I70" s="562"/>
      <c r="J70" s="556">
        <v>2</v>
      </c>
      <c r="K70" s="556"/>
      <c r="L70" s="556"/>
      <c r="M70" s="556"/>
      <c r="N70" s="556"/>
      <c r="O70" s="556"/>
      <c r="P70" s="556">
        <v>2.5</v>
      </c>
      <c r="Q70" s="562"/>
      <c r="R70" s="170">
        <f t="shared" si="2"/>
        <v>0</v>
      </c>
      <c r="S70" s="171">
        <f t="shared" si="3"/>
        <v>0</v>
      </c>
      <c r="T70" s="171">
        <f t="shared" si="4"/>
        <v>0</v>
      </c>
      <c r="U70" s="171">
        <f t="shared" si="1"/>
        <v>0</v>
      </c>
      <c r="V70" s="168">
        <f t="shared" si="5"/>
        <v>0</v>
      </c>
      <c r="W70" s="172">
        <f t="shared" si="6"/>
        <v>0</v>
      </c>
      <c r="X70" s="562"/>
      <c r="Y70" s="562"/>
      <c r="Z70" s="97"/>
      <c r="AC70" s="549" t="s">
        <v>1528</v>
      </c>
      <c r="AD70" s="544"/>
      <c r="AE70" s="548">
        <v>25</v>
      </c>
      <c r="AF70" s="544"/>
      <c r="AG70" s="548"/>
      <c r="AH70" s="544"/>
      <c r="AI70" s="548"/>
      <c r="AJ70" s="544"/>
      <c r="AK70" s="548"/>
      <c r="AL70" s="544"/>
      <c r="AM70" s="548"/>
      <c r="AN70" s="544"/>
      <c r="AO70" s="548"/>
      <c r="AP70" s="544"/>
      <c r="AQ70" s="548"/>
      <c r="AR70" s="544"/>
      <c r="AS70" s="548"/>
      <c r="AT70" s="544"/>
      <c r="AU70" s="548"/>
      <c r="AV70" s="544"/>
      <c r="AW70" s="548"/>
      <c r="AX70" s="544"/>
      <c r="AY70" s="548"/>
      <c r="AZ70" s="544"/>
      <c r="BA70" s="548"/>
      <c r="BB70" s="544"/>
      <c r="BC70" s="548"/>
      <c r="BD70" s="544"/>
      <c r="BE70" s="548"/>
      <c r="BF70" s="544"/>
      <c r="BG70" s="548"/>
      <c r="BH70" s="544"/>
      <c r="BI70" s="550">
        <f>$AE70*AG70+AM70*25+AO70*25+AQ70*100+AS70*50+AU70*50+AW70*25+AY70*25+BA70*25+BE70*25+BG70*25</f>
        <v>0</v>
      </c>
      <c r="BJ70"/>
      <c r="BK70" s="545"/>
    </row>
    <row r="71" spans="1:63" ht="3" customHeight="1" thickBot="1" x14ac:dyDescent="0.3">
      <c r="A71" s="68"/>
      <c r="B71" s="96"/>
      <c r="C71" s="298"/>
      <c r="D71" s="562"/>
      <c r="E71" s="562"/>
      <c r="F71" s="562"/>
      <c r="G71" s="562"/>
      <c r="H71" s="562"/>
      <c r="I71" s="562"/>
      <c r="J71" s="562"/>
      <c r="K71" s="562"/>
      <c r="L71" s="562"/>
      <c r="M71" s="562"/>
      <c r="N71" s="562"/>
      <c r="O71" s="562"/>
      <c r="P71" s="562"/>
      <c r="Q71" s="562"/>
      <c r="R71" s="562"/>
      <c r="S71" s="562"/>
      <c r="T71" s="562"/>
      <c r="U71" s="562"/>
      <c r="V71" s="562"/>
      <c r="W71" s="556"/>
      <c r="X71" s="562"/>
      <c r="Y71" s="562"/>
      <c r="Z71" s="97"/>
      <c r="AC71" s="544"/>
      <c r="AD71" s="545"/>
      <c r="AE71" s="545"/>
      <c r="AF71" s="545"/>
      <c r="AG71" s="545"/>
      <c r="AH71" s="545"/>
      <c r="AI71" s="545"/>
      <c r="AJ71" s="545"/>
      <c r="AK71" s="545"/>
      <c r="AL71" s="545"/>
      <c r="AM71" s="545"/>
      <c r="AN71" s="545"/>
      <c r="AO71" s="545"/>
      <c r="AP71" s="545"/>
      <c r="AQ71" s="545"/>
      <c r="AR71" s="545"/>
      <c r="AS71" s="545"/>
      <c r="AT71" s="545"/>
      <c r="AU71" s="545"/>
      <c r="AV71" s="545"/>
      <c r="AW71" s="545"/>
      <c r="AX71" s="545"/>
      <c r="AY71" s="545"/>
      <c r="AZ71" s="545"/>
      <c r="BA71" s="545"/>
      <c r="BB71" s="545"/>
      <c r="BC71" s="545"/>
      <c r="BD71" s="545"/>
      <c r="BE71" s="545"/>
      <c r="BF71" s="545"/>
      <c r="BG71" s="545"/>
      <c r="BH71" s="545"/>
      <c r="BI71"/>
      <c r="BJ71"/>
      <c r="BK71" s="544"/>
    </row>
    <row r="72" spans="1:63" ht="15.75" thickBot="1" x14ac:dyDescent="0.3">
      <c r="A72" s="68"/>
      <c r="B72" s="385" t="s">
        <v>41</v>
      </c>
      <c r="C72" s="298"/>
      <c r="D72" s="39"/>
      <c r="E72" s="97"/>
      <c r="F72" s="137"/>
      <c r="G72" s="159"/>
      <c r="H72" s="42"/>
      <c r="I72" s="160"/>
      <c r="J72" s="42">
        <v>1</v>
      </c>
      <c r="K72" s="160"/>
      <c r="L72" s="42">
        <v>2</v>
      </c>
      <c r="M72" s="160"/>
      <c r="N72" s="42"/>
      <c r="O72" s="161"/>
      <c r="P72" s="42"/>
      <c r="Q72" s="562"/>
      <c r="R72" s="184">
        <f>$D72*F72</f>
        <v>0</v>
      </c>
      <c r="S72" s="185">
        <f>$D72*H72</f>
        <v>0</v>
      </c>
      <c r="T72" s="185">
        <f>$D72*J72</f>
        <v>0</v>
      </c>
      <c r="U72" s="185">
        <f>$D72*L72</f>
        <v>0</v>
      </c>
      <c r="V72" s="186">
        <f>$D72*N72</f>
        <v>0</v>
      </c>
      <c r="W72" s="187">
        <f>$D72*P72</f>
        <v>0</v>
      </c>
      <c r="X72" s="562"/>
      <c r="Y72" s="562"/>
      <c r="Z72" s="97"/>
      <c r="AC72" s="549" t="s">
        <v>1545</v>
      </c>
      <c r="AD72" s="544"/>
      <c r="AE72" s="547">
        <f>AE70*2</f>
        <v>50</v>
      </c>
      <c r="AF72" s="544"/>
      <c r="AG72" s="548"/>
      <c r="AH72" s="544"/>
      <c r="AI72" s="548"/>
      <c r="AJ72" s="544"/>
      <c r="AK72" s="548"/>
      <c r="AL72" s="544"/>
      <c r="AM72" s="548"/>
      <c r="AN72" s="544"/>
      <c r="AO72" s="548"/>
      <c r="AP72" s="544"/>
      <c r="AQ72" s="548"/>
      <c r="AR72" s="544"/>
      <c r="AS72" s="548"/>
      <c r="AT72" s="544"/>
      <c r="AU72" s="548"/>
      <c r="AV72" s="544"/>
      <c r="AW72" s="548"/>
      <c r="AX72" s="544"/>
      <c r="AY72" s="548"/>
      <c r="AZ72" s="544"/>
      <c r="BA72" s="548"/>
      <c r="BB72" s="544"/>
      <c r="BC72" s="548"/>
      <c r="BD72" s="544"/>
      <c r="BE72" s="548"/>
      <c r="BF72" s="544"/>
      <c r="BG72" s="548"/>
      <c r="BH72" s="544"/>
      <c r="BI72" s="550">
        <f>$AE72*AG72+AM72*25+AO72*25+AQ72*100+AS72*50+AU72*50+AW72*25+AY72*25+BA72*25+BE72*25+BG72*25</f>
        <v>0</v>
      </c>
      <c r="BJ72"/>
      <c r="BK72" s="544"/>
    </row>
    <row r="73" spans="1:63" ht="3" customHeight="1" thickBot="1" x14ac:dyDescent="0.3">
      <c r="A73" s="68"/>
      <c r="B73" s="15"/>
      <c r="C73" s="3"/>
      <c r="D73" s="3"/>
      <c r="E73" s="3"/>
      <c r="F73" s="3"/>
      <c r="G73" s="3"/>
      <c r="H73" s="3"/>
      <c r="I73" s="3"/>
      <c r="J73" s="3"/>
      <c r="K73" s="3"/>
      <c r="L73" s="3"/>
      <c r="M73" s="3"/>
      <c r="N73" s="3"/>
      <c r="O73" s="3"/>
      <c r="P73" s="3"/>
      <c r="Q73" s="3"/>
      <c r="R73" s="3"/>
      <c r="S73" s="3"/>
      <c r="T73" s="3"/>
      <c r="U73" s="3"/>
      <c r="V73" s="3"/>
      <c r="W73" s="3"/>
      <c r="X73" s="3"/>
      <c r="Y73" s="3"/>
      <c r="Z73" s="14"/>
      <c r="AC73" s="544"/>
      <c r="AD73" s="544"/>
      <c r="AE73" s="544"/>
      <c r="AF73" s="544"/>
      <c r="AG73" s="544"/>
      <c r="AH73" s="544"/>
      <c r="AI73" s="544"/>
      <c r="AJ73" s="544"/>
      <c r="AK73" s="544"/>
      <c r="AL73" s="544"/>
      <c r="AM73" s="544"/>
      <c r="AN73" s="544"/>
      <c r="AO73" s="544"/>
      <c r="AP73" s="544"/>
      <c r="AQ73" s="544"/>
      <c r="AR73" s="544"/>
      <c r="AS73" s="544"/>
      <c r="AT73" s="544"/>
      <c r="AU73" s="544"/>
      <c r="AV73" s="544"/>
      <c r="AW73" s="544"/>
      <c r="AX73" s="544"/>
      <c r="AY73" s="544"/>
      <c r="AZ73" s="544"/>
      <c r="BA73" s="544"/>
      <c r="BB73" s="544"/>
      <c r="BC73" s="544"/>
      <c r="BD73" s="544"/>
      <c r="BE73" s="544"/>
      <c r="BF73" s="544"/>
      <c r="BG73" s="544"/>
      <c r="BH73" s="544"/>
      <c r="BI73"/>
      <c r="BJ73"/>
      <c r="BK73" s="544"/>
    </row>
    <row r="74" spans="1:63" ht="15.75" thickBot="1" x14ac:dyDescent="0.3">
      <c r="A74" s="68"/>
      <c r="B74" s="387" t="s">
        <v>1576</v>
      </c>
      <c r="C74" s="298"/>
      <c r="D74" s="39"/>
      <c r="E74" s="97"/>
      <c r="F74" s="42"/>
      <c r="G74" s="161"/>
      <c r="H74" s="42"/>
      <c r="I74" s="161"/>
      <c r="J74" s="42">
        <v>1</v>
      </c>
      <c r="K74" s="161"/>
      <c r="L74" s="42">
        <v>3</v>
      </c>
      <c r="M74" s="161"/>
      <c r="N74" s="42"/>
      <c r="O74" s="161"/>
      <c r="P74" s="42"/>
      <c r="Q74" s="562"/>
      <c r="R74" s="258">
        <v>0</v>
      </c>
      <c r="S74" s="258">
        <v>0</v>
      </c>
      <c r="T74" s="258">
        <v>0</v>
      </c>
      <c r="U74" s="258">
        <v>0</v>
      </c>
      <c r="V74" s="258">
        <v>0</v>
      </c>
      <c r="W74" s="258">
        <v>0</v>
      </c>
      <c r="X74" s="562"/>
      <c r="Y74" s="562"/>
      <c r="Z74" s="97"/>
      <c r="AC74" s="549" t="s">
        <v>1546</v>
      </c>
      <c r="AD74" s="544"/>
      <c r="AE74" s="547">
        <f>AE70*3</f>
        <v>75</v>
      </c>
      <c r="AF74" s="544"/>
      <c r="AG74" s="548"/>
      <c r="AH74" s="544"/>
      <c r="AI74" s="548"/>
      <c r="AJ74" s="544"/>
      <c r="AK74" s="548"/>
      <c r="AL74" s="544"/>
      <c r="AM74" s="548"/>
      <c r="AN74" s="544"/>
      <c r="AO74" s="548"/>
      <c r="AP74" s="544"/>
      <c r="AQ74" s="548"/>
      <c r="AR74" s="544"/>
      <c r="AS74" s="548"/>
      <c r="AT74" s="544"/>
      <c r="AU74" s="548"/>
      <c r="AV74" s="544"/>
      <c r="AW74" s="548"/>
      <c r="AX74" s="544"/>
      <c r="AY74" s="548"/>
      <c r="AZ74" s="544"/>
      <c r="BA74" s="548"/>
      <c r="BB74" s="544"/>
      <c r="BC74" s="548"/>
      <c r="BD74" s="544"/>
      <c r="BE74" s="548"/>
      <c r="BF74" s="544"/>
      <c r="BG74" s="548"/>
      <c r="BH74" s="544"/>
      <c r="BI74" s="550">
        <f>$AE74*AG74+AM74*25+AO74*25+AQ74*100+AS74*50+AU74*50+AW74*25+AY74*25+BA74*25+BE74*25+BG74*25</f>
        <v>0</v>
      </c>
      <c r="BJ74"/>
      <c r="BK74" s="544"/>
    </row>
    <row r="75" spans="1:63" s="65" customFormat="1" ht="3" customHeight="1" thickBot="1" x14ac:dyDescent="0.3">
      <c r="A75" s="64"/>
      <c r="B75" s="146"/>
      <c r="C75" s="559"/>
      <c r="D75" s="63"/>
      <c r="E75" s="238"/>
      <c r="F75" s="298"/>
      <c r="G75" s="298"/>
      <c r="H75" s="298"/>
      <c r="I75" s="298"/>
      <c r="J75" s="298"/>
      <c r="K75" s="298"/>
      <c r="L75" s="298"/>
      <c r="M75" s="298"/>
      <c r="N75" s="298"/>
      <c r="O75" s="298"/>
      <c r="P75" s="298"/>
      <c r="Q75" s="298"/>
      <c r="R75" s="298"/>
      <c r="S75" s="298"/>
      <c r="T75" s="298"/>
      <c r="U75" s="298"/>
      <c r="V75" s="298"/>
      <c r="W75" s="67"/>
      <c r="X75" s="298"/>
      <c r="Y75" s="298"/>
      <c r="Z75" s="147"/>
      <c r="AC75" s="544"/>
      <c r="AD75" s="544"/>
      <c r="AE75" s="544"/>
      <c r="AF75" s="544"/>
      <c r="AG75" s="544"/>
      <c r="AH75" s="544"/>
      <c r="AI75" s="544"/>
      <c r="AJ75" s="544"/>
      <c r="AK75" s="544"/>
      <c r="AL75" s="544"/>
      <c r="AM75" s="544"/>
      <c r="AN75" s="544"/>
      <c r="AO75" s="544"/>
      <c r="AP75" s="544"/>
      <c r="AQ75" s="544"/>
      <c r="AR75" s="544"/>
      <c r="AS75" s="544"/>
      <c r="AT75" s="544"/>
      <c r="AU75" s="544"/>
      <c r="AV75" s="544"/>
      <c r="AW75" s="544"/>
      <c r="AX75" s="544"/>
      <c r="AY75" s="544"/>
      <c r="AZ75" s="544"/>
      <c r="BA75" s="544"/>
      <c r="BB75" s="544"/>
      <c r="BC75" s="544"/>
      <c r="BD75" s="544"/>
      <c r="BE75" s="544"/>
      <c r="BF75" s="544"/>
      <c r="BG75" s="544"/>
      <c r="BH75" s="544"/>
      <c r="BI75" s="544"/>
      <c r="BJ75"/>
      <c r="BK75" s="545"/>
    </row>
    <row r="76" spans="1:63" ht="15.75" thickBot="1" x14ac:dyDescent="0.3">
      <c r="B76" s="553" t="s">
        <v>316</v>
      </c>
      <c r="C76" s="554"/>
      <c r="D76" s="555"/>
      <c r="E76" s="238"/>
      <c r="F76" s="298"/>
      <c r="G76" s="298"/>
      <c r="H76" s="298"/>
      <c r="I76" s="298"/>
      <c r="J76" s="298"/>
      <c r="K76" s="298"/>
      <c r="L76" s="298"/>
      <c r="M76" s="298"/>
      <c r="N76" s="298"/>
      <c r="O76" s="298"/>
      <c r="P76" s="298"/>
      <c r="Q76" s="298"/>
      <c r="R76" s="298"/>
      <c r="S76" s="298"/>
      <c r="T76" s="298"/>
      <c r="U76" s="298"/>
      <c r="V76" s="298"/>
      <c r="W76" s="67"/>
      <c r="X76" s="298"/>
      <c r="Y76" s="298"/>
      <c r="Z76" s="147"/>
      <c r="AC76" s="544"/>
      <c r="AD76" s="544"/>
      <c r="AE76" s="544"/>
      <c r="AF76" s="544"/>
      <c r="AG76" s="610">
        <f>SUM(AG22:AG74)</f>
        <v>2</v>
      </c>
      <c r="AH76" s="544"/>
      <c r="AI76" s="569">
        <f>AI22+AI24+AI26+AI28+AI30+AI32+AI34+AI36+AI38+AI40+AI42+AI44+AI46+AI48+AI50+AI52+AI54+AI56+AI58+AI60+AI62+AI64+AI66+AI68+AI70+AI72+AI74</f>
        <v>2</v>
      </c>
      <c r="AJ76" s="544"/>
      <c r="AK76" s="546">
        <f>AK22+AK24+AK26+AK28+AK30+AK32+AK34+AK36+AK38+AK40+AK42+AK44+AK46+AK48+AK50+AK52+AK54+AK56+AK58+AK60+AK62+AK64+AK66+AK68+AK70+AK72+AK74</f>
        <v>0</v>
      </c>
      <c r="AL76" s="544"/>
      <c r="AM76" s="546">
        <f>AM22+AM24+AM26+AM28+AM30+AM32+AM34+AM36+AM38+AM40+AM42+AM44+AM46+AM48+AM50+AM52+AM54+AM56+AM58+AM60+AM62+AM64+AM66+AM68+AM70+AM72+AM74</f>
        <v>0</v>
      </c>
      <c r="AN76" s="544"/>
      <c r="AO76" s="546">
        <f>AO22+AO24+AO26+AO28+AO30+AO32+AO34+AO36+AO38+AO40+AO42+AO44+AO46+AO48+AO50+AO52+AO54+AO56+AO58+AO60+AO62+AO64+AO66+AO68+AO70+AO72+AO74</f>
        <v>0</v>
      </c>
      <c r="AP76" s="544"/>
      <c r="AQ76" s="546">
        <f>AQ22+AQ24+AQ26+AQ28+AQ30+AQ32+AQ34+AQ36+AQ38+AQ40+AQ42+AQ44+AQ46+AQ48+AQ50+AQ52+AQ54+AQ56+AQ58+AQ60+AQ62+AQ64+AQ66+AQ68+AQ70+AQ72+AQ74</f>
        <v>2</v>
      </c>
      <c r="AR76" s="544"/>
      <c r="AS76" s="546">
        <f>AS22+AS24+AS26+AS28+AS30+AS32+AS34+AS36+AS38+AS40+AS42+AS44+AS46+AS48+AS50+AS52+AS54+AS56+AS58+AS60+AS62+AS64+AS66+AS68+AS70+AS72+AS74</f>
        <v>0</v>
      </c>
      <c r="AT76" s="544"/>
      <c r="AU76" s="546">
        <f>AU22+AU24+AU26+AU28+AU30+AU32+AU34+AU36+AU38+AU40+AU42+AU44+AU46+AU48+AU50+AU52+AU54+AU56+AU58+AU60+AU62+AU64+AU66+AU68+AU70+AU72+AU74</f>
        <v>0</v>
      </c>
      <c r="AV76" s="544"/>
      <c r="AW76" s="546">
        <f>AW22+AW24+AW26+AW28+AW30+AW32+AW34+AW36+AW38+AW40+AW42+AW44+AW46+AW48+AW50+AW52+AW54+AW56+AW58+AW60+AW62+AW64+AW66+AW68+AW70+AW72+AW74</f>
        <v>0</v>
      </c>
      <c r="AX76" s="544"/>
      <c r="AY76" s="546">
        <f>AY22+AY24+AY26+AY28+AY30+AY32+AY34+AY36+AY38+AY40+AY42+AY44+AY46+AY48+AY50+AY52+AY54+AY56+AY58+AY60+AY62+AY64+AY66+AY68+AY70+AY72+AY74</f>
        <v>1</v>
      </c>
      <c r="AZ76" s="544"/>
      <c r="BA76" s="546">
        <f>BA22+BA24+BA26+BA28+BA30+BA32+BA34+BA36+BA38+BA40+BA42+BA44+BA46+BA48+BA50+BA52+BA54+BA56+BA58+BA60+BA62+BA64+BA66+BA68+BA70+BA72+BA74</f>
        <v>1</v>
      </c>
      <c r="BB76" s="544"/>
      <c r="BC76" s="546">
        <f>BC22+BC24+BC26+BC28+BC30+BC32+BC34+BC36+BC38+BC40+BC42+BC44+BC46+BC48+BC50+BC52+BC54+BC56+BC58+BC60+BC62+BC64+BC66+BC68+BC70+BC72+BC74</f>
        <v>0</v>
      </c>
      <c r="BD76" s="544"/>
      <c r="BE76" s="546">
        <f>BE22+BE24+BE26+BE28+BE30+BE32+BE34+BE36+BE38+BE40+BE42+BE44+BE46+BE48+BE50+BE52+BE54+BE56+BE58+BE60+BE62+BE64+BE66+BE68+BE70+BE72+BE74</f>
        <v>0</v>
      </c>
      <c r="BF76" s="544"/>
      <c r="BG76" s="546">
        <f>BG22+BG24+BG26+BG28+BG30+BG32+BG34+BG36+BG38+BG40+BG42+BG44+BG46+BG48+BG50+BG52+BG54+BG56+BG58+BG60+BG62+BG64+BG66+BG68+BG70+BG72+BG74</f>
        <v>0</v>
      </c>
      <c r="BH76" s="544"/>
      <c r="BI76" s="550">
        <f>SUM(BI22:BI74)</f>
        <v>500</v>
      </c>
      <c r="BJ76"/>
      <c r="BK76" s="544"/>
    </row>
    <row r="77" spans="1:63" ht="3" customHeight="1" thickBot="1" x14ac:dyDescent="0.3">
      <c r="B77" s="146"/>
      <c r="C77" s="559"/>
      <c r="D77" s="63"/>
      <c r="E77" s="238"/>
      <c r="F77" s="298"/>
      <c r="G77" s="298"/>
      <c r="H77" s="298"/>
      <c r="I77" s="298"/>
      <c r="J77" s="298"/>
      <c r="K77" s="298"/>
      <c r="L77" s="298"/>
      <c r="M77" s="298"/>
      <c r="N77" s="298"/>
      <c r="O77" s="298"/>
      <c r="P77" s="298"/>
      <c r="Q77" s="298"/>
      <c r="R77" s="298"/>
      <c r="S77" s="298"/>
      <c r="T77" s="298"/>
      <c r="U77" s="298"/>
      <c r="V77" s="298"/>
      <c r="W77" s="67"/>
      <c r="X77" s="298"/>
      <c r="Y77" s="298"/>
      <c r="Z77" s="147"/>
      <c r="AC77" s="544"/>
      <c r="AD77" s="544"/>
      <c r="AE77" s="544" t="s">
        <v>52</v>
      </c>
      <c r="AF77" s="544"/>
      <c r="AG77" s="544"/>
      <c r="AH77" s="544"/>
      <c r="AI77" s="544"/>
      <c r="AJ77" s="544"/>
      <c r="BJ77"/>
      <c r="BK77" s="544"/>
    </row>
    <row r="78" spans="1:63" ht="15.75" thickBot="1" x14ac:dyDescent="0.3">
      <c r="B78" s="385" t="s">
        <v>317</v>
      </c>
      <c r="C78" s="559"/>
      <c r="D78" s="39"/>
      <c r="E78" s="238"/>
      <c r="F78" s="137"/>
      <c r="G78" s="159"/>
      <c r="H78" s="42"/>
      <c r="I78" s="160"/>
      <c r="J78" s="42">
        <v>1</v>
      </c>
      <c r="K78" s="160"/>
      <c r="L78" s="42"/>
      <c r="M78" s="160"/>
      <c r="N78" s="42"/>
      <c r="O78" s="161"/>
      <c r="P78" s="42"/>
      <c r="Q78" s="298"/>
      <c r="R78" s="162">
        <f>$D78*F78</f>
        <v>0</v>
      </c>
      <c r="S78" s="163">
        <f>$D78*H78</f>
        <v>0</v>
      </c>
      <c r="T78" s="163">
        <f>$D78*J78</f>
        <v>0</v>
      </c>
      <c r="U78" s="163">
        <f>$D78*L78</f>
        <v>0</v>
      </c>
      <c r="V78" s="164">
        <f>$D78*N78</f>
        <v>0</v>
      </c>
      <c r="W78" s="188">
        <f>D78*P78</f>
        <v>0</v>
      </c>
      <c r="X78" s="298"/>
      <c r="Y78" s="298"/>
      <c r="Z78" s="147"/>
      <c r="BJ78"/>
      <c r="BK78" s="544"/>
    </row>
    <row r="79" spans="1:63" ht="3" customHeight="1" thickBot="1" x14ac:dyDescent="0.3">
      <c r="A79" s="70"/>
      <c r="B79" s="146"/>
      <c r="C79" s="298"/>
      <c r="D79" s="298"/>
      <c r="E79" s="298"/>
      <c r="F79" s="298"/>
      <c r="G79" s="298"/>
      <c r="H79" s="298"/>
      <c r="I79" s="298"/>
      <c r="J79" s="298"/>
      <c r="K79" s="298"/>
      <c r="L79" s="298"/>
      <c r="M79" s="298"/>
      <c r="N79" s="298"/>
      <c r="O79" s="298"/>
      <c r="P79" s="298"/>
      <c r="Q79" s="298"/>
      <c r="R79" s="298"/>
      <c r="S79" s="298"/>
      <c r="T79" s="298"/>
      <c r="U79" s="298"/>
      <c r="V79" s="298"/>
      <c r="W79" s="298"/>
      <c r="X79" s="298"/>
      <c r="Y79" s="298"/>
      <c r="Z79" s="147"/>
      <c r="BJ79"/>
      <c r="BK79" s="544"/>
    </row>
    <row r="80" spans="1:63" ht="15.75" thickBot="1" x14ac:dyDescent="0.3">
      <c r="B80" s="385" t="s">
        <v>87</v>
      </c>
      <c r="C80" s="298"/>
      <c r="D80" s="39"/>
      <c r="E80" s="97"/>
      <c r="F80" s="137"/>
      <c r="G80" s="159"/>
      <c r="H80" s="42">
        <v>1</v>
      </c>
      <c r="I80" s="160"/>
      <c r="J80" s="42"/>
      <c r="K80" s="160"/>
      <c r="L80" s="42"/>
      <c r="M80" s="160"/>
      <c r="N80" s="42"/>
      <c r="O80" s="161"/>
      <c r="P80" s="42"/>
      <c r="Q80" s="562"/>
      <c r="R80" s="170">
        <f>$D80*F80</f>
        <v>0</v>
      </c>
      <c r="S80" s="171">
        <f>$D80*H80</f>
        <v>0</v>
      </c>
      <c r="T80" s="171">
        <f>$D80*J80</f>
        <v>0</v>
      </c>
      <c r="U80" s="171">
        <f t="shared" ref="U80:U86" si="7">$D80*L80</f>
        <v>0</v>
      </c>
      <c r="V80" s="168">
        <f>$D80*N80</f>
        <v>0</v>
      </c>
      <c r="W80" s="189">
        <f>D80*P80</f>
        <v>0</v>
      </c>
      <c r="X80" s="562"/>
      <c r="Y80" s="562"/>
      <c r="Z80" s="97"/>
      <c r="BJ80"/>
      <c r="BK80" s="544"/>
    </row>
    <row r="81" spans="1:63" ht="3" customHeight="1" thickBot="1" x14ac:dyDescent="0.3">
      <c r="A81" s="70"/>
      <c r="B81" s="96"/>
      <c r="C81" s="298"/>
      <c r="D81" s="562"/>
      <c r="E81" s="97"/>
      <c r="F81" s="298"/>
      <c r="G81" s="298"/>
      <c r="H81" s="298"/>
      <c r="I81" s="298"/>
      <c r="J81" s="298"/>
      <c r="K81" s="298"/>
      <c r="L81" s="298"/>
      <c r="M81" s="298"/>
      <c r="N81" s="298"/>
      <c r="O81" s="298"/>
      <c r="P81" s="298"/>
      <c r="Q81" s="562"/>
      <c r="R81" s="167"/>
      <c r="S81" s="168"/>
      <c r="T81" s="168"/>
      <c r="U81" s="168">
        <f t="shared" si="7"/>
        <v>0</v>
      </c>
      <c r="V81" s="168"/>
      <c r="W81" s="169"/>
      <c r="X81" s="562"/>
      <c r="Y81" s="562"/>
      <c r="Z81" s="97"/>
      <c r="BJ81"/>
      <c r="BK81" s="544"/>
    </row>
    <row r="82" spans="1:63" ht="15.75" thickBot="1" x14ac:dyDescent="0.3">
      <c r="B82" s="385" t="s">
        <v>318</v>
      </c>
      <c r="C82" s="298"/>
      <c r="D82" s="39"/>
      <c r="E82" s="97"/>
      <c r="F82" s="137"/>
      <c r="G82" s="159"/>
      <c r="H82" s="42">
        <v>2</v>
      </c>
      <c r="I82" s="160"/>
      <c r="J82" s="42"/>
      <c r="K82" s="160"/>
      <c r="L82" s="42"/>
      <c r="M82" s="160"/>
      <c r="N82" s="42"/>
      <c r="O82" s="161"/>
      <c r="P82" s="42"/>
      <c r="Q82" s="562"/>
      <c r="R82" s="170">
        <f>$D82*F82</f>
        <v>0</v>
      </c>
      <c r="S82" s="171">
        <f>$D82*H82</f>
        <v>0</v>
      </c>
      <c r="T82" s="171">
        <f>$D82*J82</f>
        <v>0</v>
      </c>
      <c r="U82" s="171">
        <f t="shared" si="7"/>
        <v>0</v>
      </c>
      <c r="V82" s="168">
        <f>$D82*N82</f>
        <v>0</v>
      </c>
      <c r="W82" s="189">
        <f>D82*P82</f>
        <v>0</v>
      </c>
      <c r="X82" s="562"/>
      <c r="Y82" s="562"/>
      <c r="Z82" s="97"/>
    </row>
    <row r="83" spans="1:63" ht="3" customHeight="1" thickBot="1" x14ac:dyDescent="0.3">
      <c r="A83" s="70"/>
      <c r="B83" s="388"/>
      <c r="C83" s="298"/>
      <c r="D83" s="298"/>
      <c r="E83" s="147"/>
      <c r="F83" s="298"/>
      <c r="G83" s="298"/>
      <c r="H83" s="298"/>
      <c r="I83" s="298"/>
      <c r="J83" s="298"/>
      <c r="K83" s="298"/>
      <c r="L83" s="298"/>
      <c r="M83" s="298"/>
      <c r="N83" s="298"/>
      <c r="O83" s="298"/>
      <c r="P83" s="298"/>
      <c r="Q83" s="298"/>
      <c r="R83" s="167"/>
      <c r="S83" s="168"/>
      <c r="T83" s="168"/>
      <c r="U83" s="168">
        <f t="shared" si="7"/>
        <v>0</v>
      </c>
      <c r="V83" s="168"/>
      <c r="W83" s="178"/>
      <c r="X83" s="298"/>
      <c r="Y83" s="298"/>
      <c r="Z83" s="147"/>
      <c r="BJ83"/>
      <c r="BK83" s="544"/>
    </row>
    <row r="84" spans="1:63" ht="15.75" thickBot="1" x14ac:dyDescent="0.3">
      <c r="B84" s="385" t="s">
        <v>319</v>
      </c>
      <c r="C84" s="298"/>
      <c r="D84" s="39"/>
      <c r="E84" s="97"/>
      <c r="F84" s="137">
        <v>1</v>
      </c>
      <c r="G84" s="159"/>
      <c r="H84" s="42"/>
      <c r="I84" s="160"/>
      <c r="J84" s="42"/>
      <c r="K84" s="160"/>
      <c r="L84" s="42"/>
      <c r="M84" s="160"/>
      <c r="N84" s="42"/>
      <c r="O84" s="161"/>
      <c r="P84" s="42"/>
      <c r="Q84" s="562"/>
      <c r="R84" s="181">
        <f>$D84*F84</f>
        <v>0</v>
      </c>
      <c r="S84" s="182">
        <f>$D84*H84</f>
        <v>0</v>
      </c>
      <c r="T84" s="182">
        <f>$D84*J84</f>
        <v>0</v>
      </c>
      <c r="U84" s="182">
        <f t="shared" si="7"/>
        <v>0</v>
      </c>
      <c r="V84" s="183">
        <f>$D84*N84</f>
        <v>0</v>
      </c>
      <c r="W84" s="189">
        <f>D84*P84</f>
        <v>0</v>
      </c>
      <c r="X84" s="562"/>
      <c r="Y84" s="562"/>
      <c r="Z84" s="97"/>
    </row>
    <row r="85" spans="1:63" ht="3" customHeight="1" thickBot="1" x14ac:dyDescent="0.3">
      <c r="A85" s="70"/>
      <c r="B85" s="96"/>
      <c r="C85" s="298"/>
      <c r="D85" s="562"/>
      <c r="E85" s="97"/>
      <c r="F85" s="562"/>
      <c r="G85" s="562"/>
      <c r="H85" s="562"/>
      <c r="I85" s="562"/>
      <c r="J85" s="562"/>
      <c r="K85" s="562"/>
      <c r="L85" s="562"/>
      <c r="M85" s="562"/>
      <c r="N85" s="562"/>
      <c r="O85" s="562"/>
      <c r="P85" s="562"/>
      <c r="Q85" s="562"/>
      <c r="R85" s="167"/>
      <c r="S85" s="168"/>
      <c r="T85" s="168"/>
      <c r="U85" s="168">
        <f t="shared" si="7"/>
        <v>0</v>
      </c>
      <c r="V85" s="168"/>
      <c r="W85" s="169"/>
      <c r="X85" s="562"/>
      <c r="Y85" s="562"/>
      <c r="Z85" s="97"/>
      <c r="BJ85"/>
      <c r="BK85" s="544"/>
    </row>
    <row r="86" spans="1:63" ht="15.75" thickBot="1" x14ac:dyDescent="0.3">
      <c r="B86" s="385" t="s">
        <v>320</v>
      </c>
      <c r="C86" s="298"/>
      <c r="D86" s="39"/>
      <c r="E86" s="97"/>
      <c r="F86" s="137">
        <v>0.25</v>
      </c>
      <c r="G86" s="159"/>
      <c r="H86" s="42"/>
      <c r="I86" s="160"/>
      <c r="J86" s="42">
        <v>0.125</v>
      </c>
      <c r="K86" s="160"/>
      <c r="L86" s="42"/>
      <c r="M86" s="160"/>
      <c r="N86" s="42"/>
      <c r="O86" s="161"/>
      <c r="P86" s="42"/>
      <c r="Q86" s="562"/>
      <c r="R86" s="184">
        <f>INT($D86*F86)</f>
        <v>0</v>
      </c>
      <c r="S86" s="185">
        <f>$D86*H86</f>
        <v>0</v>
      </c>
      <c r="T86" s="185">
        <f>INT($D86*J86)</f>
        <v>0</v>
      </c>
      <c r="U86" s="185">
        <f t="shared" si="7"/>
        <v>0</v>
      </c>
      <c r="V86" s="186">
        <f>$D86*N86</f>
        <v>0</v>
      </c>
      <c r="W86" s="190">
        <f>D86*P86</f>
        <v>0</v>
      </c>
      <c r="X86" s="562"/>
      <c r="Y86" s="562"/>
      <c r="Z86" s="97"/>
    </row>
    <row r="87" spans="1:63" ht="3" customHeight="1" thickBot="1" x14ac:dyDescent="0.3">
      <c r="A87" s="70"/>
      <c r="B87" s="567"/>
      <c r="C87" s="71"/>
      <c r="D87" s="71"/>
      <c r="E87" s="71"/>
      <c r="F87" s="71"/>
      <c r="G87" s="71"/>
      <c r="H87" s="71"/>
      <c r="I87" s="71"/>
      <c r="J87" s="71"/>
      <c r="K87" s="71"/>
      <c r="L87" s="71"/>
      <c r="M87" s="71"/>
      <c r="N87" s="71"/>
      <c r="O87" s="71"/>
      <c r="P87" s="71"/>
      <c r="Q87" s="71"/>
      <c r="R87" s="71"/>
      <c r="S87" s="71"/>
      <c r="T87" s="71"/>
      <c r="U87" s="71"/>
      <c r="V87" s="71"/>
      <c r="W87" s="71"/>
      <c r="X87" s="71"/>
      <c r="Y87" s="71"/>
      <c r="Z87" s="568"/>
      <c r="BJ87"/>
      <c r="BK87" s="544"/>
    </row>
    <row r="89" spans="1:63" x14ac:dyDescent="0.25">
      <c r="C89" s="298"/>
      <c r="E89" s="562"/>
      <c r="G89" s="562"/>
      <c r="I89" s="562"/>
      <c r="K89" s="562"/>
      <c r="M89" s="562"/>
      <c r="W89" s="561"/>
    </row>
    <row r="97" spans="2:26" x14ac:dyDescent="0.25">
      <c r="B97"/>
      <c r="C97"/>
      <c r="D97"/>
      <c r="E97"/>
      <c r="F97"/>
      <c r="G97"/>
      <c r="H97"/>
      <c r="I97"/>
      <c r="J97"/>
      <c r="K97"/>
      <c r="L97"/>
      <c r="M97"/>
      <c r="N97"/>
      <c r="O97"/>
      <c r="P97"/>
      <c r="Q97"/>
      <c r="R97"/>
      <c r="S97"/>
      <c r="T97"/>
      <c r="U97"/>
      <c r="V97"/>
      <c r="W97"/>
      <c r="X97"/>
      <c r="Y97"/>
      <c r="Z97"/>
    </row>
  </sheetData>
  <sheetProtection selectLockedCells="1"/>
  <mergeCells count="1">
    <mergeCell ref="B18:D18"/>
  </mergeCells>
  <conditionalFormatting sqref="AK76">
    <cfRule type="cellIs" dxfId="99" priority="33" operator="equal">
      <formula>D22</formula>
    </cfRule>
    <cfRule type="cellIs" dxfId="98" priority="34" operator="notEqual">
      <formula>"D22"</formula>
    </cfRule>
  </conditionalFormatting>
  <conditionalFormatting sqref="AM76">
    <cfRule type="cellIs" dxfId="97" priority="30" operator="notEqual">
      <formula>D24</formula>
    </cfRule>
    <cfRule type="cellIs" priority="31" operator="notEqual">
      <formula>D24</formula>
    </cfRule>
    <cfRule type="cellIs" dxfId="96" priority="32" operator="equal">
      <formula>D24</formula>
    </cfRule>
  </conditionalFormatting>
  <conditionalFormatting sqref="AO76">
    <cfRule type="cellIs" dxfId="95" priority="27" operator="notEqual">
      <formula>D26</formula>
    </cfRule>
    <cfRule type="cellIs" priority="28" operator="notEqual">
      <formula>D26</formula>
    </cfRule>
    <cfRule type="cellIs" dxfId="94" priority="29" operator="equal">
      <formula>D26</formula>
    </cfRule>
  </conditionalFormatting>
  <conditionalFormatting sqref="AQ76">
    <cfRule type="cellIs" dxfId="93" priority="25" operator="notEqual">
      <formula>$D$28+$D$30+$D$32+$D$34</formula>
    </cfRule>
    <cfRule type="cellIs" dxfId="92" priority="26" operator="equal">
      <formula>$D$28+$D$30+$D$32+$D$34</formula>
    </cfRule>
  </conditionalFormatting>
  <conditionalFormatting sqref="AS76">
    <cfRule type="cellIs" dxfId="91" priority="23" operator="notEqual">
      <formula>$D$36+$D$38</formula>
    </cfRule>
    <cfRule type="cellIs" dxfId="90" priority="24" operator="equal">
      <formula>$D$36+$D$38</formula>
    </cfRule>
  </conditionalFormatting>
  <conditionalFormatting sqref="AU76">
    <cfRule type="cellIs" dxfId="89" priority="21" operator="notEqual">
      <formula>$D$40</formula>
    </cfRule>
    <cfRule type="cellIs" dxfId="88" priority="22" operator="equal">
      <formula>$D$40</formula>
    </cfRule>
  </conditionalFormatting>
  <conditionalFormatting sqref="AW76">
    <cfRule type="cellIs" dxfId="87" priority="19" operator="notEqual">
      <formula>$D$44</formula>
    </cfRule>
    <cfRule type="cellIs" dxfId="86" priority="20" operator="equal">
      <formula>$D$44</formula>
    </cfRule>
  </conditionalFormatting>
  <conditionalFormatting sqref="AY76">
    <cfRule type="cellIs" dxfId="85" priority="17" operator="notEqual">
      <formula>$D$46+$D$48+$D$50+$D$52</formula>
    </cfRule>
    <cfRule type="cellIs" dxfId="84" priority="18" operator="equal">
      <formula>$D$46+$D$48+$D$50+$D$52</formula>
    </cfRule>
  </conditionalFormatting>
  <conditionalFormatting sqref="BA76">
    <cfRule type="cellIs" dxfId="83" priority="15" operator="notEqual">
      <formula>$D$54+$D$56+$D$58+$D$60</formula>
    </cfRule>
    <cfRule type="cellIs" dxfId="82" priority="16" operator="equal">
      <formula>$D$54+$D$56+$D$58+$D$60</formula>
    </cfRule>
  </conditionalFormatting>
  <conditionalFormatting sqref="BC76">
    <cfRule type="cellIs" dxfId="81" priority="87" operator="notEqual">
      <formula>$D$62</formula>
    </cfRule>
    <cfRule type="cellIs" dxfId="80" priority="88" operator="equal">
      <formula>$D$62</formula>
    </cfRule>
  </conditionalFormatting>
  <conditionalFormatting sqref="BE76">
    <cfRule type="cellIs" dxfId="79" priority="89" operator="notEqual">
      <formula>$D$64+$D$66+$D$68+$D$70</formula>
    </cfRule>
    <cfRule type="cellIs" dxfId="78" priority="90" operator="equal">
      <formula>$D$64+$D$66+$D$68+$D$70</formula>
    </cfRule>
  </conditionalFormatting>
  <conditionalFormatting sqref="BG76">
    <cfRule type="cellIs" dxfId="77" priority="107" operator="notEqual">
      <formula>$D$72+$D$74</formula>
    </cfRule>
    <cfRule type="cellIs" dxfId="76" priority="108" operator="equal">
      <formula>$D$72+$D$74</formula>
    </cfRule>
  </conditionalFormatting>
  <conditionalFormatting sqref="AG76">
    <cfRule type="cellIs" dxfId="75" priority="1" operator="notEqual">
      <formula>$D$2</formula>
    </cfRule>
    <cfRule type="cellIs" dxfId="74" priority="2" operator="equal">
      <formula>$D$2</formula>
    </cfRule>
  </conditionalFormatting>
  <dataValidations xWindow="298" yWindow="438" count="24">
    <dataValidation allowBlank="1" showInputMessage="1" showErrorMessage="1" promptTitle="River" prompt="A River allows water travel through your kingdom, facilitating trade and allowing irrigation._x000a__x000a_Economy +1 for every 4 River hexes of River, Stability +1 for every 8 such hexes of River." sqref="D86"/>
    <dataValidation allowBlank="1" showInputMessage="1" showErrorMessage="1" promptTitle="Landmark" prompt="A Landmark is a site of great pride, mystery, and wonder. The Landmark bolsters your kingdom's morale._x000a__x000a_Loyalty +1." sqref="D80"/>
    <dataValidation allowBlank="1" showInputMessage="1" showErrorMessage="1" promptTitle="Landmark w/ Road or Highway" prompt="A Landmark is a site of great pride, mystery, and wonder. The Landmark bolsters your kingdom's morale._x000a__x000a_Loyalty +2." sqref="D82"/>
    <dataValidation allowBlank="1" showInputMessage="1" showErrorMessage="1" promptTitle="Resource" prompt="A Resource is a ready supply of some kind of valuable commodity that offers great economic boon to your kingdom, such as exotic lumber, precious metal, gems, rare herbs, incense, silk, ivory, furs, salt, dyes, and the like._x000a__x000a_Economy +1." sqref="D84"/>
    <dataValidation allowBlank="1" showInputMessage="1" showErrorMessage="1" promptTitle="Watchtower" prompt="A Watchtower flies your flag, is a safe place for your patrols, and establishes your power in the frontier._x000a__x000a_Stability +1, Defense +2; Unrest decreases by 1 when completed." sqref="D72 D74"/>
    <dataValidation allowBlank="1" showInputMessage="1" showErrorMessage="1" promptTitle="Lair" prompt="A Lair is usually a cave or defensible shelter that can be used as a defensive fallback point, a storage location, or even a guardpost or prison. If you construct a Fort or Watchtower over a Lair, its Defense increases by 1._x000a__x000a_Stability +1." sqref="D78"/>
    <dataValidation allowBlank="1" showInputMessage="1" showErrorMessage="1" promptTitle="Road" prompt="A Road speeds travel through your kingdom and promotes trade._x000a__x000a_Economy +1 for every 4 hexes of Road, Stability +1 for every 8 hexes of Road; improves overland travel speed." sqref="D62"/>
    <dataValidation allowBlank="1" showInputMessage="1" showErrorMessage="1" promptTitle="Sawmill" prompt="A Sawmill centralizes the activities of loggers and turns trees into lumbers for use in building and crafting._x000a__x000a_Stability +1, earn +1 BP per turn when collecting taxes during the Income phase." sqref="D64"/>
    <dataValidation allowBlank="1" showInputMessage="1" showErrorMessage="1" promptTitle="Sawmill w/ Resource" prompt="A Sawmill centralizes the activities of loggers and turns trees into lumbers for use in building and crafting._x000a__x000a_Stability +2, earn +2 BP per turn when collecting taxes during the Income phase." sqref="D66"/>
    <dataValidation allowBlank="1" showInputMessage="1" showErrorMessage="1" promptTitle="Fort" prompt="A Fort is a walled encampment for military forces outside a settlement._x000a__x000a_Stability +2, Defense +4, increase Consumption by 1 BP; Unrest decreases by 1 when completed." sqref="D40 D42"/>
    <dataValidation allowBlank="1" showInputMessage="1" showErrorMessage="1" promptTitle="Highway" prompt="A Highway is a paved and well-maintained version of a Road. You must have a kingdom of Size 26 or greater to build a Highway._x000a__x000a_Economy +1 for every 4 hexes of Highway, Stability +1 for every 8 hexes of Highway; improves overland travel speed." sqref="D44"/>
    <dataValidation allowBlank="1" showInputMessage="1" showErrorMessage="1" promptTitle="Mine" prompt="A Mine extracts metal, coal, salt, or other useful materials from the earth._x000a__x000a_Economy +1, earn +1 BP per turn when collecting taxes during the Income phase." sqref="D46"/>
    <dataValidation allowBlank="1" showInputMessage="1" showErrorMessage="1" promptTitle="Quarry" prompt="A Quarry extracts workable stone from the ground._x000a__x000a_Stability +1, earn +1 BP per turn whe collecting taxes during the Income phase." sqref="D54"/>
    <dataValidation allowBlank="1" showInputMessage="1" showErrorMessage="1" promptTitle="Aqueduct" prompt="An Aqueduct brings water from alpine lakes and rivers to lowland cities where water is scarce of insufficient for the local populace._x000a__x000a_Loyalty +1, Stability +1, allows settlement to build water-dependent buildings." sqref="D22"/>
    <dataValidation allowBlank="1" showInputMessage="1" showErrorMessage="1" promptTitle="Farm" prompt="A Farm helps feed your kingdom._x000a__x000a_Consumption decreases by 2 BP." sqref="D28"/>
    <dataValidation allowBlank="1" showInputMessage="1" showErrorMessage="1" promptTitle="Fishery" prompt="A Fishery is like a Farm, except it provides abundant fish rather than planted crops._x000a__x000a_Consumption decreases by 1 BP." sqref="D36"/>
    <dataValidation allowBlank="1" showInputMessage="1" showErrorMessage="1" promptTitle="Bridge" prompt="A Bridge allows your Road hexes to cross rivers." sqref="D24"/>
    <dataValidation allowBlank="1" showInputMessage="1" showErrorMessage="1" promptTitle="Canal" prompt="A Canal is an artificial waterway that allows barge traffic to haul heavy commodities._x000a__x000a_Settlements in a hex with a Canal treat the hex as if it had a river." sqref="D26"/>
    <dataValidation allowBlank="1" showInputMessage="1" showErrorMessage="1" promptTitle="Farm w/ Resource" prompt="A Farm helps feed your kingdom._x000a__x000a_Consumption decreases by 3 BP." sqref="D30"/>
    <dataValidation allowBlank="1" showInputMessage="1" showErrorMessage="1" promptTitle="Fishery w/ Resource" prompt="A Fishery is like a Farm, except it provides abundant fish rather than planted crops._x000a__x000a_Consumption decreases by 2 BP." sqref="D38"/>
    <dataValidation allowBlank="1" showInputMessage="1" showErrorMessage="1" promptTitle="Mine w/ Resource" prompt="A Mine extracts metal, coal, salt, or other useful materials from the earth._x000a__x000a_Economy +2, earn +2 BP per turn when collecting taxes during the Income phase." sqref="D48"/>
    <dataValidation allowBlank="1" showInputMessage="1" showErrorMessage="1" promptTitle="Quarry w/ Resource" prompt="A Quarry extracts workable stone from the ground._x000a__x000a_Stability +2, earn +2 BP per turn whe collecting taxes during the Income phase." sqref="D56"/>
    <dataValidation allowBlank="1" showInputMessage="1" showErrorMessage="1" promptTitle="Mine w/ Resource" prompt="A Mine extracts metal, coal, salt, or other useful materials from the earth. This mine has a road or river route to a Foundry._x000a__x000a_Economy +3, earn +3 BP per turn when collecting taxes during the Income phase." sqref="D52"/>
    <dataValidation allowBlank="1" showInputMessage="1" showErrorMessage="1" promptTitle="Mine" prompt="A Mine extracts metal, coal, salt, or other useful materials from the earth. This mine has a road or river route to a Foundry._x000a__x000a_Economy +2, earn +2 BP per turn when collecting taxes during the Income phase." sqref="D50"/>
  </dataValidations>
  <printOptions horizontalCentered="1" verticalCentered="1"/>
  <pageMargins left="0.70866141732283472" right="0.70866141732283472" top="0.74803149606299213" bottom="0.74803149606299213" header="0.31496062992125984" footer="0.31496062992125984"/>
  <pageSetup paperSize="9" orientation="portrait" r:id="rId1"/>
  <headerFooter>
    <oddHeader>&amp;CKingdom Hex Breakdown</oddHeader>
    <oddFooter>&amp;LAdrian&amp;CPage &amp;P&amp;R&amp;D</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FF00"/>
  </sheetPr>
  <dimension ref="A1:Q416"/>
  <sheetViews>
    <sheetView showZeros="0" zoomScaleNormal="100" workbookViewId="0">
      <selection activeCell="B26" sqref="B26:H31"/>
    </sheetView>
  </sheetViews>
  <sheetFormatPr defaultColWidth="9.140625" defaultRowHeight="20.100000000000001" customHeight="1" x14ac:dyDescent="0.25"/>
  <cols>
    <col min="1" max="1" width="0.85546875" style="61" customWidth="1"/>
    <col min="2" max="2" width="16.42578125" style="61" customWidth="1"/>
    <col min="3" max="3" width="0.5703125" style="61" customWidth="1"/>
    <col min="4" max="4" width="9.140625" style="61"/>
    <col min="5" max="5" width="0.5703125" style="61" customWidth="1"/>
    <col min="6" max="6" width="18.28515625" style="61" customWidth="1"/>
    <col min="7" max="7" width="0.85546875" style="61" customWidth="1"/>
    <col min="8" max="8" width="9.140625" style="61"/>
    <col min="9" max="10" width="0.7109375" style="61" customWidth="1"/>
    <col min="11" max="11" width="16.42578125" style="61" customWidth="1"/>
    <col min="12" max="12" width="0.5703125" style="61" customWidth="1"/>
    <col min="13" max="13" width="9.140625" style="61"/>
    <col min="14" max="14" width="0.5703125" style="61" customWidth="1"/>
    <col min="15" max="15" width="18.28515625" style="61" customWidth="1"/>
    <col min="16" max="16" width="0.5703125" style="61" customWidth="1"/>
    <col min="17" max="16384" width="9.140625" style="61"/>
  </cols>
  <sheetData>
    <row r="1" spans="1:17" ht="5.0999999999999996" customHeight="1" thickBot="1" x14ac:dyDescent="0.3">
      <c r="A1" s="141"/>
    </row>
    <row r="2" spans="1:17" ht="20.100000000000001" customHeight="1" thickBot="1" x14ac:dyDescent="0.3">
      <c r="A2" s="96"/>
      <c r="B2" s="303" t="s">
        <v>78</v>
      </c>
      <c r="C2" s="62"/>
      <c r="D2" s="728" t="str">
        <f>IF('City 1'!$D$2&lt;&gt;0,'City 1'!$D$2&amp;" - "&amp;'City 1'!$AA$6," ")</f>
        <v>Оленеград - Village</v>
      </c>
      <c r="E2" s="729"/>
      <c r="F2" s="729"/>
      <c r="G2" s="729"/>
      <c r="H2" s="730"/>
      <c r="K2" s="671" t="s">
        <v>78</v>
      </c>
      <c r="L2" s="62"/>
      <c r="M2" s="728" t="str">
        <f>IF('City 2'!$D$2&lt;&gt;0,'City 2'!$D$2&amp;" - "&amp;'City 2'!$AA$6," ")</f>
        <v xml:space="preserve"> </v>
      </c>
      <c r="N2" s="729"/>
      <c r="O2" s="729"/>
      <c r="P2" s="729"/>
      <c r="Q2" s="730"/>
    </row>
    <row r="3" spans="1:17" s="65" customFormat="1" ht="5.0999999999999996" customHeight="1" thickBot="1" x14ac:dyDescent="0.3">
      <c r="A3" s="146"/>
      <c r="B3" s="62"/>
      <c r="C3" s="62"/>
      <c r="D3" s="63"/>
      <c r="E3" s="298"/>
      <c r="F3" s="62"/>
      <c r="G3" s="62"/>
      <c r="H3" s="298"/>
      <c r="J3" s="61"/>
      <c r="K3" s="62"/>
      <c r="L3" s="62"/>
      <c r="M3" s="63"/>
      <c r="N3" s="298"/>
      <c r="O3" s="62"/>
      <c r="P3" s="62"/>
      <c r="Q3" s="298"/>
    </row>
    <row r="4" spans="1:17" ht="20.100000000000001" customHeight="1" thickBot="1" x14ac:dyDescent="0.3">
      <c r="A4" s="96"/>
      <c r="B4" s="199" t="s">
        <v>49</v>
      </c>
      <c r="C4" s="302"/>
      <c r="D4" s="192" t="str">
        <f>IF('City 1'!$D$6&lt;&gt;0,'City 1'!$D$6," ")</f>
        <v xml:space="preserve"> </v>
      </c>
      <c r="E4" s="161"/>
      <c r="F4" s="199" t="s">
        <v>46</v>
      </c>
      <c r="G4" s="302"/>
      <c r="H4" s="192">
        <f>IF('City 1'!$D$4&lt;&gt;0,'City 1'!$D$4," ")</f>
        <v>5</v>
      </c>
      <c r="K4" s="672" t="s">
        <v>49</v>
      </c>
      <c r="L4" s="669"/>
      <c r="M4" s="192" t="str">
        <f>IF('City 2'!$D$6&lt;&gt;0,'City 2'!$D$6," ")</f>
        <v xml:space="preserve"> </v>
      </c>
      <c r="N4" s="161"/>
      <c r="O4" s="672" t="s">
        <v>46</v>
      </c>
      <c r="P4" s="669"/>
      <c r="Q4" s="192" t="str">
        <f>IF('City 2'!$D$4&lt;&gt;0,'City 2'!$D$4," ")</f>
        <v xml:space="preserve"> </v>
      </c>
    </row>
    <row r="5" spans="1:17" s="65" customFormat="1" ht="5.0999999999999996" customHeight="1" thickBot="1" x14ac:dyDescent="0.3">
      <c r="A5" s="146"/>
      <c r="B5" s="62"/>
      <c r="C5" s="62"/>
      <c r="D5" s="67"/>
      <c r="E5" s="67"/>
      <c r="F5" s="298"/>
      <c r="G5" s="298"/>
      <c r="H5" s="298"/>
      <c r="J5" s="61"/>
      <c r="K5" s="62"/>
      <c r="L5" s="62"/>
      <c r="M5" s="67"/>
      <c r="N5" s="67"/>
      <c r="O5" s="298"/>
      <c r="P5" s="298"/>
      <c r="Q5" s="298"/>
    </row>
    <row r="6" spans="1:17" ht="20.100000000000001" customHeight="1" thickBot="1" x14ac:dyDescent="0.3">
      <c r="A6" s="96"/>
      <c r="B6" s="199" t="s">
        <v>50</v>
      </c>
      <c r="C6" s="302"/>
      <c r="D6" s="192">
        <f>IF('City 1'!$D$8&lt;&gt;0,'City 1'!$D$8," ")</f>
        <v>1</v>
      </c>
      <c r="E6" s="161"/>
      <c r="F6" s="199" t="s">
        <v>85</v>
      </c>
      <c r="G6" s="302"/>
      <c r="H6" s="192">
        <f>IF('City 1'!$U$6&lt;&gt;0,'City 1'!$U$6,0)</f>
        <v>0</v>
      </c>
      <c r="K6" s="672" t="s">
        <v>50</v>
      </c>
      <c r="L6" s="669"/>
      <c r="M6" s="192" t="str">
        <f>IF('City 2'!$D$8&lt;&gt;0,'City 2'!$D$8," ")</f>
        <v xml:space="preserve"> </v>
      </c>
      <c r="N6" s="161"/>
      <c r="O6" s="672" t="s">
        <v>85</v>
      </c>
      <c r="P6" s="669"/>
      <c r="Q6" s="192">
        <f>IF('City 2'!$U$6&lt;&gt;0,'City 2'!$U$6,0)</f>
        <v>0</v>
      </c>
    </row>
    <row r="7" spans="1:17" s="65" customFormat="1" ht="5.0999999999999996" customHeight="1" thickBot="1" x14ac:dyDescent="0.3">
      <c r="A7" s="146"/>
      <c r="B7" s="62"/>
      <c r="C7" s="62"/>
      <c r="D7" s="67"/>
      <c r="E7" s="67"/>
      <c r="F7" s="298"/>
      <c r="G7" s="298"/>
      <c r="H7" s="298"/>
      <c r="J7" s="61"/>
      <c r="K7" s="62"/>
      <c r="L7" s="62"/>
      <c r="M7" s="67"/>
      <c r="N7" s="67"/>
      <c r="O7" s="298"/>
      <c r="P7" s="298"/>
      <c r="Q7" s="298"/>
    </row>
    <row r="8" spans="1:17" ht="20.100000000000001" customHeight="1" thickBot="1" x14ac:dyDescent="0.3">
      <c r="A8" s="96"/>
      <c r="B8" s="199" t="s">
        <v>51</v>
      </c>
      <c r="C8" s="302"/>
      <c r="D8" s="192" t="str">
        <f>IF('City 1'!$D$10&lt;&gt;0,'City 1'!$D$10," ")</f>
        <v xml:space="preserve"> </v>
      </c>
      <c r="E8" s="161"/>
      <c r="F8" s="199" t="s">
        <v>86</v>
      </c>
      <c r="G8" s="302"/>
      <c r="H8" s="192">
        <f>IF('City 1'!$U$2&lt;&gt;0,'City 1'!$U$2," ")</f>
        <v>100</v>
      </c>
      <c r="K8" s="672" t="s">
        <v>51</v>
      </c>
      <c r="L8" s="669"/>
      <c r="M8" s="192" t="str">
        <f>IF('City 2'!$D$10&lt;&gt;0,'City 2'!$D$10," ")</f>
        <v xml:space="preserve"> </v>
      </c>
      <c r="N8" s="161"/>
      <c r="O8" s="672" t="s">
        <v>86</v>
      </c>
      <c r="P8" s="669"/>
      <c r="Q8" s="192" t="str">
        <f>IF('City 2'!$U$2&lt;&gt;0,'City 2'!$U$2," ")</f>
        <v/>
      </c>
    </row>
    <row r="9" spans="1:17" s="65" customFormat="1" ht="5.0999999999999996" customHeight="1" thickBot="1" x14ac:dyDescent="0.3">
      <c r="A9" s="146"/>
      <c r="B9" s="302"/>
      <c r="C9" s="302"/>
      <c r="D9" s="67"/>
      <c r="E9" s="67"/>
      <c r="J9" s="61"/>
      <c r="K9" s="669"/>
      <c r="L9" s="669"/>
      <c r="M9" s="67"/>
      <c r="N9" s="67"/>
    </row>
    <row r="10" spans="1:17" ht="20.100000000000001" customHeight="1" thickBot="1" x14ac:dyDescent="0.3">
      <c r="A10" s="96"/>
      <c r="B10" s="306" t="s">
        <v>640</v>
      </c>
      <c r="D10" s="258">
        <f>'City 1'!$M$4</f>
        <v>-1</v>
      </c>
      <c r="E10" s="161"/>
      <c r="F10" s="306" t="s">
        <v>641</v>
      </c>
      <c r="H10" s="258">
        <f>'City 1'!$M$6</f>
        <v>-1</v>
      </c>
      <c r="K10" s="306" t="s">
        <v>640</v>
      </c>
      <c r="M10" s="258">
        <f>'City 2'!$M$4</f>
        <v>0</v>
      </c>
      <c r="N10" s="161"/>
      <c r="O10" s="306" t="s">
        <v>641</v>
      </c>
      <c r="Q10" s="258">
        <f>'City 2'!$M$6</f>
        <v>0</v>
      </c>
    </row>
    <row r="11" spans="1:17" s="65" customFormat="1" ht="5.0999999999999996" customHeight="1" thickBot="1" x14ac:dyDescent="0.3">
      <c r="A11" s="146"/>
      <c r="B11" s="305"/>
      <c r="C11" s="298"/>
      <c r="D11" s="305"/>
      <c r="E11" s="67"/>
      <c r="F11" s="61"/>
      <c r="G11" s="61"/>
      <c r="H11" s="61"/>
      <c r="J11" s="61"/>
      <c r="K11" s="673"/>
      <c r="L11" s="298"/>
      <c r="M11" s="673"/>
      <c r="N11" s="67"/>
      <c r="O11" s="61"/>
      <c r="P11" s="61"/>
      <c r="Q11" s="61"/>
    </row>
    <row r="12" spans="1:17" ht="20.100000000000001" customHeight="1" thickBot="1" x14ac:dyDescent="0.3">
      <c r="A12" s="96"/>
      <c r="B12" s="306" t="s">
        <v>642</v>
      </c>
      <c r="D12" s="258">
        <f>'City 1'!$U$10</f>
        <v>-1</v>
      </c>
      <c r="F12" s="306" t="s">
        <v>643</v>
      </c>
      <c r="H12" s="258">
        <f>'City 1'!$M$8</f>
        <v>-1</v>
      </c>
      <c r="K12" s="306" t="s">
        <v>642</v>
      </c>
      <c r="M12" s="258">
        <f>'City 2'!$U$10</f>
        <v>0</v>
      </c>
      <c r="O12" s="306" t="s">
        <v>643</v>
      </c>
      <c r="Q12" s="258">
        <f>'City 2'!$M$8</f>
        <v>0</v>
      </c>
    </row>
    <row r="13" spans="1:17" s="65" customFormat="1" ht="5.0999999999999996" customHeight="1" thickBot="1" x14ac:dyDescent="0.3">
      <c r="A13" s="146"/>
      <c r="J13" s="61"/>
    </row>
    <row r="14" spans="1:17" ht="20.100000000000001" customHeight="1" thickBot="1" x14ac:dyDescent="0.3">
      <c r="A14" s="96"/>
      <c r="B14" s="306" t="s">
        <v>644</v>
      </c>
      <c r="D14" s="258">
        <f>'City 1'!$M$10</f>
        <v>0</v>
      </c>
      <c r="F14" s="306" t="s">
        <v>645</v>
      </c>
      <c r="H14" s="258">
        <f>'City 1'!$U$12</f>
        <v>0</v>
      </c>
      <c r="K14" s="306" t="s">
        <v>644</v>
      </c>
      <c r="M14" s="258">
        <f>'City 2'!$M$10</f>
        <v>0</v>
      </c>
      <c r="O14" s="306" t="s">
        <v>645</v>
      </c>
      <c r="Q14" s="258">
        <f>'City 2'!$U$12</f>
        <v>0</v>
      </c>
    </row>
    <row r="15" spans="1:17" ht="5.0999999999999996" customHeight="1" x14ac:dyDescent="0.25">
      <c r="A15" s="96"/>
    </row>
    <row r="16" spans="1:17" ht="20.100000000000001" customHeight="1" x14ac:dyDescent="0.25">
      <c r="A16" s="96"/>
      <c r="B16" s="715" t="s">
        <v>438</v>
      </c>
      <c r="C16" s="715"/>
      <c r="D16" s="731"/>
      <c r="F16" s="715" t="s">
        <v>130</v>
      </c>
      <c r="G16" s="715"/>
      <c r="H16" s="715"/>
      <c r="K16" s="715" t="s">
        <v>438</v>
      </c>
      <c r="L16" s="715"/>
      <c r="M16" s="731"/>
      <c r="O16" s="715" t="s">
        <v>130</v>
      </c>
      <c r="P16" s="715"/>
      <c r="Q16" s="715"/>
    </row>
    <row r="17" spans="1:17" ht="5.0999999999999996" customHeight="1" thickBot="1" x14ac:dyDescent="0.3">
      <c r="A17" s="96"/>
      <c r="B17" s="305"/>
      <c r="C17" s="298"/>
      <c r="D17" s="305"/>
      <c r="F17" s="732"/>
      <c r="G17" s="732"/>
      <c r="H17" s="732"/>
      <c r="K17" s="673"/>
      <c r="L17" s="298"/>
      <c r="M17" s="673"/>
      <c r="O17" s="732"/>
      <c r="P17" s="732"/>
      <c r="Q17" s="732"/>
    </row>
    <row r="18" spans="1:17" ht="20.100000000000001" customHeight="1" thickBot="1" x14ac:dyDescent="0.3">
      <c r="A18" s="96"/>
      <c r="B18" s="304" t="s">
        <v>443</v>
      </c>
      <c r="C18" s="153"/>
      <c r="D18" s="229">
        <f>'City 1'!$D$227</f>
        <v>0</v>
      </c>
      <c r="E18" s="161"/>
      <c r="F18" s="716" t="str">
        <f>'City 1'!$B$184</f>
        <v>Shrine</v>
      </c>
      <c r="G18" s="717"/>
      <c r="H18" s="718"/>
      <c r="K18" s="670" t="s">
        <v>443</v>
      </c>
      <c r="L18" s="153"/>
      <c r="M18" s="551">
        <f>'City 2'!$D$227</f>
        <v>0</v>
      </c>
      <c r="N18" s="161"/>
      <c r="O18" s="716" t="str">
        <f>'City 2'!$B$184</f>
        <v/>
      </c>
      <c r="P18" s="717"/>
      <c r="Q18" s="718"/>
    </row>
    <row r="19" spans="1:17" ht="5.0999999999999996" customHeight="1" thickBot="1" x14ac:dyDescent="0.3">
      <c r="A19" s="96"/>
      <c r="B19" s="153"/>
      <c r="C19" s="153"/>
      <c r="D19" s="230"/>
      <c r="E19" s="63"/>
      <c r="F19" s="733"/>
      <c r="G19" s="733"/>
      <c r="H19" s="733"/>
      <c r="K19" s="153"/>
      <c r="L19" s="153"/>
      <c r="M19" s="230"/>
      <c r="N19" s="63"/>
      <c r="O19" s="733"/>
      <c r="P19" s="733"/>
      <c r="Q19" s="733"/>
    </row>
    <row r="20" spans="1:17" ht="20.100000000000001" customHeight="1" thickBot="1" x14ac:dyDescent="0.3">
      <c r="A20" s="96"/>
      <c r="B20" s="304" t="s">
        <v>175</v>
      </c>
      <c r="C20" s="153"/>
      <c r="D20" s="229">
        <f>'City 1'!$D$228</f>
        <v>0</v>
      </c>
      <c r="E20" s="305"/>
      <c r="F20" s="716" t="str">
        <f>'City 1'!$B$185</f>
        <v/>
      </c>
      <c r="G20" s="717"/>
      <c r="H20" s="718"/>
      <c r="K20" s="670" t="s">
        <v>175</v>
      </c>
      <c r="L20" s="153"/>
      <c r="M20" s="551">
        <f>'City 2'!$D$228</f>
        <v>0</v>
      </c>
      <c r="N20" s="673"/>
      <c r="O20" s="716" t="str">
        <f>'City 2'!$B$185</f>
        <v/>
      </c>
      <c r="P20" s="717"/>
      <c r="Q20" s="718"/>
    </row>
    <row r="21" spans="1:17" ht="5.0999999999999996" customHeight="1" thickBot="1" x14ac:dyDescent="0.3">
      <c r="A21" s="96"/>
      <c r="B21" s="153"/>
      <c r="C21" s="153"/>
      <c r="D21" s="230"/>
      <c r="E21" s="305"/>
      <c r="F21" s="717"/>
      <c r="G21" s="717"/>
      <c r="H21" s="717"/>
      <c r="K21" s="153"/>
      <c r="L21" s="153"/>
      <c r="M21" s="230"/>
      <c r="N21" s="673"/>
      <c r="O21" s="717"/>
      <c r="P21" s="717"/>
      <c r="Q21" s="717"/>
    </row>
    <row r="22" spans="1:17" ht="20.100000000000001" customHeight="1" thickBot="1" x14ac:dyDescent="0.3">
      <c r="A22" s="96"/>
      <c r="B22" s="304" t="s">
        <v>442</v>
      </c>
      <c r="C22" s="153"/>
      <c r="D22" s="229">
        <f>'City 1'!$D$229</f>
        <v>1</v>
      </c>
      <c r="E22" s="305"/>
      <c r="F22" s="716" t="str">
        <f>'City 1'!$B$186</f>
        <v/>
      </c>
      <c r="G22" s="717"/>
      <c r="H22" s="718"/>
      <c r="K22" s="670" t="s">
        <v>442</v>
      </c>
      <c r="L22" s="153"/>
      <c r="M22" s="551">
        <f>'City 2'!$D$229</f>
        <v>0</v>
      </c>
      <c r="N22" s="673"/>
      <c r="O22" s="716" t="str">
        <f>'City 2'!$B$186</f>
        <v/>
      </c>
      <c r="P22" s="717"/>
      <c r="Q22" s="718"/>
    </row>
    <row r="23" spans="1:17" ht="5.0999999999999996" customHeight="1" x14ac:dyDescent="0.25">
      <c r="A23" s="96"/>
      <c r="E23" s="305"/>
      <c r="N23" s="673"/>
    </row>
    <row r="24" spans="1:17" ht="20.100000000000001" customHeight="1" x14ac:dyDescent="0.25">
      <c r="A24" s="96"/>
      <c r="B24" s="299" t="s">
        <v>91</v>
      </c>
      <c r="C24" s="300"/>
      <c r="D24" s="300"/>
      <c r="E24" s="300"/>
      <c r="F24" s="300"/>
      <c r="G24" s="300"/>
      <c r="H24" s="301"/>
      <c r="K24" s="667" t="s">
        <v>91</v>
      </c>
      <c r="L24" s="668"/>
      <c r="M24" s="668"/>
      <c r="N24" s="668"/>
      <c r="O24" s="668"/>
      <c r="P24" s="668"/>
      <c r="Q24" s="301"/>
    </row>
    <row r="25" spans="1:17" ht="5.0999999999999996" customHeight="1" thickBot="1" x14ac:dyDescent="0.3">
      <c r="A25" s="96"/>
      <c r="B25" s="311"/>
      <c r="C25" s="311"/>
      <c r="D25" s="311"/>
      <c r="E25" s="311"/>
      <c r="F25" s="311"/>
      <c r="G25" s="311"/>
      <c r="H25" s="311"/>
      <c r="K25" s="311"/>
      <c r="L25" s="311"/>
      <c r="M25" s="311"/>
      <c r="N25" s="311"/>
      <c r="O25" s="311"/>
      <c r="P25" s="311"/>
      <c r="Q25" s="311"/>
    </row>
    <row r="26" spans="1:17" ht="20.100000000000001" customHeight="1" x14ac:dyDescent="0.25">
      <c r="A26" s="305"/>
      <c r="B26" s="719"/>
      <c r="C26" s="720"/>
      <c r="D26" s="720"/>
      <c r="E26" s="720"/>
      <c r="F26" s="720"/>
      <c r="G26" s="720"/>
      <c r="H26" s="721"/>
      <c r="K26" s="719"/>
      <c r="L26" s="720"/>
      <c r="M26" s="720"/>
      <c r="N26" s="720"/>
      <c r="O26" s="720"/>
      <c r="P26" s="720"/>
      <c r="Q26" s="721"/>
    </row>
    <row r="27" spans="1:17" ht="20.100000000000001" customHeight="1" x14ac:dyDescent="0.25">
      <c r="A27" s="305"/>
      <c r="B27" s="722"/>
      <c r="C27" s="723"/>
      <c r="D27" s="723"/>
      <c r="E27" s="723"/>
      <c r="F27" s="723"/>
      <c r="G27" s="723"/>
      <c r="H27" s="724"/>
      <c r="K27" s="722"/>
      <c r="L27" s="723"/>
      <c r="M27" s="723"/>
      <c r="N27" s="723"/>
      <c r="O27" s="723"/>
      <c r="P27" s="723"/>
      <c r="Q27" s="724"/>
    </row>
    <row r="28" spans="1:17" ht="20.100000000000001" customHeight="1" x14ac:dyDescent="0.25">
      <c r="A28" s="96"/>
      <c r="B28" s="722"/>
      <c r="C28" s="723"/>
      <c r="D28" s="723"/>
      <c r="E28" s="723"/>
      <c r="F28" s="723"/>
      <c r="G28" s="723"/>
      <c r="H28" s="724"/>
      <c r="K28" s="722"/>
      <c r="L28" s="723"/>
      <c r="M28" s="723"/>
      <c r="N28" s="723"/>
      <c r="O28" s="723"/>
      <c r="P28" s="723"/>
      <c r="Q28" s="724"/>
    </row>
    <row r="29" spans="1:17" ht="20.100000000000001" customHeight="1" x14ac:dyDescent="0.25">
      <c r="A29" s="96"/>
      <c r="B29" s="722"/>
      <c r="C29" s="723"/>
      <c r="D29" s="723"/>
      <c r="E29" s="723"/>
      <c r="F29" s="723"/>
      <c r="G29" s="723"/>
      <c r="H29" s="724"/>
      <c r="K29" s="722"/>
      <c r="L29" s="723"/>
      <c r="M29" s="723"/>
      <c r="N29" s="723"/>
      <c r="O29" s="723"/>
      <c r="P29" s="723"/>
      <c r="Q29" s="724"/>
    </row>
    <row r="30" spans="1:17" s="65" customFormat="1" ht="20.100000000000001" customHeight="1" x14ac:dyDescent="0.25">
      <c r="A30" s="146"/>
      <c r="B30" s="722"/>
      <c r="C30" s="723"/>
      <c r="D30" s="723"/>
      <c r="E30" s="723"/>
      <c r="F30" s="723"/>
      <c r="G30" s="723"/>
      <c r="H30" s="724"/>
      <c r="J30" s="61"/>
      <c r="K30" s="722"/>
      <c r="L30" s="723"/>
      <c r="M30" s="723"/>
      <c r="N30" s="723"/>
      <c r="O30" s="723"/>
      <c r="P30" s="723"/>
      <c r="Q30" s="724"/>
    </row>
    <row r="31" spans="1:17" ht="20.100000000000001" customHeight="1" thickBot="1" x14ac:dyDescent="0.3">
      <c r="A31" s="96"/>
      <c r="B31" s="725"/>
      <c r="C31" s="726"/>
      <c r="D31" s="726"/>
      <c r="E31" s="726"/>
      <c r="F31" s="726"/>
      <c r="G31" s="726"/>
      <c r="H31" s="727"/>
      <c r="K31" s="725"/>
      <c r="L31" s="726"/>
      <c r="M31" s="726"/>
      <c r="N31" s="726"/>
      <c r="O31" s="726"/>
      <c r="P31" s="726"/>
      <c r="Q31" s="727"/>
    </row>
    <row r="32" spans="1:17" s="65" customFormat="1" ht="5.0999999999999996" customHeight="1" thickBot="1" x14ac:dyDescent="0.3">
      <c r="A32" s="146"/>
    </row>
    <row r="33" spans="1:17" s="65" customFormat="1" ht="5.0999999999999996" customHeight="1" thickBot="1" x14ac:dyDescent="0.3">
      <c r="A33" s="141"/>
      <c r="B33" s="61"/>
      <c r="C33" s="61"/>
      <c r="D33" s="61"/>
      <c r="E33" s="61"/>
      <c r="F33" s="61"/>
      <c r="G33" s="61"/>
      <c r="H33" s="61"/>
      <c r="I33" s="61"/>
    </row>
    <row r="34" spans="1:17" ht="20.100000000000001" customHeight="1" thickBot="1" x14ac:dyDescent="0.3">
      <c r="A34" s="96"/>
      <c r="B34" s="671" t="s">
        <v>78</v>
      </c>
      <c r="C34" s="62"/>
      <c r="D34" s="728" t="str">
        <f>IF('City 3'!$D$2&lt;&gt;0,'City 3'!$D$2&amp;" - "&amp;'City 3'!$AA$6," ")</f>
        <v xml:space="preserve"> </v>
      </c>
      <c r="E34" s="729"/>
      <c r="F34" s="729"/>
      <c r="G34" s="729"/>
      <c r="H34" s="730"/>
      <c r="K34" s="671" t="s">
        <v>78</v>
      </c>
      <c r="L34" s="62"/>
      <c r="M34" s="728" t="str">
        <f>IF('City 4'!$D$2&lt;&gt;0,'City 4'!$D$2&amp;" - "&amp;'City 4'!$AA$6," ")</f>
        <v xml:space="preserve"> </v>
      </c>
      <c r="N34" s="729"/>
      <c r="O34" s="729"/>
      <c r="P34" s="729"/>
      <c r="Q34" s="730"/>
    </row>
    <row r="35" spans="1:17" s="65" customFormat="1" ht="5.0999999999999996" customHeight="1" thickBot="1" x14ac:dyDescent="0.3">
      <c r="A35" s="146"/>
      <c r="B35" s="62"/>
      <c r="C35" s="62"/>
      <c r="D35" s="63"/>
      <c r="E35" s="298"/>
      <c r="F35" s="62"/>
      <c r="G35" s="62"/>
      <c r="H35" s="298"/>
      <c r="K35" s="62"/>
      <c r="L35" s="62"/>
      <c r="M35" s="63"/>
      <c r="N35" s="298"/>
      <c r="O35" s="62"/>
      <c r="P35" s="62"/>
      <c r="Q35" s="298"/>
    </row>
    <row r="36" spans="1:17" ht="20.100000000000001" customHeight="1" thickBot="1" x14ac:dyDescent="0.3">
      <c r="A36" s="96"/>
      <c r="B36" s="672" t="s">
        <v>49</v>
      </c>
      <c r="C36" s="669"/>
      <c r="D36" s="192" t="str">
        <f>IF('City 3'!$D$6&lt;&gt;0,'City 3'!$D$6," ")</f>
        <v xml:space="preserve"> </v>
      </c>
      <c r="E36" s="161"/>
      <c r="F36" s="672" t="s">
        <v>46</v>
      </c>
      <c r="G36" s="669"/>
      <c r="H36" s="192" t="str">
        <f>IF('City 3'!$D$4&lt;&gt;0,'City 3'!$D$4," ")</f>
        <v xml:space="preserve"> </v>
      </c>
      <c r="K36" s="672" t="s">
        <v>49</v>
      </c>
      <c r="L36" s="669"/>
      <c r="M36" s="192" t="str">
        <f>IF('City 4'!$D$6&lt;&gt;0,'City 4'!$D$6," ")</f>
        <v xml:space="preserve"> </v>
      </c>
      <c r="N36" s="161"/>
      <c r="O36" s="672" t="s">
        <v>46</v>
      </c>
      <c r="P36" s="669"/>
      <c r="Q36" s="192" t="str">
        <f>IF('City 4'!$D$4&lt;&gt;0,'City 4'!$D$4," ")</f>
        <v xml:space="preserve"> </v>
      </c>
    </row>
    <row r="37" spans="1:17" s="65" customFormat="1" ht="5.0999999999999996" customHeight="1" thickBot="1" x14ac:dyDescent="0.3">
      <c r="A37" s="146"/>
      <c r="B37" s="62"/>
      <c r="C37" s="62"/>
      <c r="D37" s="67"/>
      <c r="E37" s="67"/>
      <c r="F37" s="298"/>
      <c r="G37" s="298"/>
      <c r="H37" s="298"/>
      <c r="K37" s="62"/>
      <c r="L37" s="62"/>
      <c r="M37" s="67"/>
      <c r="N37" s="67"/>
      <c r="O37" s="298"/>
      <c r="P37" s="298"/>
      <c r="Q37" s="298"/>
    </row>
    <row r="38" spans="1:17" ht="20.100000000000001" customHeight="1" thickBot="1" x14ac:dyDescent="0.3">
      <c r="A38" s="96"/>
      <c r="B38" s="672" t="s">
        <v>50</v>
      </c>
      <c r="C38" s="669"/>
      <c r="D38" s="192" t="str">
        <f>IF('City 3'!$D$8&lt;&gt;0,'City 3'!$D$8," ")</f>
        <v xml:space="preserve"> </v>
      </c>
      <c r="E38" s="161"/>
      <c r="F38" s="672" t="s">
        <v>85</v>
      </c>
      <c r="G38" s="669"/>
      <c r="H38" s="192">
        <f>IF('City 3'!$U$6&lt;&gt;0,'City 3'!$U$6,0)</f>
        <v>0</v>
      </c>
      <c r="K38" s="672" t="s">
        <v>50</v>
      </c>
      <c r="L38" s="669"/>
      <c r="M38" s="192" t="str">
        <f>IF('City 4'!$D$8&lt;&gt;0,'City 4'!$D$8," ")</f>
        <v xml:space="preserve"> </v>
      </c>
      <c r="N38" s="161"/>
      <c r="O38" s="672" t="s">
        <v>85</v>
      </c>
      <c r="P38" s="669"/>
      <c r="Q38" s="192">
        <f>IF('City 4'!$U$6&lt;&gt;0,'City 4'!$U$6,0)</f>
        <v>0</v>
      </c>
    </row>
    <row r="39" spans="1:17" s="65" customFormat="1" ht="5.0999999999999996" customHeight="1" thickBot="1" x14ac:dyDescent="0.3">
      <c r="A39" s="146"/>
      <c r="B39" s="62"/>
      <c r="C39" s="62"/>
      <c r="D39" s="67"/>
      <c r="E39" s="67"/>
      <c r="F39" s="298"/>
      <c r="G39" s="298"/>
      <c r="H39" s="298"/>
      <c r="K39" s="62"/>
      <c r="L39" s="62"/>
      <c r="M39" s="67"/>
      <c r="N39" s="67"/>
      <c r="O39" s="298"/>
      <c r="P39" s="298"/>
      <c r="Q39" s="298"/>
    </row>
    <row r="40" spans="1:17" ht="20.100000000000001" customHeight="1" thickBot="1" x14ac:dyDescent="0.3">
      <c r="A40" s="96"/>
      <c r="B40" s="672" t="s">
        <v>51</v>
      </c>
      <c r="C40" s="669"/>
      <c r="D40" s="192" t="str">
        <f>IF('City 3'!$D$10&lt;&gt;0,'City 3'!$D$10," ")</f>
        <v xml:space="preserve"> </v>
      </c>
      <c r="E40" s="161"/>
      <c r="F40" s="672" t="s">
        <v>86</v>
      </c>
      <c r="G40" s="669"/>
      <c r="H40" s="192" t="str">
        <f>IF('City 3'!$U$2&lt;&gt;0,'City 3'!$U$2," ")</f>
        <v/>
      </c>
      <c r="K40" s="672" t="s">
        <v>51</v>
      </c>
      <c r="L40" s="669"/>
      <c r="M40" s="192" t="str">
        <f>IF('City 4'!$D$10&lt;&gt;0,'City 4'!$D$10," ")</f>
        <v xml:space="preserve"> </v>
      </c>
      <c r="N40" s="161"/>
      <c r="O40" s="672" t="s">
        <v>86</v>
      </c>
      <c r="P40" s="669"/>
      <c r="Q40" s="192" t="str">
        <f>IF('City 4'!$U$2&lt;&gt;0,'City 4'!$U$2," ")</f>
        <v/>
      </c>
    </row>
    <row r="41" spans="1:17" s="65" customFormat="1" ht="5.0999999999999996" customHeight="1" thickBot="1" x14ac:dyDescent="0.3">
      <c r="A41" s="146"/>
      <c r="B41" s="669"/>
      <c r="C41" s="669"/>
      <c r="D41" s="67"/>
      <c r="E41" s="67"/>
      <c r="K41" s="669"/>
      <c r="L41" s="669"/>
      <c r="M41" s="67"/>
      <c r="N41" s="67"/>
    </row>
    <row r="42" spans="1:17" ht="20.100000000000001" customHeight="1" thickBot="1" x14ac:dyDescent="0.3">
      <c r="A42" s="96"/>
      <c r="B42" s="306" t="s">
        <v>640</v>
      </c>
      <c r="D42" s="258">
        <f>'City 3'!$M$4</f>
        <v>0</v>
      </c>
      <c r="E42" s="161"/>
      <c r="F42" s="306" t="s">
        <v>641</v>
      </c>
      <c r="H42" s="258">
        <f>'City 3'!$M$6</f>
        <v>0</v>
      </c>
      <c r="K42" s="306" t="s">
        <v>640</v>
      </c>
      <c r="M42" s="258">
        <f>'City 4'!$M$4</f>
        <v>0</v>
      </c>
      <c r="N42" s="161"/>
      <c r="O42" s="306" t="s">
        <v>641</v>
      </c>
      <c r="Q42" s="258">
        <f>'City 4'!$M$6</f>
        <v>0</v>
      </c>
    </row>
    <row r="43" spans="1:17" ht="5.0999999999999996" customHeight="1" thickBot="1" x14ac:dyDescent="0.3">
      <c r="A43" s="146"/>
      <c r="B43" s="673"/>
      <c r="C43" s="298"/>
      <c r="D43" s="673"/>
      <c r="E43" s="67"/>
      <c r="I43" s="65"/>
      <c r="K43" s="673"/>
      <c r="L43" s="298"/>
      <c r="M43" s="673"/>
      <c r="N43" s="67"/>
    </row>
    <row r="44" spans="1:17" ht="20.100000000000001" customHeight="1" thickBot="1" x14ac:dyDescent="0.3">
      <c r="A44" s="96"/>
      <c r="B44" s="306" t="s">
        <v>642</v>
      </c>
      <c r="D44" s="258">
        <f>'City 3'!$U$10</f>
        <v>0</v>
      </c>
      <c r="F44" s="306" t="s">
        <v>643</v>
      </c>
      <c r="H44" s="258">
        <f>'City 3'!$M$8</f>
        <v>0</v>
      </c>
      <c r="K44" s="306" t="s">
        <v>642</v>
      </c>
      <c r="M44" s="258">
        <f>'City 4'!$U$10</f>
        <v>0</v>
      </c>
      <c r="O44" s="306" t="s">
        <v>643</v>
      </c>
      <c r="Q44" s="258">
        <f>'City 4'!$M$8</f>
        <v>0</v>
      </c>
    </row>
    <row r="45" spans="1:17" ht="5.0999999999999996" customHeight="1" thickBot="1" x14ac:dyDescent="0.3">
      <c r="A45" s="146"/>
      <c r="B45" s="65"/>
      <c r="C45" s="65"/>
      <c r="D45" s="65"/>
      <c r="E45" s="65"/>
      <c r="F45" s="65"/>
      <c r="G45" s="65"/>
      <c r="H45" s="65"/>
      <c r="I45" s="65"/>
      <c r="K45" s="65"/>
      <c r="L45" s="65"/>
      <c r="M45" s="65"/>
      <c r="N45" s="65"/>
      <c r="O45" s="65"/>
      <c r="P45" s="65"/>
      <c r="Q45" s="65"/>
    </row>
    <row r="46" spans="1:17" ht="20.100000000000001" customHeight="1" thickBot="1" x14ac:dyDescent="0.3">
      <c r="A46" s="96"/>
      <c r="B46" s="306" t="s">
        <v>644</v>
      </c>
      <c r="D46" s="258">
        <f>'City 3'!$M$10</f>
        <v>0</v>
      </c>
      <c r="F46" s="306" t="s">
        <v>645</v>
      </c>
      <c r="H46" s="258">
        <f>'City 3'!$U$12</f>
        <v>0</v>
      </c>
      <c r="K46" s="306" t="s">
        <v>644</v>
      </c>
      <c r="M46" s="258">
        <f>'City 4'!$M$10</f>
        <v>0</v>
      </c>
      <c r="O46" s="306" t="s">
        <v>645</v>
      </c>
      <c r="Q46" s="258">
        <f>'City 4'!$U$12</f>
        <v>0</v>
      </c>
    </row>
    <row r="47" spans="1:17" ht="5.0999999999999996" customHeight="1" x14ac:dyDescent="0.25">
      <c r="A47" s="96"/>
    </row>
    <row r="48" spans="1:17" ht="20.100000000000001" customHeight="1" x14ac:dyDescent="0.25">
      <c r="A48" s="96"/>
      <c r="B48" s="715" t="s">
        <v>438</v>
      </c>
      <c r="C48" s="715"/>
      <c r="D48" s="731"/>
      <c r="F48" s="715" t="s">
        <v>130</v>
      </c>
      <c r="G48" s="715"/>
      <c r="H48" s="715"/>
      <c r="K48" s="715" t="s">
        <v>438</v>
      </c>
      <c r="L48" s="715"/>
      <c r="M48" s="731"/>
      <c r="O48" s="715" t="s">
        <v>130</v>
      </c>
      <c r="P48" s="715"/>
      <c r="Q48" s="715"/>
    </row>
    <row r="49" spans="1:17" ht="5.0999999999999996" customHeight="1" thickBot="1" x14ac:dyDescent="0.3">
      <c r="A49" s="96"/>
      <c r="B49" s="673"/>
      <c r="C49" s="298"/>
      <c r="D49" s="673"/>
      <c r="F49" s="732"/>
      <c r="G49" s="732"/>
      <c r="H49" s="732"/>
      <c r="K49" s="673"/>
      <c r="L49" s="298"/>
      <c r="M49" s="673"/>
      <c r="O49" s="732"/>
      <c r="P49" s="732"/>
      <c r="Q49" s="732"/>
    </row>
    <row r="50" spans="1:17" ht="20.100000000000001" customHeight="1" thickBot="1" x14ac:dyDescent="0.3">
      <c r="A50" s="96"/>
      <c r="B50" s="670" t="s">
        <v>443</v>
      </c>
      <c r="C50" s="153"/>
      <c r="D50" s="551">
        <f>'City 3'!$D$227</f>
        <v>0</v>
      </c>
      <c r="E50" s="161"/>
      <c r="F50" s="716" t="str">
        <f>'City 3'!$B$184</f>
        <v/>
      </c>
      <c r="G50" s="717"/>
      <c r="H50" s="718"/>
      <c r="K50" s="670" t="s">
        <v>443</v>
      </c>
      <c r="L50" s="153"/>
      <c r="M50" s="551">
        <f>'City 4'!$D$227</f>
        <v>0</v>
      </c>
      <c r="N50" s="161"/>
      <c r="O50" s="716" t="str">
        <f>'City 4'!$B$184</f>
        <v/>
      </c>
      <c r="P50" s="717"/>
      <c r="Q50" s="718"/>
    </row>
    <row r="51" spans="1:17" ht="5.0999999999999996" customHeight="1" thickBot="1" x14ac:dyDescent="0.3">
      <c r="A51" s="96"/>
      <c r="B51" s="153"/>
      <c r="C51" s="153"/>
      <c r="D51" s="230"/>
      <c r="E51" s="63"/>
      <c r="F51" s="733"/>
      <c r="G51" s="733"/>
      <c r="H51" s="733"/>
      <c r="K51" s="153"/>
      <c r="L51" s="153"/>
      <c r="M51" s="230"/>
      <c r="N51" s="63"/>
      <c r="O51" s="733"/>
      <c r="P51" s="733"/>
      <c r="Q51" s="733"/>
    </row>
    <row r="52" spans="1:17" ht="20.100000000000001" customHeight="1" thickBot="1" x14ac:dyDescent="0.3">
      <c r="A52" s="96"/>
      <c r="B52" s="670" t="s">
        <v>175</v>
      </c>
      <c r="C52" s="153"/>
      <c r="D52" s="551">
        <f>'City 3'!$D$228</f>
        <v>0</v>
      </c>
      <c r="E52" s="673"/>
      <c r="F52" s="716" t="str">
        <f>'City 3'!$B$185</f>
        <v/>
      </c>
      <c r="G52" s="717"/>
      <c r="H52" s="718"/>
      <c r="K52" s="670" t="s">
        <v>175</v>
      </c>
      <c r="L52" s="153"/>
      <c r="M52" s="551">
        <f>'City 4'!$D$228</f>
        <v>0</v>
      </c>
      <c r="N52" s="673"/>
      <c r="O52" s="716" t="str">
        <f>'City 4'!$B$185</f>
        <v/>
      </c>
      <c r="P52" s="717"/>
      <c r="Q52" s="718"/>
    </row>
    <row r="53" spans="1:17" ht="5.0999999999999996" customHeight="1" thickBot="1" x14ac:dyDescent="0.3">
      <c r="A53" s="96"/>
      <c r="B53" s="153"/>
      <c r="C53" s="153"/>
      <c r="D53" s="230"/>
      <c r="E53" s="673"/>
      <c r="F53" s="717"/>
      <c r="G53" s="717"/>
      <c r="H53" s="717"/>
      <c r="K53" s="153"/>
      <c r="L53" s="153"/>
      <c r="M53" s="230"/>
      <c r="N53" s="673"/>
      <c r="O53" s="717"/>
      <c r="P53" s="717"/>
      <c r="Q53" s="717"/>
    </row>
    <row r="54" spans="1:17" ht="20.100000000000001" customHeight="1" thickBot="1" x14ac:dyDescent="0.3">
      <c r="A54" s="96"/>
      <c r="B54" s="670" t="s">
        <v>442</v>
      </c>
      <c r="C54" s="153"/>
      <c r="D54" s="551">
        <f>'City 3'!$D$229</f>
        <v>0</v>
      </c>
      <c r="E54" s="673"/>
      <c r="F54" s="716" t="str">
        <f>'City 3'!$B$186</f>
        <v/>
      </c>
      <c r="G54" s="717"/>
      <c r="H54" s="718"/>
      <c r="K54" s="670" t="s">
        <v>442</v>
      </c>
      <c r="L54" s="153"/>
      <c r="M54" s="551">
        <f>'City 4'!$D$229</f>
        <v>0</v>
      </c>
      <c r="N54" s="673"/>
      <c r="O54" s="716" t="str">
        <f>'City 4'!$B$186</f>
        <v/>
      </c>
      <c r="P54" s="717"/>
      <c r="Q54" s="718"/>
    </row>
    <row r="55" spans="1:17" ht="5.0999999999999996" customHeight="1" x14ac:dyDescent="0.25">
      <c r="A55" s="96"/>
      <c r="E55" s="673"/>
      <c r="N55" s="673"/>
    </row>
    <row r="56" spans="1:17" ht="20.100000000000001" customHeight="1" x14ac:dyDescent="0.25">
      <c r="A56" s="96"/>
      <c r="B56" s="667" t="s">
        <v>91</v>
      </c>
      <c r="C56" s="668"/>
      <c r="D56" s="668"/>
      <c r="E56" s="668"/>
      <c r="F56" s="668"/>
      <c r="G56" s="668"/>
      <c r="H56" s="301"/>
      <c r="K56" s="667" t="s">
        <v>91</v>
      </c>
      <c r="L56" s="668"/>
      <c r="M56" s="668"/>
      <c r="N56" s="668"/>
      <c r="O56" s="668"/>
      <c r="P56" s="668"/>
      <c r="Q56" s="301"/>
    </row>
    <row r="57" spans="1:17" ht="5.0999999999999996" customHeight="1" thickBot="1" x14ac:dyDescent="0.3">
      <c r="A57" s="96"/>
      <c r="B57" s="311"/>
      <c r="C57" s="311"/>
      <c r="D57" s="311"/>
      <c r="E57" s="311"/>
      <c r="F57" s="311"/>
      <c r="G57" s="311"/>
      <c r="H57" s="311"/>
      <c r="K57" s="311"/>
      <c r="L57" s="311"/>
      <c r="M57" s="311"/>
      <c r="N57" s="311"/>
      <c r="O57" s="311"/>
      <c r="P57" s="311"/>
      <c r="Q57" s="311"/>
    </row>
    <row r="58" spans="1:17" ht="20.100000000000001" customHeight="1" x14ac:dyDescent="0.25">
      <c r="A58" s="305"/>
      <c r="B58" s="719"/>
      <c r="C58" s="720"/>
      <c r="D58" s="720"/>
      <c r="E58" s="720"/>
      <c r="F58" s="720"/>
      <c r="G58" s="720"/>
      <c r="H58" s="721"/>
      <c r="K58" s="719"/>
      <c r="L58" s="720"/>
      <c r="M58" s="720"/>
      <c r="N58" s="720"/>
      <c r="O58" s="720"/>
      <c r="P58" s="720"/>
      <c r="Q58" s="721"/>
    </row>
    <row r="59" spans="1:17" s="65" customFormat="1" ht="20.100000000000001" customHeight="1" x14ac:dyDescent="0.25">
      <c r="A59" s="305"/>
      <c r="B59" s="722"/>
      <c r="C59" s="723"/>
      <c r="D59" s="723"/>
      <c r="E59" s="723"/>
      <c r="F59" s="723"/>
      <c r="G59" s="723"/>
      <c r="H59" s="724"/>
      <c r="I59" s="61"/>
      <c r="K59" s="722"/>
      <c r="L59" s="723"/>
      <c r="M59" s="723"/>
      <c r="N59" s="723"/>
      <c r="O59" s="723"/>
      <c r="P59" s="723"/>
      <c r="Q59" s="724"/>
    </row>
    <row r="60" spans="1:17" ht="20.100000000000001" customHeight="1" x14ac:dyDescent="0.25">
      <c r="A60" s="96"/>
      <c r="B60" s="722"/>
      <c r="C60" s="723"/>
      <c r="D60" s="723"/>
      <c r="E60" s="723"/>
      <c r="F60" s="723"/>
      <c r="G60" s="723"/>
      <c r="H60" s="724"/>
      <c r="K60" s="722"/>
      <c r="L60" s="723"/>
      <c r="M60" s="723"/>
      <c r="N60" s="723"/>
      <c r="O60" s="723"/>
      <c r="P60" s="723"/>
      <c r="Q60" s="724"/>
    </row>
    <row r="61" spans="1:17" s="65" customFormat="1" ht="20.100000000000001" customHeight="1" x14ac:dyDescent="0.25">
      <c r="A61" s="96"/>
      <c r="B61" s="722"/>
      <c r="C61" s="723"/>
      <c r="D61" s="723"/>
      <c r="E61" s="723"/>
      <c r="F61" s="723"/>
      <c r="G61" s="723"/>
      <c r="H61" s="724"/>
      <c r="I61" s="61"/>
      <c r="K61" s="722"/>
      <c r="L61" s="723"/>
      <c r="M61" s="723"/>
      <c r="N61" s="723"/>
      <c r="O61" s="723"/>
      <c r="P61" s="723"/>
      <c r="Q61" s="724"/>
    </row>
    <row r="62" spans="1:17" ht="20.100000000000001" customHeight="1" x14ac:dyDescent="0.25">
      <c r="A62" s="146"/>
      <c r="B62" s="722"/>
      <c r="C62" s="723"/>
      <c r="D62" s="723"/>
      <c r="E62" s="723"/>
      <c r="F62" s="723"/>
      <c r="G62" s="723"/>
      <c r="H62" s="724"/>
      <c r="I62" s="65"/>
      <c r="K62" s="722"/>
      <c r="L62" s="723"/>
      <c r="M62" s="723"/>
      <c r="N62" s="723"/>
      <c r="O62" s="723"/>
      <c r="P62" s="723"/>
      <c r="Q62" s="724"/>
    </row>
    <row r="63" spans="1:17" s="65" customFormat="1" ht="20.100000000000001" customHeight="1" thickBot="1" x14ac:dyDescent="0.3">
      <c r="A63" s="96"/>
      <c r="B63" s="725"/>
      <c r="C63" s="726"/>
      <c r="D63" s="726"/>
      <c r="E63" s="726"/>
      <c r="F63" s="726"/>
      <c r="G63" s="726"/>
      <c r="H63" s="727"/>
      <c r="I63" s="61"/>
      <c r="K63" s="725"/>
      <c r="L63" s="726"/>
      <c r="M63" s="726"/>
      <c r="N63" s="726"/>
      <c r="O63" s="726"/>
      <c r="P63" s="726"/>
      <c r="Q63" s="727"/>
    </row>
    <row r="64" spans="1:17" ht="5.0999999999999996" customHeight="1" thickBot="1" x14ac:dyDescent="0.3">
      <c r="A64" s="146"/>
      <c r="B64" s="65"/>
      <c r="C64" s="65"/>
      <c r="D64" s="65"/>
      <c r="E64" s="65"/>
      <c r="F64" s="65"/>
      <c r="G64" s="65"/>
      <c r="H64" s="65"/>
      <c r="I64" s="65"/>
    </row>
    <row r="65" spans="1:17" s="65" customFormat="1" ht="5.0999999999999996" customHeight="1" thickBot="1" x14ac:dyDescent="0.3">
      <c r="A65" s="141"/>
      <c r="B65" s="61"/>
      <c r="C65" s="61"/>
      <c r="D65" s="61"/>
      <c r="E65" s="61"/>
      <c r="F65" s="61"/>
      <c r="G65" s="61"/>
      <c r="H65" s="61"/>
      <c r="I65" s="61"/>
    </row>
    <row r="66" spans="1:17" ht="20.100000000000001" customHeight="1" thickBot="1" x14ac:dyDescent="0.3">
      <c r="A66" s="96"/>
      <c r="B66" s="671" t="s">
        <v>78</v>
      </c>
      <c r="C66" s="62"/>
      <c r="D66" s="728" t="str">
        <f>IF('City 5'!$D$2&lt;&gt;0,'City 5'!$D$2&amp;" - "&amp;'City 5'!$AA$6," ")</f>
        <v xml:space="preserve"> </v>
      </c>
      <c r="E66" s="729"/>
      <c r="F66" s="729"/>
      <c r="G66" s="729"/>
      <c r="H66" s="730"/>
      <c r="K66" s="671" t="s">
        <v>78</v>
      </c>
      <c r="L66" s="62"/>
      <c r="M66" s="728" t="str">
        <f>IF('City 6'!$D$2&lt;&gt;0,'City 6'!$D$2&amp;" - "&amp;'City 6'!$AA$6," ")</f>
        <v xml:space="preserve"> </v>
      </c>
      <c r="N66" s="729"/>
      <c r="O66" s="729"/>
      <c r="P66" s="729"/>
      <c r="Q66" s="730"/>
    </row>
    <row r="67" spans="1:17" s="65" customFormat="1" ht="5.0999999999999996" customHeight="1" thickBot="1" x14ac:dyDescent="0.3">
      <c r="A67" s="146"/>
      <c r="B67" s="62"/>
      <c r="C67" s="62"/>
      <c r="D67" s="63"/>
      <c r="E67" s="298"/>
      <c r="F67" s="62"/>
      <c r="G67" s="62"/>
      <c r="H67" s="298"/>
      <c r="K67" s="62"/>
      <c r="L67" s="62"/>
      <c r="M67" s="63"/>
      <c r="N67" s="298"/>
      <c r="O67" s="62"/>
      <c r="P67" s="62"/>
      <c r="Q67" s="298"/>
    </row>
    <row r="68" spans="1:17" ht="20.100000000000001" customHeight="1" thickBot="1" x14ac:dyDescent="0.3">
      <c r="A68" s="96"/>
      <c r="B68" s="672" t="s">
        <v>49</v>
      </c>
      <c r="C68" s="669"/>
      <c r="D68" s="192" t="str">
        <f>IF('City 5'!$D$6&lt;&gt;0,'City 5'!$D$6," ")</f>
        <v xml:space="preserve"> </v>
      </c>
      <c r="E68" s="161"/>
      <c r="F68" s="672" t="s">
        <v>46</v>
      </c>
      <c r="G68" s="669"/>
      <c r="H68" s="192" t="str">
        <f>IF('City 5'!$D$4&lt;&gt;0,'City 5'!$D$4," ")</f>
        <v xml:space="preserve"> </v>
      </c>
      <c r="K68" s="672" t="s">
        <v>49</v>
      </c>
      <c r="L68" s="669"/>
      <c r="M68" s="192" t="str">
        <f>IF('City 6'!$D$6&lt;&gt;0,'City 6'!$D$6," ")</f>
        <v xml:space="preserve"> </v>
      </c>
      <c r="N68" s="161"/>
      <c r="O68" s="672" t="s">
        <v>46</v>
      </c>
      <c r="P68" s="669"/>
      <c r="Q68" s="192" t="str">
        <f>IF('City 6'!$D$4&lt;&gt;0,'City 6'!$D$4," ")</f>
        <v xml:space="preserve"> </v>
      </c>
    </row>
    <row r="69" spans="1:17" s="65" customFormat="1" ht="5.0999999999999996" customHeight="1" thickBot="1" x14ac:dyDescent="0.3">
      <c r="A69" s="146"/>
      <c r="B69" s="62"/>
      <c r="C69" s="62"/>
      <c r="D69" s="67"/>
      <c r="E69" s="67"/>
      <c r="F69" s="298"/>
      <c r="G69" s="298"/>
      <c r="H69" s="298"/>
      <c r="K69" s="62"/>
      <c r="L69" s="62"/>
      <c r="M69" s="67"/>
      <c r="N69" s="67"/>
      <c r="O69" s="298"/>
      <c r="P69" s="298"/>
      <c r="Q69" s="298"/>
    </row>
    <row r="70" spans="1:17" ht="20.100000000000001" customHeight="1" thickBot="1" x14ac:dyDescent="0.3">
      <c r="A70" s="96"/>
      <c r="B70" s="672" t="s">
        <v>50</v>
      </c>
      <c r="C70" s="669"/>
      <c r="D70" s="192" t="str">
        <f>IF('City 5'!$D$8&lt;&gt;0,'City 5'!$D$8," ")</f>
        <v xml:space="preserve"> </v>
      </c>
      <c r="E70" s="161"/>
      <c r="F70" s="672" t="s">
        <v>85</v>
      </c>
      <c r="G70" s="669"/>
      <c r="H70" s="192">
        <f>IF('City 5'!$U$6&lt;&gt;0,'City 5'!$U$6,0)</f>
        <v>0</v>
      </c>
      <c r="K70" s="672" t="s">
        <v>50</v>
      </c>
      <c r="L70" s="669"/>
      <c r="M70" s="192" t="str">
        <f>IF('City 6'!$D$8&lt;&gt;0,'City 6'!$D$8," ")</f>
        <v xml:space="preserve"> </v>
      </c>
      <c r="N70" s="161"/>
      <c r="O70" s="672" t="s">
        <v>85</v>
      </c>
      <c r="P70" s="669"/>
      <c r="Q70" s="192">
        <f>IF('City 6'!$U$6&lt;&gt;0,'City 6'!$U$6,0)</f>
        <v>0</v>
      </c>
    </row>
    <row r="71" spans="1:17" ht="5.0999999999999996" customHeight="1" thickBot="1" x14ac:dyDescent="0.3">
      <c r="A71" s="146"/>
      <c r="B71" s="62"/>
      <c r="C71" s="62"/>
      <c r="D71" s="67"/>
      <c r="E71" s="67"/>
      <c r="F71" s="298"/>
      <c r="G71" s="298"/>
      <c r="H71" s="298"/>
      <c r="I71" s="65"/>
      <c r="K71" s="62"/>
      <c r="L71" s="62"/>
      <c r="M71" s="67"/>
      <c r="N71" s="67"/>
      <c r="O71" s="298"/>
      <c r="P71" s="298"/>
      <c r="Q71" s="298"/>
    </row>
    <row r="72" spans="1:17" ht="20.100000000000001" customHeight="1" thickBot="1" x14ac:dyDescent="0.3">
      <c r="A72" s="96"/>
      <c r="B72" s="672" t="s">
        <v>51</v>
      </c>
      <c r="C72" s="669"/>
      <c r="D72" s="192" t="str">
        <f>IF('City 5'!$D$10&lt;&gt;0,'City 5'!$D$10," ")</f>
        <v xml:space="preserve"> </v>
      </c>
      <c r="E72" s="161"/>
      <c r="F72" s="672" t="s">
        <v>86</v>
      </c>
      <c r="G72" s="669"/>
      <c r="H72" s="192" t="str">
        <f>IF('City 5'!$U$2&lt;&gt;0,'City 5'!$U$2," ")</f>
        <v/>
      </c>
      <c r="K72" s="672" t="s">
        <v>51</v>
      </c>
      <c r="L72" s="669"/>
      <c r="M72" s="192" t="str">
        <f>IF('City 6'!$D$10&lt;&gt;0,'City 6'!$D$10," ")</f>
        <v xml:space="preserve"> </v>
      </c>
      <c r="N72" s="161"/>
      <c r="O72" s="672" t="s">
        <v>86</v>
      </c>
      <c r="P72" s="669"/>
      <c r="Q72" s="192" t="str">
        <f>IF('City 6'!$U$2&lt;&gt;0,'City 6'!$U$2," ")</f>
        <v/>
      </c>
    </row>
    <row r="73" spans="1:17" ht="5.0999999999999996" customHeight="1" thickBot="1" x14ac:dyDescent="0.3">
      <c r="A73" s="146"/>
      <c r="B73" s="669"/>
      <c r="C73" s="669"/>
      <c r="D73" s="67"/>
      <c r="E73" s="67"/>
      <c r="F73" s="65"/>
      <c r="G73" s="65"/>
      <c r="H73" s="65"/>
      <c r="I73" s="65"/>
      <c r="K73" s="669"/>
      <c r="L73" s="669"/>
      <c r="M73" s="67"/>
      <c r="N73" s="67"/>
      <c r="O73" s="65"/>
      <c r="P73" s="65"/>
      <c r="Q73" s="65"/>
    </row>
    <row r="74" spans="1:17" ht="20.100000000000001" customHeight="1" thickBot="1" x14ac:dyDescent="0.3">
      <c r="A74" s="96"/>
      <c r="B74" s="306" t="s">
        <v>640</v>
      </c>
      <c r="D74" s="258">
        <f>'City 5'!$M$4</f>
        <v>0</v>
      </c>
      <c r="E74" s="161"/>
      <c r="F74" s="306" t="s">
        <v>641</v>
      </c>
      <c r="H74" s="258">
        <f>'City 5'!$M$6</f>
        <v>0</v>
      </c>
      <c r="K74" s="306" t="s">
        <v>640</v>
      </c>
      <c r="M74" s="258">
        <f>'City 6'!$M$4</f>
        <v>0</v>
      </c>
      <c r="N74" s="161"/>
      <c r="O74" s="306" t="s">
        <v>641</v>
      </c>
      <c r="Q74" s="258">
        <f>'City 6'!$M$6</f>
        <v>0</v>
      </c>
    </row>
    <row r="75" spans="1:17" ht="5.0999999999999996" customHeight="1" thickBot="1" x14ac:dyDescent="0.3">
      <c r="A75" s="146"/>
      <c r="B75" s="673"/>
      <c r="C75" s="298"/>
      <c r="D75" s="673"/>
      <c r="E75" s="67"/>
      <c r="I75" s="65"/>
      <c r="K75" s="673"/>
      <c r="L75" s="298"/>
      <c r="M75" s="673"/>
      <c r="N75" s="67"/>
    </row>
    <row r="76" spans="1:17" ht="20.100000000000001" customHeight="1" thickBot="1" x14ac:dyDescent="0.3">
      <c r="A76" s="96"/>
      <c r="B76" s="306" t="s">
        <v>642</v>
      </c>
      <c r="D76" s="258">
        <f>'City 5'!$U$10</f>
        <v>0</v>
      </c>
      <c r="F76" s="306" t="s">
        <v>643</v>
      </c>
      <c r="H76" s="258">
        <f>'City 5'!$M$8</f>
        <v>0</v>
      </c>
      <c r="K76" s="306" t="s">
        <v>642</v>
      </c>
      <c r="M76" s="258">
        <f>'City 6'!$U$10</f>
        <v>0</v>
      </c>
      <c r="O76" s="306" t="s">
        <v>643</v>
      </c>
      <c r="Q76" s="258">
        <f>'City 6'!$M$8</f>
        <v>0</v>
      </c>
    </row>
    <row r="77" spans="1:17" ht="5.0999999999999996" customHeight="1" thickBot="1" x14ac:dyDescent="0.3">
      <c r="A77" s="146"/>
      <c r="B77" s="65"/>
      <c r="C77" s="65"/>
      <c r="D77" s="65"/>
      <c r="E77" s="65"/>
      <c r="F77" s="65"/>
      <c r="G77" s="65"/>
      <c r="H77" s="65"/>
      <c r="I77" s="65"/>
      <c r="K77" s="65"/>
      <c r="L77" s="65"/>
      <c r="M77" s="65"/>
      <c r="N77" s="65"/>
      <c r="O77" s="65"/>
      <c r="P77" s="65"/>
      <c r="Q77" s="65"/>
    </row>
    <row r="78" spans="1:17" ht="20.100000000000001" customHeight="1" thickBot="1" x14ac:dyDescent="0.3">
      <c r="A78" s="96"/>
      <c r="B78" s="306" t="s">
        <v>644</v>
      </c>
      <c r="D78" s="258">
        <f>'City 5'!$M$10</f>
        <v>0</v>
      </c>
      <c r="F78" s="306" t="s">
        <v>645</v>
      </c>
      <c r="H78" s="258">
        <f>'City 5'!$U$12</f>
        <v>0</v>
      </c>
      <c r="K78" s="306" t="s">
        <v>644</v>
      </c>
      <c r="M78" s="258">
        <f>'City 6'!$M$10</f>
        <v>0</v>
      </c>
      <c r="O78" s="306" t="s">
        <v>645</v>
      </c>
      <c r="Q78" s="258">
        <f>'City 6'!$U$12</f>
        <v>0</v>
      </c>
    </row>
    <row r="79" spans="1:17" ht="5.0999999999999996" customHeight="1" x14ac:dyDescent="0.25">
      <c r="A79" s="96"/>
    </row>
    <row r="80" spans="1:17" ht="20.100000000000001" customHeight="1" x14ac:dyDescent="0.25">
      <c r="A80" s="96"/>
      <c r="B80" s="715" t="s">
        <v>438</v>
      </c>
      <c r="C80" s="715"/>
      <c r="D80" s="731"/>
      <c r="F80" s="715" t="s">
        <v>130</v>
      </c>
      <c r="G80" s="715"/>
      <c r="H80" s="715"/>
      <c r="K80" s="715" t="s">
        <v>438</v>
      </c>
      <c r="L80" s="715"/>
      <c r="M80" s="731"/>
      <c r="O80" s="715" t="s">
        <v>130</v>
      </c>
      <c r="P80" s="715"/>
      <c r="Q80" s="715"/>
    </row>
    <row r="81" spans="1:17" ht="5.0999999999999996" customHeight="1" thickBot="1" x14ac:dyDescent="0.3">
      <c r="A81" s="96"/>
      <c r="B81" s="673"/>
      <c r="C81" s="298"/>
      <c r="D81" s="673"/>
      <c r="F81" s="732"/>
      <c r="G81" s="732"/>
      <c r="H81" s="732"/>
      <c r="K81" s="673"/>
      <c r="L81" s="298"/>
      <c r="M81" s="673"/>
      <c r="O81" s="732"/>
      <c r="P81" s="732"/>
      <c r="Q81" s="732"/>
    </row>
    <row r="82" spans="1:17" ht="20.100000000000001" customHeight="1" thickBot="1" x14ac:dyDescent="0.3">
      <c r="A82" s="96"/>
      <c r="B82" s="670" t="s">
        <v>443</v>
      </c>
      <c r="C82" s="153"/>
      <c r="D82" s="551">
        <f>'City 5'!$D$227</f>
        <v>0</v>
      </c>
      <c r="E82" s="161"/>
      <c r="F82" s="716" t="str">
        <f>'City 5'!$B$184</f>
        <v/>
      </c>
      <c r="G82" s="717"/>
      <c r="H82" s="718"/>
      <c r="K82" s="670" t="s">
        <v>443</v>
      </c>
      <c r="L82" s="153"/>
      <c r="M82" s="551">
        <f>'City 6'!$D$227</f>
        <v>0</v>
      </c>
      <c r="N82" s="161"/>
      <c r="O82" s="716" t="str">
        <f>'City 6'!$B$184</f>
        <v/>
      </c>
      <c r="P82" s="717"/>
      <c r="Q82" s="718"/>
    </row>
    <row r="83" spans="1:17" ht="5.0999999999999996" customHeight="1" thickBot="1" x14ac:dyDescent="0.3">
      <c r="A83" s="96"/>
      <c r="B83" s="153"/>
      <c r="C83" s="153"/>
      <c r="D83" s="230"/>
      <c r="E83" s="63"/>
      <c r="F83" s="733"/>
      <c r="G83" s="733"/>
      <c r="H83" s="733"/>
      <c r="K83" s="153"/>
      <c r="L83" s="153"/>
      <c r="M83" s="230"/>
      <c r="N83" s="63"/>
      <c r="O83" s="733"/>
      <c r="P83" s="733"/>
      <c r="Q83" s="733"/>
    </row>
    <row r="84" spans="1:17" ht="20.100000000000001" customHeight="1" thickBot="1" x14ac:dyDescent="0.3">
      <c r="A84" s="96"/>
      <c r="B84" s="670" t="s">
        <v>175</v>
      </c>
      <c r="C84" s="153"/>
      <c r="D84" s="551">
        <f>'City 5'!$D$228</f>
        <v>0</v>
      </c>
      <c r="E84" s="673"/>
      <c r="F84" s="716" t="str">
        <f>'City 5'!$B$185</f>
        <v/>
      </c>
      <c r="G84" s="717"/>
      <c r="H84" s="718"/>
      <c r="K84" s="670" t="s">
        <v>175</v>
      </c>
      <c r="L84" s="153"/>
      <c r="M84" s="551">
        <f>'City 6'!$D$228</f>
        <v>0</v>
      </c>
      <c r="N84" s="673"/>
      <c r="O84" s="716" t="str">
        <f>'City 6'!$B$185</f>
        <v/>
      </c>
      <c r="P84" s="717"/>
      <c r="Q84" s="718"/>
    </row>
    <row r="85" spans="1:17" ht="5.0999999999999996" customHeight="1" thickBot="1" x14ac:dyDescent="0.3">
      <c r="A85" s="96"/>
      <c r="B85" s="153"/>
      <c r="C85" s="153"/>
      <c r="D85" s="230"/>
      <c r="E85" s="673"/>
      <c r="F85" s="717"/>
      <c r="G85" s="717"/>
      <c r="H85" s="717"/>
      <c r="K85" s="153"/>
      <c r="L85" s="153"/>
      <c r="M85" s="230"/>
      <c r="N85" s="673"/>
      <c r="O85" s="717"/>
      <c r="P85" s="717"/>
      <c r="Q85" s="717"/>
    </row>
    <row r="86" spans="1:17" ht="20.100000000000001" customHeight="1" thickBot="1" x14ac:dyDescent="0.3">
      <c r="A86" s="96"/>
      <c r="B86" s="670" t="s">
        <v>442</v>
      </c>
      <c r="C86" s="153"/>
      <c r="D86" s="551">
        <f>'City 5'!$D$229</f>
        <v>0</v>
      </c>
      <c r="E86" s="673"/>
      <c r="F86" s="716" t="str">
        <f>'City 5'!$B$186</f>
        <v/>
      </c>
      <c r="G86" s="717"/>
      <c r="H86" s="718"/>
      <c r="K86" s="670" t="s">
        <v>442</v>
      </c>
      <c r="L86" s="153"/>
      <c r="M86" s="551">
        <f>'City 6'!$D$229</f>
        <v>0</v>
      </c>
      <c r="N86" s="673"/>
      <c r="O86" s="716" t="str">
        <f>'City 6'!$B$186</f>
        <v/>
      </c>
      <c r="P86" s="717"/>
      <c r="Q86" s="718"/>
    </row>
    <row r="87" spans="1:17" s="65" customFormat="1" ht="5.0999999999999996" customHeight="1" x14ac:dyDescent="0.25">
      <c r="A87" s="96"/>
      <c r="B87" s="61"/>
      <c r="C87" s="61"/>
      <c r="D87" s="61"/>
      <c r="E87" s="673"/>
      <c r="F87" s="61"/>
      <c r="G87" s="61"/>
      <c r="H87" s="61"/>
      <c r="I87" s="61"/>
      <c r="K87" s="61"/>
      <c r="L87" s="61"/>
      <c r="M87" s="61"/>
      <c r="N87" s="673"/>
      <c r="O87" s="61"/>
      <c r="P87" s="61"/>
      <c r="Q87" s="61"/>
    </row>
    <row r="88" spans="1:17" ht="20.100000000000001" customHeight="1" x14ac:dyDescent="0.25">
      <c r="A88" s="96"/>
      <c r="B88" s="667" t="s">
        <v>91</v>
      </c>
      <c r="C88" s="668"/>
      <c r="D88" s="668"/>
      <c r="E88" s="668"/>
      <c r="F88" s="668"/>
      <c r="G88" s="668"/>
      <c r="H88" s="301"/>
      <c r="K88" s="667" t="s">
        <v>91</v>
      </c>
      <c r="L88" s="668"/>
      <c r="M88" s="668"/>
      <c r="N88" s="668"/>
      <c r="O88" s="668"/>
      <c r="P88" s="668"/>
      <c r="Q88" s="301"/>
    </row>
    <row r="89" spans="1:17" s="65" customFormat="1" ht="5.0999999999999996" customHeight="1" thickBot="1" x14ac:dyDescent="0.3">
      <c r="A89" s="96"/>
      <c r="B89" s="311"/>
      <c r="C89" s="311"/>
      <c r="D89" s="311"/>
      <c r="E89" s="311"/>
      <c r="F89" s="311"/>
      <c r="G89" s="311"/>
      <c r="H89" s="311"/>
      <c r="I89" s="61"/>
      <c r="K89" s="311"/>
      <c r="L89" s="311"/>
      <c r="M89" s="311"/>
      <c r="N89" s="311"/>
      <c r="O89" s="311"/>
      <c r="P89" s="311"/>
      <c r="Q89" s="311"/>
    </row>
    <row r="90" spans="1:17" ht="20.100000000000001" customHeight="1" x14ac:dyDescent="0.25">
      <c r="A90" s="305"/>
      <c r="B90" s="719"/>
      <c r="C90" s="720"/>
      <c r="D90" s="720"/>
      <c r="E90" s="720"/>
      <c r="F90" s="720"/>
      <c r="G90" s="720"/>
      <c r="H90" s="721"/>
      <c r="K90" s="719"/>
      <c r="L90" s="720"/>
      <c r="M90" s="720"/>
      <c r="N90" s="720"/>
      <c r="O90" s="720"/>
      <c r="P90" s="720"/>
      <c r="Q90" s="721"/>
    </row>
    <row r="91" spans="1:17" s="65" customFormat="1" ht="20.100000000000001" customHeight="1" x14ac:dyDescent="0.25">
      <c r="A91" s="305"/>
      <c r="B91" s="722"/>
      <c r="C91" s="723"/>
      <c r="D91" s="723"/>
      <c r="E91" s="723"/>
      <c r="F91" s="723"/>
      <c r="G91" s="723"/>
      <c r="H91" s="724"/>
      <c r="I91" s="61"/>
      <c r="K91" s="722"/>
      <c r="L91" s="723"/>
      <c r="M91" s="723"/>
      <c r="N91" s="723"/>
      <c r="O91" s="723"/>
      <c r="P91" s="723"/>
      <c r="Q91" s="724"/>
    </row>
    <row r="92" spans="1:17" ht="20.100000000000001" customHeight="1" x14ac:dyDescent="0.25">
      <c r="A92" s="96"/>
      <c r="B92" s="722"/>
      <c r="C92" s="723"/>
      <c r="D92" s="723"/>
      <c r="E92" s="723"/>
      <c r="F92" s="723"/>
      <c r="G92" s="723"/>
      <c r="H92" s="724"/>
      <c r="K92" s="722"/>
      <c r="L92" s="723"/>
      <c r="M92" s="723"/>
      <c r="N92" s="723"/>
      <c r="O92" s="723"/>
      <c r="P92" s="723"/>
      <c r="Q92" s="724"/>
    </row>
    <row r="93" spans="1:17" s="65" customFormat="1" ht="20.100000000000001" customHeight="1" x14ac:dyDescent="0.25">
      <c r="A93" s="96"/>
      <c r="B93" s="722"/>
      <c r="C93" s="723"/>
      <c r="D93" s="723"/>
      <c r="E93" s="723"/>
      <c r="F93" s="723"/>
      <c r="G93" s="723"/>
      <c r="H93" s="724"/>
      <c r="I93" s="61"/>
      <c r="K93" s="722"/>
      <c r="L93" s="723"/>
      <c r="M93" s="723"/>
      <c r="N93" s="723"/>
      <c r="O93" s="723"/>
      <c r="P93" s="723"/>
      <c r="Q93" s="724"/>
    </row>
    <row r="94" spans="1:17" ht="20.100000000000001" customHeight="1" x14ac:dyDescent="0.25">
      <c r="A94" s="146"/>
      <c r="B94" s="722"/>
      <c r="C94" s="723"/>
      <c r="D94" s="723"/>
      <c r="E94" s="723"/>
      <c r="F94" s="723"/>
      <c r="G94" s="723"/>
      <c r="H94" s="724"/>
      <c r="I94" s="65"/>
      <c r="K94" s="722"/>
      <c r="L94" s="723"/>
      <c r="M94" s="723"/>
      <c r="N94" s="723"/>
      <c r="O94" s="723"/>
      <c r="P94" s="723"/>
      <c r="Q94" s="724"/>
    </row>
    <row r="95" spans="1:17" s="65" customFormat="1" ht="20.100000000000001" customHeight="1" thickBot="1" x14ac:dyDescent="0.3">
      <c r="A95" s="96"/>
      <c r="B95" s="725"/>
      <c r="C95" s="726"/>
      <c r="D95" s="726"/>
      <c r="E95" s="726"/>
      <c r="F95" s="726"/>
      <c r="G95" s="726"/>
      <c r="H95" s="727"/>
      <c r="I95" s="61"/>
      <c r="K95" s="725"/>
      <c r="L95" s="726"/>
      <c r="M95" s="726"/>
      <c r="N95" s="726"/>
      <c r="O95" s="726"/>
      <c r="P95" s="726"/>
      <c r="Q95" s="727"/>
    </row>
    <row r="96" spans="1:17" ht="5.0999999999999996" customHeight="1" thickBot="1" x14ac:dyDescent="0.3">
      <c r="A96" s="146"/>
      <c r="B96" s="65"/>
      <c r="C96" s="65"/>
      <c r="D96" s="65"/>
      <c r="E96" s="65"/>
      <c r="F96" s="65"/>
      <c r="G96" s="65"/>
      <c r="H96" s="65"/>
      <c r="I96" s="65"/>
    </row>
    <row r="97" spans="1:17" s="65" customFormat="1" ht="5.0999999999999996" customHeight="1" thickBot="1" x14ac:dyDescent="0.3">
      <c r="A97" s="141"/>
      <c r="B97" s="61"/>
      <c r="C97" s="61"/>
      <c r="D97" s="61"/>
      <c r="E97" s="61"/>
      <c r="F97" s="61"/>
      <c r="G97" s="61"/>
      <c r="H97" s="61"/>
      <c r="I97" s="61"/>
    </row>
    <row r="98" spans="1:17" ht="20.100000000000001" customHeight="1" thickBot="1" x14ac:dyDescent="0.3">
      <c r="A98" s="96"/>
      <c r="B98" s="671" t="s">
        <v>78</v>
      </c>
      <c r="C98" s="62"/>
      <c r="D98" s="728" t="str">
        <f>IF('City 7'!$D$2&lt;&gt;0,'City 7'!$D$2&amp;" - "&amp;'City 7'!$AA$6," ")</f>
        <v xml:space="preserve"> </v>
      </c>
      <c r="E98" s="729"/>
      <c r="F98" s="729"/>
      <c r="G98" s="729"/>
      <c r="H98" s="730"/>
      <c r="K98" s="671" t="s">
        <v>78</v>
      </c>
      <c r="L98" s="62"/>
      <c r="M98" s="728" t="str">
        <f>IF('City 8'!$D$2&lt;&gt;0,'City 8'!$D$2&amp;" - "&amp;'City 8'!$AA$6," ")</f>
        <v xml:space="preserve"> </v>
      </c>
      <c r="N98" s="729"/>
      <c r="O98" s="729"/>
      <c r="P98" s="729"/>
      <c r="Q98" s="730"/>
    </row>
    <row r="99" spans="1:17" ht="5.0999999999999996" customHeight="1" thickBot="1" x14ac:dyDescent="0.3">
      <c r="A99" s="146"/>
      <c r="B99" s="62"/>
      <c r="C99" s="62"/>
      <c r="D99" s="63"/>
      <c r="E99" s="298"/>
      <c r="F99" s="62"/>
      <c r="G99" s="62"/>
      <c r="H99" s="298"/>
      <c r="I99" s="65"/>
      <c r="K99" s="62"/>
      <c r="L99" s="62"/>
      <c r="M99" s="63"/>
      <c r="N99" s="298"/>
      <c r="O99" s="62"/>
      <c r="P99" s="62"/>
      <c r="Q99" s="298"/>
    </row>
    <row r="100" spans="1:17" ht="20.100000000000001" customHeight="1" thickBot="1" x14ac:dyDescent="0.3">
      <c r="A100" s="96"/>
      <c r="B100" s="672" t="s">
        <v>49</v>
      </c>
      <c r="C100" s="669"/>
      <c r="D100" s="192" t="str">
        <f>IF('City 7'!$D$6&lt;&gt;0,'City 7'!$D$6," ")</f>
        <v xml:space="preserve"> </v>
      </c>
      <c r="E100" s="161"/>
      <c r="F100" s="672" t="s">
        <v>46</v>
      </c>
      <c r="G100" s="669"/>
      <c r="H100" s="192" t="str">
        <f>IF('City 7'!$D$4&lt;&gt;0,'City 7'!$D$4," ")</f>
        <v xml:space="preserve"> </v>
      </c>
      <c r="K100" s="672" t="s">
        <v>49</v>
      </c>
      <c r="L100" s="669"/>
      <c r="M100" s="192" t="str">
        <f>IF('City 8'!$D$6&lt;&gt;0,'City 8'!$D$6," ")</f>
        <v xml:space="preserve"> </v>
      </c>
      <c r="N100" s="161"/>
      <c r="O100" s="672" t="s">
        <v>46</v>
      </c>
      <c r="P100" s="669"/>
      <c r="Q100" s="192" t="str">
        <f>IF('City 8'!$D$4&lt;&gt;0,'City 8'!$D$4," ")</f>
        <v xml:space="preserve"> </v>
      </c>
    </row>
    <row r="101" spans="1:17" ht="5.0999999999999996" customHeight="1" thickBot="1" x14ac:dyDescent="0.3">
      <c r="A101" s="146"/>
      <c r="B101" s="62"/>
      <c r="C101" s="62"/>
      <c r="D101" s="67"/>
      <c r="E101" s="67"/>
      <c r="F101" s="298"/>
      <c r="G101" s="298"/>
      <c r="H101" s="298"/>
      <c r="I101" s="65"/>
      <c r="K101" s="62"/>
      <c r="L101" s="62"/>
      <c r="M101" s="67"/>
      <c r="N101" s="67"/>
      <c r="O101" s="298"/>
      <c r="P101" s="298"/>
      <c r="Q101" s="298"/>
    </row>
    <row r="102" spans="1:17" ht="20.100000000000001" customHeight="1" thickBot="1" x14ac:dyDescent="0.3">
      <c r="A102" s="96"/>
      <c r="B102" s="672" t="s">
        <v>50</v>
      </c>
      <c r="C102" s="669"/>
      <c r="D102" s="192" t="str">
        <f>IF('City 7'!$D$8&lt;&gt;0,'City 7'!$D$8," ")</f>
        <v xml:space="preserve"> </v>
      </c>
      <c r="E102" s="161"/>
      <c r="F102" s="672" t="s">
        <v>85</v>
      </c>
      <c r="G102" s="669"/>
      <c r="H102" s="192">
        <f>IF('City 7'!$U$6&lt;&gt;0,'City 7'!$U$6,0)</f>
        <v>0</v>
      </c>
      <c r="K102" s="672" t="s">
        <v>50</v>
      </c>
      <c r="L102" s="669"/>
      <c r="M102" s="192" t="str">
        <f>IF('City 8'!$D$8&lt;&gt;0,'City 8'!$D$8," ")</f>
        <v xml:space="preserve"> </v>
      </c>
      <c r="N102" s="161"/>
      <c r="O102" s="672" t="s">
        <v>85</v>
      </c>
      <c r="P102" s="669"/>
      <c r="Q102" s="192">
        <f>IF('City 8'!$U$6&lt;&gt;0,'City 8'!$U$6,0)</f>
        <v>0</v>
      </c>
    </row>
    <row r="103" spans="1:17" ht="5.0999999999999996" customHeight="1" thickBot="1" x14ac:dyDescent="0.3">
      <c r="A103" s="146"/>
      <c r="B103" s="62"/>
      <c r="C103" s="62"/>
      <c r="D103" s="67"/>
      <c r="E103" s="67"/>
      <c r="F103" s="298"/>
      <c r="G103" s="298"/>
      <c r="H103" s="298"/>
      <c r="I103" s="65"/>
      <c r="K103" s="62"/>
      <c r="L103" s="62"/>
      <c r="M103" s="67"/>
      <c r="N103" s="67"/>
      <c r="O103" s="298"/>
      <c r="P103" s="298"/>
      <c r="Q103" s="298"/>
    </row>
    <row r="104" spans="1:17" ht="20.100000000000001" customHeight="1" thickBot="1" x14ac:dyDescent="0.3">
      <c r="A104" s="96"/>
      <c r="B104" s="672" t="s">
        <v>51</v>
      </c>
      <c r="C104" s="669"/>
      <c r="D104" s="192" t="str">
        <f>IF('City 7'!$D$10&lt;&gt;0,'City 7'!$D$10," ")</f>
        <v xml:space="preserve"> </v>
      </c>
      <c r="E104" s="161"/>
      <c r="F104" s="672" t="s">
        <v>86</v>
      </c>
      <c r="G104" s="669"/>
      <c r="H104" s="192" t="str">
        <f>IF('City 7'!$U$2&lt;&gt;0,'City 7'!$U$2," ")</f>
        <v/>
      </c>
      <c r="K104" s="672" t="s">
        <v>51</v>
      </c>
      <c r="L104" s="669"/>
      <c r="M104" s="192" t="str">
        <f>IF('City 8'!$D$10&lt;&gt;0,'City 8'!$D$10," ")</f>
        <v xml:space="preserve"> </v>
      </c>
      <c r="N104" s="161"/>
      <c r="O104" s="672" t="s">
        <v>86</v>
      </c>
      <c r="P104" s="669"/>
      <c r="Q104" s="192" t="str">
        <f>IF('City 8'!$U$2&lt;&gt;0,'City 8'!$U$2," ")</f>
        <v/>
      </c>
    </row>
    <row r="105" spans="1:17" ht="5.0999999999999996" customHeight="1" thickBot="1" x14ac:dyDescent="0.3">
      <c r="A105" s="146"/>
      <c r="B105" s="669"/>
      <c r="C105" s="669"/>
      <c r="D105" s="67"/>
      <c r="E105" s="67"/>
      <c r="F105" s="65"/>
      <c r="G105" s="65"/>
      <c r="H105" s="65"/>
      <c r="I105" s="65"/>
      <c r="K105" s="669"/>
      <c r="L105" s="669"/>
      <c r="M105" s="67"/>
      <c r="N105" s="67"/>
      <c r="O105" s="65"/>
      <c r="P105" s="65"/>
      <c r="Q105" s="65"/>
    </row>
    <row r="106" spans="1:17" ht="20.100000000000001" customHeight="1" thickBot="1" x14ac:dyDescent="0.3">
      <c r="A106" s="96"/>
      <c r="B106" s="306" t="s">
        <v>640</v>
      </c>
      <c r="D106" s="258">
        <f>'City 7'!$M$4</f>
        <v>0</v>
      </c>
      <c r="E106" s="161"/>
      <c r="F106" s="306" t="s">
        <v>641</v>
      </c>
      <c r="H106" s="258">
        <f>'City 7'!$M$6</f>
        <v>0</v>
      </c>
      <c r="K106" s="306" t="s">
        <v>640</v>
      </c>
      <c r="M106" s="258">
        <f>'City 8'!$M$4</f>
        <v>0</v>
      </c>
      <c r="N106" s="161"/>
      <c r="O106" s="306" t="s">
        <v>641</v>
      </c>
      <c r="Q106" s="258">
        <f>'City 8'!$M$6</f>
        <v>0</v>
      </c>
    </row>
    <row r="107" spans="1:17" ht="5.0999999999999996" customHeight="1" thickBot="1" x14ac:dyDescent="0.3">
      <c r="A107" s="146"/>
      <c r="B107" s="673"/>
      <c r="C107" s="298"/>
      <c r="D107" s="673"/>
      <c r="E107" s="67"/>
      <c r="I107" s="65"/>
      <c r="K107" s="673"/>
      <c r="L107" s="298"/>
      <c r="M107" s="673"/>
      <c r="N107" s="67"/>
    </row>
    <row r="108" spans="1:17" ht="20.100000000000001" customHeight="1" thickBot="1" x14ac:dyDescent="0.3">
      <c r="A108" s="96"/>
      <c r="B108" s="306" t="s">
        <v>642</v>
      </c>
      <c r="D108" s="258">
        <f>'City 7'!$U$10</f>
        <v>0</v>
      </c>
      <c r="F108" s="306" t="s">
        <v>643</v>
      </c>
      <c r="H108" s="258">
        <f>'City 7'!$M$8</f>
        <v>0</v>
      </c>
      <c r="K108" s="306" t="s">
        <v>642</v>
      </c>
      <c r="M108" s="258">
        <f>'City 8'!$U$10</f>
        <v>0</v>
      </c>
      <c r="O108" s="306" t="s">
        <v>643</v>
      </c>
      <c r="Q108" s="258">
        <f>'City 8'!$M$8</f>
        <v>0</v>
      </c>
    </row>
    <row r="109" spans="1:17" ht="5.0999999999999996" customHeight="1" thickBot="1" x14ac:dyDescent="0.3">
      <c r="A109" s="146"/>
      <c r="B109" s="65"/>
      <c r="C109" s="65"/>
      <c r="D109" s="65"/>
      <c r="E109" s="65"/>
      <c r="F109" s="65"/>
      <c r="G109" s="65"/>
      <c r="H109" s="65"/>
      <c r="I109" s="65"/>
      <c r="K109" s="65"/>
      <c r="L109" s="65"/>
      <c r="M109" s="65"/>
      <c r="N109" s="65"/>
      <c r="O109" s="65"/>
      <c r="P109" s="65"/>
      <c r="Q109" s="65"/>
    </row>
    <row r="110" spans="1:17" ht="20.100000000000001" customHeight="1" thickBot="1" x14ac:dyDescent="0.3">
      <c r="A110" s="96"/>
      <c r="B110" s="306" t="s">
        <v>644</v>
      </c>
      <c r="D110" s="258">
        <f>'City 7'!$M$10</f>
        <v>0</v>
      </c>
      <c r="F110" s="306" t="s">
        <v>645</v>
      </c>
      <c r="H110" s="258">
        <f>'City 7'!$U$12</f>
        <v>0</v>
      </c>
      <c r="K110" s="306" t="s">
        <v>644</v>
      </c>
      <c r="M110" s="258">
        <f>'City 8'!$M$10</f>
        <v>0</v>
      </c>
      <c r="O110" s="306" t="s">
        <v>645</v>
      </c>
      <c r="Q110" s="258">
        <f>'City 8'!$U$12</f>
        <v>0</v>
      </c>
    </row>
    <row r="111" spans="1:17" ht="5.0999999999999996" customHeight="1" x14ac:dyDescent="0.25">
      <c r="A111" s="96"/>
    </row>
    <row r="112" spans="1:17" ht="20.100000000000001" customHeight="1" x14ac:dyDescent="0.25">
      <c r="A112" s="96"/>
      <c r="B112" s="715" t="s">
        <v>438</v>
      </c>
      <c r="C112" s="715"/>
      <c r="D112" s="731"/>
      <c r="F112" s="715" t="s">
        <v>130</v>
      </c>
      <c r="G112" s="715"/>
      <c r="H112" s="715"/>
      <c r="K112" s="715" t="s">
        <v>438</v>
      </c>
      <c r="L112" s="715"/>
      <c r="M112" s="731"/>
      <c r="O112" s="715" t="s">
        <v>130</v>
      </c>
      <c r="P112" s="715"/>
      <c r="Q112" s="715"/>
    </row>
    <row r="113" spans="1:17" ht="5.0999999999999996" customHeight="1" thickBot="1" x14ac:dyDescent="0.3">
      <c r="A113" s="96"/>
      <c r="B113" s="673"/>
      <c r="C113" s="298"/>
      <c r="D113" s="673"/>
      <c r="F113" s="732"/>
      <c r="G113" s="732"/>
      <c r="H113" s="732"/>
      <c r="K113" s="673"/>
      <c r="L113" s="298"/>
      <c r="M113" s="673"/>
      <c r="O113" s="732"/>
      <c r="P113" s="732"/>
      <c r="Q113" s="732"/>
    </row>
    <row r="114" spans="1:17" s="65" customFormat="1" ht="20.100000000000001" customHeight="1" thickBot="1" x14ac:dyDescent="0.3">
      <c r="A114" s="96"/>
      <c r="B114" s="670" t="s">
        <v>443</v>
      </c>
      <c r="C114" s="153"/>
      <c r="D114" s="551">
        <f>'City 7'!$D$227</f>
        <v>0</v>
      </c>
      <c r="E114" s="161"/>
      <c r="F114" s="716" t="str">
        <f>'City 7'!$B$184</f>
        <v/>
      </c>
      <c r="G114" s="717"/>
      <c r="H114" s="718"/>
      <c r="I114" s="61"/>
      <c r="K114" s="670" t="s">
        <v>443</v>
      </c>
      <c r="L114" s="153"/>
      <c r="M114" s="551">
        <f>'City 8'!$D$227</f>
        <v>0</v>
      </c>
      <c r="N114" s="161"/>
      <c r="O114" s="716" t="str">
        <f>'City 8'!$B$184</f>
        <v/>
      </c>
      <c r="P114" s="717"/>
      <c r="Q114" s="718"/>
    </row>
    <row r="115" spans="1:17" ht="5.0999999999999996" customHeight="1" thickBot="1" x14ac:dyDescent="0.3">
      <c r="A115" s="96"/>
      <c r="B115" s="153"/>
      <c r="C115" s="153"/>
      <c r="D115" s="230"/>
      <c r="E115" s="63"/>
      <c r="F115" s="733"/>
      <c r="G115" s="733"/>
      <c r="H115" s="733"/>
      <c r="K115" s="153"/>
      <c r="L115" s="153"/>
      <c r="M115" s="230"/>
      <c r="N115" s="63"/>
      <c r="O115" s="733"/>
      <c r="P115" s="733"/>
      <c r="Q115" s="733"/>
    </row>
    <row r="116" spans="1:17" s="65" customFormat="1" ht="20.100000000000001" customHeight="1" thickBot="1" x14ac:dyDescent="0.3">
      <c r="A116" s="96"/>
      <c r="B116" s="670" t="s">
        <v>175</v>
      </c>
      <c r="C116" s="153"/>
      <c r="D116" s="551">
        <f>'City 7'!$D$228</f>
        <v>0</v>
      </c>
      <c r="E116" s="673"/>
      <c r="F116" s="716" t="str">
        <f>'City 7'!$B$185</f>
        <v/>
      </c>
      <c r="G116" s="717"/>
      <c r="H116" s="718"/>
      <c r="I116" s="61"/>
      <c r="K116" s="670" t="s">
        <v>175</v>
      </c>
      <c r="L116" s="153"/>
      <c r="M116" s="551">
        <f>'City 8'!$D$228</f>
        <v>0</v>
      </c>
      <c r="N116" s="673"/>
      <c r="O116" s="716" t="str">
        <f>'City 8'!$B$185</f>
        <v/>
      </c>
      <c r="P116" s="717"/>
      <c r="Q116" s="718"/>
    </row>
    <row r="117" spans="1:17" ht="5.0999999999999996" customHeight="1" thickBot="1" x14ac:dyDescent="0.3">
      <c r="A117" s="96"/>
      <c r="B117" s="153"/>
      <c r="C117" s="153"/>
      <c r="D117" s="230"/>
      <c r="E117" s="673"/>
      <c r="F117" s="717"/>
      <c r="G117" s="717"/>
      <c r="H117" s="717"/>
      <c r="K117" s="153"/>
      <c r="L117" s="153"/>
      <c r="M117" s="230"/>
      <c r="N117" s="673"/>
      <c r="O117" s="717"/>
      <c r="P117" s="717"/>
      <c r="Q117" s="717"/>
    </row>
    <row r="118" spans="1:17" s="65" customFormat="1" ht="20.100000000000001" customHeight="1" thickBot="1" x14ac:dyDescent="0.3">
      <c r="A118" s="96"/>
      <c r="B118" s="670" t="s">
        <v>442</v>
      </c>
      <c r="C118" s="153"/>
      <c r="D118" s="551">
        <f>'City 7'!$D$229</f>
        <v>0</v>
      </c>
      <c r="E118" s="673"/>
      <c r="F118" s="716" t="str">
        <f>'City 7'!$B$186</f>
        <v/>
      </c>
      <c r="G118" s="717"/>
      <c r="H118" s="718"/>
      <c r="I118" s="61"/>
      <c r="K118" s="670" t="s">
        <v>442</v>
      </c>
      <c r="L118" s="153"/>
      <c r="M118" s="551">
        <f>'City 8'!$D$229</f>
        <v>0</v>
      </c>
      <c r="N118" s="673"/>
      <c r="O118" s="716" t="str">
        <f>'City 8'!$B$186</f>
        <v/>
      </c>
      <c r="P118" s="717"/>
      <c r="Q118" s="718"/>
    </row>
    <row r="119" spans="1:17" ht="5.0999999999999996" customHeight="1" x14ac:dyDescent="0.25">
      <c r="A119" s="96"/>
      <c r="E119" s="673"/>
      <c r="N119" s="673"/>
    </row>
    <row r="120" spans="1:17" s="65" customFormat="1" ht="20.100000000000001" customHeight="1" x14ac:dyDescent="0.25">
      <c r="A120" s="96"/>
      <c r="B120" s="667" t="s">
        <v>91</v>
      </c>
      <c r="C120" s="668"/>
      <c r="D120" s="668"/>
      <c r="E120" s="668"/>
      <c r="F120" s="668"/>
      <c r="G120" s="668"/>
      <c r="H120" s="301"/>
      <c r="I120" s="61"/>
      <c r="K120" s="667" t="s">
        <v>91</v>
      </c>
      <c r="L120" s="668"/>
      <c r="M120" s="668"/>
      <c r="N120" s="668"/>
      <c r="O120" s="668"/>
      <c r="P120" s="668"/>
      <c r="Q120" s="301"/>
    </row>
    <row r="121" spans="1:17" ht="5.0999999999999996" customHeight="1" thickBot="1" x14ac:dyDescent="0.3">
      <c r="A121" s="96"/>
      <c r="B121" s="311"/>
      <c r="C121" s="311"/>
      <c r="D121" s="311"/>
      <c r="E121" s="311"/>
      <c r="F121" s="311"/>
      <c r="G121" s="311"/>
      <c r="H121" s="311"/>
      <c r="K121" s="311"/>
      <c r="L121" s="311"/>
      <c r="M121" s="311"/>
      <c r="N121" s="311"/>
      <c r="O121" s="311"/>
      <c r="P121" s="311"/>
      <c r="Q121" s="311"/>
    </row>
    <row r="122" spans="1:17" s="65" customFormat="1" ht="20.100000000000001" customHeight="1" x14ac:dyDescent="0.25">
      <c r="A122" s="305"/>
      <c r="B122" s="719"/>
      <c r="C122" s="720"/>
      <c r="D122" s="720"/>
      <c r="E122" s="720"/>
      <c r="F122" s="720"/>
      <c r="G122" s="720"/>
      <c r="H122" s="721"/>
      <c r="I122" s="61"/>
      <c r="K122" s="719"/>
      <c r="L122" s="720"/>
      <c r="M122" s="720"/>
      <c r="N122" s="720"/>
      <c r="O122" s="720"/>
      <c r="P122" s="720"/>
      <c r="Q122" s="721"/>
    </row>
    <row r="123" spans="1:17" ht="20.100000000000001" customHeight="1" x14ac:dyDescent="0.25">
      <c r="A123" s="305"/>
      <c r="B123" s="722"/>
      <c r="C123" s="723"/>
      <c r="D123" s="723"/>
      <c r="E123" s="723"/>
      <c r="F123" s="723"/>
      <c r="G123" s="723"/>
      <c r="H123" s="724"/>
      <c r="K123" s="722"/>
      <c r="L123" s="723"/>
      <c r="M123" s="723"/>
      <c r="N123" s="723"/>
      <c r="O123" s="723"/>
      <c r="P123" s="723"/>
      <c r="Q123" s="724"/>
    </row>
    <row r="124" spans="1:17" s="65" customFormat="1" ht="20.100000000000001" customHeight="1" x14ac:dyDescent="0.25">
      <c r="A124" s="96"/>
      <c r="B124" s="722"/>
      <c r="C124" s="723"/>
      <c r="D124" s="723"/>
      <c r="E124" s="723"/>
      <c r="F124" s="723"/>
      <c r="G124" s="723"/>
      <c r="H124" s="724"/>
      <c r="I124" s="61"/>
      <c r="K124" s="722"/>
      <c r="L124" s="723"/>
      <c r="M124" s="723"/>
      <c r="N124" s="723"/>
      <c r="O124" s="723"/>
      <c r="P124" s="723"/>
      <c r="Q124" s="724"/>
    </row>
    <row r="125" spans="1:17" ht="20.100000000000001" customHeight="1" x14ac:dyDescent="0.25">
      <c r="A125" s="96"/>
      <c r="B125" s="722"/>
      <c r="C125" s="723"/>
      <c r="D125" s="723"/>
      <c r="E125" s="723"/>
      <c r="F125" s="723"/>
      <c r="G125" s="723"/>
      <c r="H125" s="724"/>
      <c r="K125" s="722"/>
      <c r="L125" s="723"/>
      <c r="M125" s="723"/>
      <c r="N125" s="723"/>
      <c r="O125" s="723"/>
      <c r="P125" s="723"/>
      <c r="Q125" s="724"/>
    </row>
    <row r="126" spans="1:17" ht="20.100000000000001" customHeight="1" x14ac:dyDescent="0.25">
      <c r="A126" s="146"/>
      <c r="B126" s="722"/>
      <c r="C126" s="723"/>
      <c r="D126" s="723"/>
      <c r="E126" s="723"/>
      <c r="F126" s="723"/>
      <c r="G126" s="723"/>
      <c r="H126" s="724"/>
      <c r="I126" s="65"/>
      <c r="K126" s="722"/>
      <c r="L126" s="723"/>
      <c r="M126" s="723"/>
      <c r="N126" s="723"/>
      <c r="O126" s="723"/>
      <c r="P126" s="723"/>
      <c r="Q126" s="724"/>
    </row>
    <row r="127" spans="1:17" ht="20.100000000000001" customHeight="1" thickBot="1" x14ac:dyDescent="0.3">
      <c r="A127" s="96"/>
      <c r="B127" s="725"/>
      <c r="C127" s="726"/>
      <c r="D127" s="726"/>
      <c r="E127" s="726"/>
      <c r="F127" s="726"/>
      <c r="G127" s="726"/>
      <c r="H127" s="727"/>
      <c r="K127" s="725"/>
      <c r="L127" s="726"/>
      <c r="M127" s="726"/>
      <c r="N127" s="726"/>
      <c r="O127" s="726"/>
      <c r="P127" s="726"/>
      <c r="Q127" s="727"/>
    </row>
    <row r="128" spans="1:17" ht="5.0999999999999996" customHeight="1" thickBot="1" x14ac:dyDescent="0.3">
      <c r="A128" s="146"/>
      <c r="B128" s="65"/>
      <c r="C128" s="65"/>
      <c r="D128" s="65"/>
      <c r="E128" s="65"/>
      <c r="F128" s="65"/>
      <c r="G128" s="65"/>
      <c r="H128" s="65"/>
      <c r="I128" s="65"/>
    </row>
    <row r="129" spans="1:17" ht="5.0999999999999996" customHeight="1" thickBot="1" x14ac:dyDescent="0.3">
      <c r="A129" s="141"/>
    </row>
    <row r="130" spans="1:17" ht="20.100000000000001" customHeight="1" thickBot="1" x14ac:dyDescent="0.3">
      <c r="A130" s="96"/>
      <c r="B130" s="671" t="s">
        <v>78</v>
      </c>
      <c r="C130" s="62"/>
      <c r="D130" s="728" t="str">
        <f>IF('City 9'!$D$2&lt;&gt;0,'City 9'!$D$2&amp;" - "&amp;'City 9'!$AA$6," ")</f>
        <v xml:space="preserve"> </v>
      </c>
      <c r="E130" s="729"/>
      <c r="F130" s="729"/>
      <c r="G130" s="729"/>
      <c r="H130" s="730"/>
      <c r="K130" s="671" t="s">
        <v>78</v>
      </c>
      <c r="L130" s="62"/>
      <c r="M130" s="728" t="str">
        <f>IF('City 10'!$D$2&lt;&gt;0,'City 10'!$D$2&amp;" - "&amp;'City 10'!$AA$6," ")</f>
        <v xml:space="preserve"> </v>
      </c>
      <c r="N130" s="729"/>
      <c r="O130" s="729"/>
      <c r="P130" s="729"/>
      <c r="Q130" s="730"/>
    </row>
    <row r="131" spans="1:17" ht="5.0999999999999996" customHeight="1" thickBot="1" x14ac:dyDescent="0.3">
      <c r="A131" s="146"/>
      <c r="B131" s="62"/>
      <c r="C131" s="62"/>
      <c r="D131" s="63"/>
      <c r="E131" s="298"/>
      <c r="F131" s="62"/>
      <c r="G131" s="62"/>
      <c r="H131" s="298"/>
      <c r="I131" s="65"/>
      <c r="K131" s="62"/>
      <c r="L131" s="62"/>
      <c r="M131" s="63"/>
      <c r="N131" s="298"/>
      <c r="O131" s="62"/>
      <c r="P131" s="62"/>
      <c r="Q131" s="298"/>
    </row>
    <row r="132" spans="1:17" ht="20.100000000000001" customHeight="1" thickBot="1" x14ac:dyDescent="0.3">
      <c r="A132" s="96"/>
      <c r="B132" s="672" t="s">
        <v>49</v>
      </c>
      <c r="C132" s="669"/>
      <c r="D132" s="192" t="str">
        <f>IF('City 9'!$D$6&lt;&gt;0,'City 9'!$D$6," ")</f>
        <v xml:space="preserve"> </v>
      </c>
      <c r="E132" s="161"/>
      <c r="F132" s="672" t="s">
        <v>46</v>
      </c>
      <c r="G132" s="669"/>
      <c r="H132" s="192" t="str">
        <f>IF('City 9'!$D$4&lt;&gt;0,'City 9'!$D$4," ")</f>
        <v xml:space="preserve"> </v>
      </c>
      <c r="K132" s="672" t="s">
        <v>49</v>
      </c>
      <c r="L132" s="669"/>
      <c r="M132" s="192" t="str">
        <f>IF('City 10'!$D$6&lt;&gt;0,'City 10'!$D$6," ")</f>
        <v xml:space="preserve"> </v>
      </c>
      <c r="N132" s="161"/>
      <c r="O132" s="672" t="s">
        <v>46</v>
      </c>
      <c r="P132" s="669"/>
      <c r="Q132" s="192" t="str">
        <f>IF('City 10'!$D$4&lt;&gt;0,'City 10'!$D$4," ")</f>
        <v xml:space="preserve"> </v>
      </c>
    </row>
    <row r="133" spans="1:17" ht="5.0999999999999996" customHeight="1" thickBot="1" x14ac:dyDescent="0.3">
      <c r="A133" s="146"/>
      <c r="B133" s="62"/>
      <c r="C133" s="62"/>
      <c r="D133" s="67"/>
      <c r="E133" s="67"/>
      <c r="F133" s="298"/>
      <c r="G133" s="298"/>
      <c r="H133" s="298"/>
      <c r="I133" s="65"/>
      <c r="K133" s="62"/>
      <c r="L133" s="62"/>
      <c r="M133" s="67"/>
      <c r="N133" s="67"/>
      <c r="O133" s="298"/>
      <c r="P133" s="298"/>
      <c r="Q133" s="298"/>
    </row>
    <row r="134" spans="1:17" ht="20.100000000000001" customHeight="1" thickBot="1" x14ac:dyDescent="0.3">
      <c r="A134" s="96"/>
      <c r="B134" s="672" t="s">
        <v>50</v>
      </c>
      <c r="C134" s="669"/>
      <c r="D134" s="192" t="str">
        <f>IF('City 9'!$D$8&lt;&gt;0,'City 9'!$D$8," ")</f>
        <v xml:space="preserve"> </v>
      </c>
      <c r="E134" s="161"/>
      <c r="F134" s="672" t="s">
        <v>85</v>
      </c>
      <c r="G134" s="669"/>
      <c r="H134" s="192">
        <f>IF('City 9'!$U$6&lt;&gt;0,'City 9'!$U$6,0)</f>
        <v>0</v>
      </c>
      <c r="K134" s="672" t="s">
        <v>50</v>
      </c>
      <c r="L134" s="669"/>
      <c r="M134" s="192" t="str">
        <f>IF('City 10'!$D$8&lt;&gt;0,'City 10'!$D$8," ")</f>
        <v xml:space="preserve"> </v>
      </c>
      <c r="N134" s="161"/>
      <c r="O134" s="672" t="s">
        <v>85</v>
      </c>
      <c r="P134" s="669"/>
      <c r="Q134" s="192">
        <f>IF('City 10'!$U$6&lt;&gt;0,'City 10'!$U$6,0)</f>
        <v>0</v>
      </c>
    </row>
    <row r="135" spans="1:17" ht="5.0999999999999996" customHeight="1" thickBot="1" x14ac:dyDescent="0.3">
      <c r="A135" s="146"/>
      <c r="B135" s="62"/>
      <c r="C135" s="62"/>
      <c r="D135" s="67"/>
      <c r="E135" s="67"/>
      <c r="F135" s="298"/>
      <c r="G135" s="298"/>
      <c r="H135" s="298"/>
      <c r="I135" s="65"/>
      <c r="K135" s="62"/>
      <c r="L135" s="62"/>
      <c r="M135" s="67"/>
      <c r="N135" s="67"/>
      <c r="O135" s="298"/>
      <c r="P135" s="298"/>
      <c r="Q135" s="298"/>
    </row>
    <row r="136" spans="1:17" ht="20.100000000000001" customHeight="1" thickBot="1" x14ac:dyDescent="0.3">
      <c r="A136" s="96"/>
      <c r="B136" s="672" t="s">
        <v>51</v>
      </c>
      <c r="C136" s="669"/>
      <c r="D136" s="192" t="str">
        <f>IF('City 9'!$D$10&lt;&gt;0,'City 9'!$D$10," ")</f>
        <v xml:space="preserve"> </v>
      </c>
      <c r="E136" s="161"/>
      <c r="F136" s="672" t="s">
        <v>86</v>
      </c>
      <c r="G136" s="669"/>
      <c r="H136" s="192" t="str">
        <f>IF('City 9'!$U$2&lt;&gt;0,'City 9'!$U$2," ")</f>
        <v/>
      </c>
      <c r="K136" s="672" t="s">
        <v>51</v>
      </c>
      <c r="L136" s="669"/>
      <c r="M136" s="192" t="str">
        <f>IF('City 10'!$D$10&lt;&gt;0,'City 10'!$D$10," ")</f>
        <v xml:space="preserve"> </v>
      </c>
      <c r="N136" s="161"/>
      <c r="O136" s="672" t="s">
        <v>86</v>
      </c>
      <c r="P136" s="669"/>
      <c r="Q136" s="192" t="str">
        <f>IF('City 10'!$U$2&lt;&gt;0,'City 10'!$U$2," ")</f>
        <v/>
      </c>
    </row>
    <row r="137" spans="1:17" ht="5.0999999999999996" customHeight="1" thickBot="1" x14ac:dyDescent="0.3">
      <c r="A137" s="146"/>
      <c r="B137" s="669"/>
      <c r="C137" s="669"/>
      <c r="D137" s="67"/>
      <c r="E137" s="67"/>
      <c r="F137" s="65"/>
      <c r="G137" s="65"/>
      <c r="H137" s="65"/>
      <c r="I137" s="65"/>
      <c r="K137" s="669"/>
      <c r="L137" s="669"/>
      <c r="M137" s="67"/>
      <c r="N137" s="67"/>
      <c r="O137" s="65"/>
      <c r="P137" s="65"/>
      <c r="Q137" s="65"/>
    </row>
    <row r="138" spans="1:17" ht="20.100000000000001" customHeight="1" thickBot="1" x14ac:dyDescent="0.3">
      <c r="A138" s="96"/>
      <c r="B138" s="306" t="s">
        <v>640</v>
      </c>
      <c r="D138" s="258">
        <f>'City 9'!$M$4</f>
        <v>0</v>
      </c>
      <c r="E138" s="161"/>
      <c r="F138" s="306" t="s">
        <v>641</v>
      </c>
      <c r="H138" s="258">
        <f>'City 9'!$M$6</f>
        <v>0</v>
      </c>
      <c r="K138" s="306" t="s">
        <v>640</v>
      </c>
      <c r="M138" s="258">
        <f>'City 10'!$M$4</f>
        <v>0</v>
      </c>
      <c r="N138" s="161"/>
      <c r="O138" s="306" t="s">
        <v>641</v>
      </c>
      <c r="Q138" s="258">
        <f>'City 10'!$M$6</f>
        <v>0</v>
      </c>
    </row>
    <row r="139" spans="1:17" ht="5.0999999999999996" customHeight="1" thickBot="1" x14ac:dyDescent="0.3">
      <c r="A139" s="146"/>
      <c r="B139" s="673"/>
      <c r="C139" s="298"/>
      <c r="D139" s="673"/>
      <c r="E139" s="67"/>
      <c r="I139" s="65"/>
      <c r="K139" s="673"/>
      <c r="L139" s="298"/>
      <c r="M139" s="673"/>
      <c r="N139" s="67"/>
    </row>
    <row r="140" spans="1:17" ht="20.100000000000001" customHeight="1" thickBot="1" x14ac:dyDescent="0.3">
      <c r="A140" s="96"/>
      <c r="B140" s="306" t="s">
        <v>642</v>
      </c>
      <c r="D140" s="258">
        <f>'City 9'!$U$10</f>
        <v>0</v>
      </c>
      <c r="F140" s="306" t="s">
        <v>643</v>
      </c>
      <c r="H140" s="258">
        <f>'City 9'!$M$8</f>
        <v>0</v>
      </c>
      <c r="K140" s="306" t="s">
        <v>642</v>
      </c>
      <c r="M140" s="258">
        <f>'City 10'!$U$10</f>
        <v>0</v>
      </c>
      <c r="O140" s="306" t="s">
        <v>643</v>
      </c>
      <c r="Q140" s="258">
        <f>'City 10'!$M$8</f>
        <v>0</v>
      </c>
    </row>
    <row r="141" spans="1:17" s="65" customFormat="1" ht="5.0999999999999996" customHeight="1" thickBot="1" x14ac:dyDescent="0.3">
      <c r="A141" s="146"/>
    </row>
    <row r="142" spans="1:17" ht="20.100000000000001" customHeight="1" thickBot="1" x14ac:dyDescent="0.3">
      <c r="A142" s="96"/>
      <c r="B142" s="306" t="s">
        <v>644</v>
      </c>
      <c r="D142" s="258">
        <f>'City 9'!$M$10</f>
        <v>0</v>
      </c>
      <c r="F142" s="306" t="s">
        <v>645</v>
      </c>
      <c r="H142" s="258">
        <f>'City 9'!$U$12</f>
        <v>0</v>
      </c>
      <c r="K142" s="306" t="s">
        <v>644</v>
      </c>
      <c r="M142" s="258">
        <f>'City 10'!$M$10</f>
        <v>0</v>
      </c>
      <c r="O142" s="306" t="s">
        <v>645</v>
      </c>
      <c r="Q142" s="258">
        <f>'City 10'!$U$12</f>
        <v>0</v>
      </c>
    </row>
    <row r="143" spans="1:17" s="65" customFormat="1" ht="5.0999999999999996" customHeight="1" x14ac:dyDescent="0.25">
      <c r="A143" s="96"/>
      <c r="B143" s="61"/>
      <c r="C143" s="61"/>
      <c r="D143" s="61"/>
      <c r="E143" s="61"/>
      <c r="F143" s="61"/>
      <c r="G143" s="61"/>
      <c r="H143" s="61"/>
      <c r="I143" s="61"/>
      <c r="K143" s="61"/>
      <c r="L143" s="61"/>
      <c r="M143" s="61"/>
      <c r="N143" s="61"/>
      <c r="O143" s="61"/>
      <c r="P143" s="61"/>
      <c r="Q143" s="61"/>
    </row>
    <row r="144" spans="1:17" ht="20.100000000000001" customHeight="1" x14ac:dyDescent="0.25">
      <c r="A144" s="96"/>
      <c r="B144" s="715" t="s">
        <v>438</v>
      </c>
      <c r="C144" s="715"/>
      <c r="D144" s="731"/>
      <c r="F144" s="715" t="s">
        <v>130</v>
      </c>
      <c r="G144" s="715"/>
      <c r="H144" s="715"/>
      <c r="K144" s="715" t="s">
        <v>438</v>
      </c>
      <c r="L144" s="715"/>
      <c r="M144" s="731"/>
      <c r="O144" s="715" t="s">
        <v>130</v>
      </c>
      <c r="P144" s="715"/>
      <c r="Q144" s="715"/>
    </row>
    <row r="145" spans="1:17" s="65" customFormat="1" ht="5.0999999999999996" customHeight="1" thickBot="1" x14ac:dyDescent="0.3">
      <c r="A145" s="96"/>
      <c r="B145" s="673"/>
      <c r="C145" s="298"/>
      <c r="D145" s="673"/>
      <c r="E145" s="61"/>
      <c r="F145" s="732"/>
      <c r="G145" s="732"/>
      <c r="H145" s="732"/>
      <c r="I145" s="61"/>
      <c r="K145" s="673"/>
      <c r="L145" s="298"/>
      <c r="M145" s="673"/>
      <c r="N145" s="61"/>
      <c r="O145" s="732"/>
      <c r="P145" s="732"/>
      <c r="Q145" s="732"/>
    </row>
    <row r="146" spans="1:17" ht="20.100000000000001" customHeight="1" thickBot="1" x14ac:dyDescent="0.3">
      <c r="A146" s="96"/>
      <c r="B146" s="670" t="s">
        <v>443</v>
      </c>
      <c r="C146" s="153"/>
      <c r="D146" s="551">
        <f>'City 9'!$D$227</f>
        <v>0</v>
      </c>
      <c r="E146" s="161"/>
      <c r="F146" s="716" t="str">
        <f>'City 9'!$B$184</f>
        <v/>
      </c>
      <c r="G146" s="717"/>
      <c r="H146" s="718"/>
      <c r="K146" s="670" t="s">
        <v>443</v>
      </c>
      <c r="L146" s="153"/>
      <c r="M146" s="551">
        <f>'City 10'!$D$227</f>
        <v>0</v>
      </c>
      <c r="N146" s="161"/>
      <c r="O146" s="716" t="str">
        <f>'City 10'!$B$184</f>
        <v/>
      </c>
      <c r="P146" s="717"/>
      <c r="Q146" s="718"/>
    </row>
    <row r="147" spans="1:17" s="65" customFormat="1" ht="5.0999999999999996" customHeight="1" thickBot="1" x14ac:dyDescent="0.3">
      <c r="A147" s="96"/>
      <c r="B147" s="153"/>
      <c r="C147" s="153"/>
      <c r="D147" s="230"/>
      <c r="E147" s="63"/>
      <c r="F147" s="733"/>
      <c r="G147" s="733"/>
      <c r="H147" s="733"/>
      <c r="I147" s="61"/>
      <c r="K147" s="153"/>
      <c r="L147" s="153"/>
      <c r="M147" s="230"/>
      <c r="N147" s="63"/>
      <c r="O147" s="733"/>
      <c r="P147" s="733"/>
      <c r="Q147" s="733"/>
    </row>
    <row r="148" spans="1:17" ht="20.100000000000001" customHeight="1" thickBot="1" x14ac:dyDescent="0.3">
      <c r="A148" s="96"/>
      <c r="B148" s="670" t="s">
        <v>175</v>
      </c>
      <c r="C148" s="153"/>
      <c r="D148" s="551">
        <f>'City 9'!$D$228</f>
        <v>0</v>
      </c>
      <c r="E148" s="673"/>
      <c r="F148" s="716" t="str">
        <f>'City 9'!$B$185</f>
        <v/>
      </c>
      <c r="G148" s="717"/>
      <c r="H148" s="718"/>
      <c r="K148" s="670" t="s">
        <v>175</v>
      </c>
      <c r="L148" s="153"/>
      <c r="M148" s="551">
        <f>'City 10'!$D$228</f>
        <v>0</v>
      </c>
      <c r="N148" s="673"/>
      <c r="O148" s="716" t="str">
        <f>'City 10'!$B$185</f>
        <v/>
      </c>
      <c r="P148" s="717"/>
      <c r="Q148" s="718"/>
    </row>
    <row r="149" spans="1:17" s="65" customFormat="1" ht="5.0999999999999996" customHeight="1" thickBot="1" x14ac:dyDescent="0.3">
      <c r="A149" s="96"/>
      <c r="B149" s="153"/>
      <c r="C149" s="153"/>
      <c r="D149" s="230"/>
      <c r="E149" s="673"/>
      <c r="F149" s="717"/>
      <c r="G149" s="717"/>
      <c r="H149" s="717"/>
      <c r="I149" s="61"/>
      <c r="K149" s="153"/>
      <c r="L149" s="153"/>
      <c r="M149" s="230"/>
      <c r="N149" s="673"/>
      <c r="O149" s="717"/>
      <c r="P149" s="717"/>
      <c r="Q149" s="717"/>
    </row>
    <row r="150" spans="1:17" ht="20.100000000000001" customHeight="1" thickBot="1" x14ac:dyDescent="0.3">
      <c r="A150" s="96"/>
      <c r="B150" s="670" t="s">
        <v>442</v>
      </c>
      <c r="C150" s="153"/>
      <c r="D150" s="551">
        <f>'City 9'!$D$229</f>
        <v>0</v>
      </c>
      <c r="E150" s="673"/>
      <c r="F150" s="716" t="str">
        <f>'City 9'!$B$186</f>
        <v/>
      </c>
      <c r="G150" s="717"/>
      <c r="H150" s="718"/>
      <c r="K150" s="670" t="s">
        <v>442</v>
      </c>
      <c r="L150" s="153"/>
      <c r="M150" s="551">
        <f>'City 10'!$D$229</f>
        <v>0</v>
      </c>
      <c r="N150" s="673"/>
      <c r="O150" s="716" t="str">
        <f>'City 10'!$B$186</f>
        <v/>
      </c>
      <c r="P150" s="717"/>
      <c r="Q150" s="718"/>
    </row>
    <row r="151" spans="1:17" s="65" customFormat="1" ht="5.0999999999999996" customHeight="1" x14ac:dyDescent="0.25">
      <c r="A151" s="96"/>
      <c r="B151" s="61"/>
      <c r="C151" s="61"/>
      <c r="D151" s="61"/>
      <c r="E151" s="673"/>
      <c r="F151" s="61"/>
      <c r="G151" s="61"/>
      <c r="H151" s="61"/>
      <c r="I151" s="61"/>
      <c r="K151" s="61"/>
      <c r="L151" s="61"/>
      <c r="M151" s="61"/>
      <c r="N151" s="673"/>
      <c r="O151" s="61"/>
      <c r="P151" s="61"/>
      <c r="Q151" s="61"/>
    </row>
    <row r="152" spans="1:17" ht="20.100000000000001" customHeight="1" x14ac:dyDescent="0.25">
      <c r="A152" s="96"/>
      <c r="B152" s="667" t="s">
        <v>91</v>
      </c>
      <c r="C152" s="668"/>
      <c r="D152" s="668"/>
      <c r="E152" s="668"/>
      <c r="F152" s="668"/>
      <c r="G152" s="668"/>
      <c r="H152" s="301"/>
      <c r="K152" s="667" t="s">
        <v>91</v>
      </c>
      <c r="L152" s="668"/>
      <c r="M152" s="668"/>
      <c r="N152" s="668"/>
      <c r="O152" s="668"/>
      <c r="P152" s="668"/>
      <c r="Q152" s="301"/>
    </row>
    <row r="153" spans="1:17" ht="5.0999999999999996" customHeight="1" thickBot="1" x14ac:dyDescent="0.3">
      <c r="A153" s="96"/>
      <c r="B153" s="311"/>
      <c r="C153" s="311"/>
      <c r="D153" s="311"/>
      <c r="E153" s="311"/>
      <c r="F153" s="311"/>
      <c r="G153" s="311"/>
      <c r="H153" s="311"/>
      <c r="K153" s="311"/>
      <c r="L153" s="311"/>
      <c r="M153" s="311"/>
      <c r="N153" s="311"/>
      <c r="O153" s="311"/>
      <c r="P153" s="311"/>
      <c r="Q153" s="311"/>
    </row>
    <row r="154" spans="1:17" ht="20.100000000000001" customHeight="1" x14ac:dyDescent="0.25">
      <c r="A154" s="305"/>
      <c r="B154" s="719"/>
      <c r="C154" s="720"/>
      <c r="D154" s="720"/>
      <c r="E154" s="720"/>
      <c r="F154" s="720"/>
      <c r="G154" s="720"/>
      <c r="H154" s="721"/>
      <c r="K154" s="719"/>
      <c r="L154" s="720"/>
      <c r="M154" s="720"/>
      <c r="N154" s="720"/>
      <c r="O154" s="720"/>
      <c r="P154" s="720"/>
      <c r="Q154" s="721"/>
    </row>
    <row r="155" spans="1:17" ht="20.100000000000001" customHeight="1" x14ac:dyDescent="0.25">
      <c r="A155" s="305"/>
      <c r="B155" s="722"/>
      <c r="C155" s="723"/>
      <c r="D155" s="723"/>
      <c r="E155" s="723"/>
      <c r="F155" s="723"/>
      <c r="G155" s="723"/>
      <c r="H155" s="724"/>
      <c r="K155" s="722"/>
      <c r="L155" s="723"/>
      <c r="M155" s="723"/>
      <c r="N155" s="723"/>
      <c r="O155" s="723"/>
      <c r="P155" s="723"/>
      <c r="Q155" s="724"/>
    </row>
    <row r="156" spans="1:17" ht="20.100000000000001" customHeight="1" x14ac:dyDescent="0.25">
      <c r="A156" s="96"/>
      <c r="B156" s="722"/>
      <c r="C156" s="723"/>
      <c r="D156" s="723"/>
      <c r="E156" s="723"/>
      <c r="F156" s="723"/>
      <c r="G156" s="723"/>
      <c r="H156" s="724"/>
      <c r="K156" s="722"/>
      <c r="L156" s="723"/>
      <c r="M156" s="723"/>
      <c r="N156" s="723"/>
      <c r="O156" s="723"/>
      <c r="P156" s="723"/>
      <c r="Q156" s="724"/>
    </row>
    <row r="157" spans="1:17" ht="20.100000000000001" customHeight="1" x14ac:dyDescent="0.25">
      <c r="A157" s="96"/>
      <c r="B157" s="722"/>
      <c r="C157" s="723"/>
      <c r="D157" s="723"/>
      <c r="E157" s="723"/>
      <c r="F157" s="723"/>
      <c r="G157" s="723"/>
      <c r="H157" s="724"/>
      <c r="K157" s="722"/>
      <c r="L157" s="723"/>
      <c r="M157" s="723"/>
      <c r="N157" s="723"/>
      <c r="O157" s="723"/>
      <c r="P157" s="723"/>
      <c r="Q157" s="724"/>
    </row>
    <row r="158" spans="1:17" ht="20.100000000000001" customHeight="1" x14ac:dyDescent="0.25">
      <c r="A158" s="146"/>
      <c r="B158" s="722"/>
      <c r="C158" s="723"/>
      <c r="D158" s="723"/>
      <c r="E158" s="723"/>
      <c r="F158" s="723"/>
      <c r="G158" s="723"/>
      <c r="H158" s="724"/>
      <c r="I158" s="65"/>
      <c r="K158" s="722"/>
      <c r="L158" s="723"/>
      <c r="M158" s="723"/>
      <c r="N158" s="723"/>
      <c r="O158" s="723"/>
      <c r="P158" s="723"/>
      <c r="Q158" s="724"/>
    </row>
    <row r="159" spans="1:17" ht="20.100000000000001" customHeight="1" thickBot="1" x14ac:dyDescent="0.3">
      <c r="A159" s="96"/>
      <c r="B159" s="725"/>
      <c r="C159" s="726"/>
      <c r="D159" s="726"/>
      <c r="E159" s="726"/>
      <c r="F159" s="726"/>
      <c r="G159" s="726"/>
      <c r="H159" s="727"/>
      <c r="K159" s="725"/>
      <c r="L159" s="726"/>
      <c r="M159" s="726"/>
      <c r="N159" s="726"/>
      <c r="O159" s="726"/>
      <c r="P159" s="726"/>
      <c r="Q159" s="727"/>
    </row>
    <row r="160" spans="1:17" ht="5.0999999999999996" customHeight="1" thickBot="1" x14ac:dyDescent="0.3">
      <c r="A160" s="146"/>
      <c r="B160" s="65"/>
      <c r="C160" s="65"/>
      <c r="D160" s="65"/>
      <c r="E160" s="65"/>
      <c r="F160" s="65"/>
      <c r="G160" s="65"/>
      <c r="H160" s="65"/>
      <c r="I160" s="65"/>
    </row>
    <row r="161" spans="1:17" ht="5.0999999999999996" customHeight="1" thickBot="1" x14ac:dyDescent="0.3">
      <c r="A161" s="141"/>
    </row>
    <row r="162" spans="1:17" ht="20.100000000000001" customHeight="1" thickBot="1" x14ac:dyDescent="0.3">
      <c r="A162" s="96"/>
      <c r="B162" s="671" t="s">
        <v>78</v>
      </c>
      <c r="C162" s="62"/>
      <c r="D162" s="728" t="str">
        <f>IF('City 11'!$D$2&lt;&gt;0,'City 11'!$D$2&amp;" - "&amp;'City 11'!$AA$6," ")</f>
        <v xml:space="preserve"> </v>
      </c>
      <c r="E162" s="729"/>
      <c r="F162" s="729"/>
      <c r="G162" s="729"/>
      <c r="H162" s="730"/>
      <c r="K162" s="671" t="s">
        <v>78</v>
      </c>
      <c r="L162" s="62"/>
      <c r="M162" s="728" t="str">
        <f>IF('City 12'!$D$2&lt;&gt;0,'City 12'!$D$2&amp;" - "&amp;'City 12'!$AA$6," ")</f>
        <v xml:space="preserve"> </v>
      </c>
      <c r="N162" s="729"/>
      <c r="O162" s="729"/>
      <c r="P162" s="729"/>
      <c r="Q162" s="730"/>
    </row>
    <row r="163" spans="1:17" ht="5.0999999999999996" customHeight="1" thickBot="1" x14ac:dyDescent="0.3">
      <c r="A163" s="146"/>
      <c r="B163" s="62"/>
      <c r="C163" s="62"/>
      <c r="D163" s="63"/>
      <c r="E163" s="298"/>
      <c r="F163" s="62"/>
      <c r="G163" s="62"/>
      <c r="H163" s="298"/>
      <c r="I163" s="65"/>
      <c r="K163" s="62"/>
      <c r="L163" s="62"/>
      <c r="M163" s="63"/>
      <c r="N163" s="298"/>
      <c r="O163" s="62"/>
      <c r="P163" s="62"/>
      <c r="Q163" s="298"/>
    </row>
    <row r="164" spans="1:17" ht="20.100000000000001" customHeight="1" thickBot="1" x14ac:dyDescent="0.3">
      <c r="A164" s="96"/>
      <c r="B164" s="672" t="s">
        <v>49</v>
      </c>
      <c r="C164" s="669"/>
      <c r="D164" s="192" t="str">
        <f>IF('City 11'!$D$6&lt;&gt;0,'City 11'!$D$6," ")</f>
        <v xml:space="preserve"> </v>
      </c>
      <c r="E164" s="161"/>
      <c r="F164" s="672" t="s">
        <v>46</v>
      </c>
      <c r="G164" s="669"/>
      <c r="H164" s="192" t="str">
        <f>IF('City 11'!$D$4&lt;&gt;0,'City 11'!$D$4," ")</f>
        <v xml:space="preserve"> </v>
      </c>
      <c r="K164" s="672" t="s">
        <v>49</v>
      </c>
      <c r="L164" s="669"/>
      <c r="M164" s="192" t="str">
        <f>IF('City 12'!$D$6&lt;&gt;0,'City 12'!$D$6," ")</f>
        <v xml:space="preserve"> </v>
      </c>
      <c r="N164" s="161"/>
      <c r="O164" s="672" t="s">
        <v>46</v>
      </c>
      <c r="P164" s="669"/>
      <c r="Q164" s="192" t="str">
        <f>IF('City 12'!$D$4&lt;&gt;0,'City 12'!$D$4," ")</f>
        <v xml:space="preserve"> </v>
      </c>
    </row>
    <row r="165" spans="1:17" ht="5.0999999999999996" customHeight="1" thickBot="1" x14ac:dyDescent="0.3">
      <c r="A165" s="146"/>
      <c r="B165" s="62"/>
      <c r="C165" s="62"/>
      <c r="D165" s="67"/>
      <c r="E165" s="67"/>
      <c r="F165" s="298"/>
      <c r="G165" s="298"/>
      <c r="H165" s="298"/>
      <c r="I165" s="65"/>
      <c r="K165" s="62"/>
      <c r="L165" s="62"/>
      <c r="M165" s="67"/>
      <c r="N165" s="67"/>
      <c r="O165" s="298"/>
      <c r="P165" s="298"/>
      <c r="Q165" s="298"/>
    </row>
    <row r="166" spans="1:17" ht="20.100000000000001" customHeight="1" thickBot="1" x14ac:dyDescent="0.3">
      <c r="A166" s="96"/>
      <c r="B166" s="672" t="s">
        <v>50</v>
      </c>
      <c r="C166" s="669"/>
      <c r="D166" s="192" t="str">
        <f>IF('City 11'!$D$8&lt;&gt;0,'City 11'!$D$8," ")</f>
        <v xml:space="preserve"> </v>
      </c>
      <c r="E166" s="161"/>
      <c r="F166" s="672" t="s">
        <v>85</v>
      </c>
      <c r="G166" s="669"/>
      <c r="H166" s="192">
        <f>IF('City 11'!$U$6&lt;&gt;0,'City 11'!$U$6,0)</f>
        <v>0</v>
      </c>
      <c r="K166" s="672" t="s">
        <v>50</v>
      </c>
      <c r="L166" s="669"/>
      <c r="M166" s="192" t="str">
        <f>IF('City 12'!$D$8&lt;&gt;0,'City 12'!$D$8," ")</f>
        <v xml:space="preserve"> </v>
      </c>
      <c r="N166" s="161"/>
      <c r="O166" s="672" t="s">
        <v>85</v>
      </c>
      <c r="P166" s="669"/>
      <c r="Q166" s="192">
        <f>IF('City 12'!$U$6&lt;&gt;0,'City 12'!$U$6,0)</f>
        <v>0</v>
      </c>
    </row>
    <row r="167" spans="1:17" ht="5.0999999999999996" customHeight="1" thickBot="1" x14ac:dyDescent="0.3">
      <c r="A167" s="146"/>
      <c r="B167" s="62"/>
      <c r="C167" s="62"/>
      <c r="D167" s="67"/>
      <c r="E167" s="67"/>
      <c r="F167" s="298"/>
      <c r="G167" s="298"/>
      <c r="H167" s="298"/>
      <c r="I167" s="65"/>
      <c r="K167" s="62"/>
      <c r="L167" s="62"/>
      <c r="M167" s="67"/>
      <c r="N167" s="67"/>
      <c r="O167" s="298"/>
      <c r="P167" s="298"/>
      <c r="Q167" s="298"/>
    </row>
    <row r="168" spans="1:17" s="65" customFormat="1" ht="20.100000000000001" customHeight="1" thickBot="1" x14ac:dyDescent="0.3">
      <c r="A168" s="96"/>
      <c r="B168" s="672" t="s">
        <v>51</v>
      </c>
      <c r="C168" s="669"/>
      <c r="D168" s="192" t="str">
        <f>IF('City 11'!$D$10&lt;&gt;0,'City 11'!$D$10," ")</f>
        <v xml:space="preserve"> </v>
      </c>
      <c r="E168" s="161"/>
      <c r="F168" s="672" t="s">
        <v>86</v>
      </c>
      <c r="G168" s="669"/>
      <c r="H168" s="192" t="str">
        <f>IF('City 11'!$U$2&lt;&gt;0,'City 11'!$U$2," ")</f>
        <v/>
      </c>
      <c r="I168" s="61"/>
      <c r="K168" s="672" t="s">
        <v>51</v>
      </c>
      <c r="L168" s="669"/>
      <c r="M168" s="192" t="str">
        <f>IF('City 12'!$D$10&lt;&gt;0,'City 12'!$D$10," ")</f>
        <v xml:space="preserve"> </v>
      </c>
      <c r="N168" s="161"/>
      <c r="O168" s="672" t="s">
        <v>86</v>
      </c>
      <c r="P168" s="669"/>
      <c r="Q168" s="192" t="str">
        <f>IF('City 12'!$U$2&lt;&gt;0,'City 12'!$U$2," ")</f>
        <v/>
      </c>
    </row>
    <row r="169" spans="1:17" ht="5.0999999999999996" customHeight="1" thickBot="1" x14ac:dyDescent="0.3">
      <c r="A169" s="146"/>
      <c r="B169" s="669"/>
      <c r="C169" s="669"/>
      <c r="D169" s="67"/>
      <c r="E169" s="67"/>
      <c r="F169" s="65"/>
      <c r="G169" s="65"/>
      <c r="H169" s="65"/>
      <c r="I169" s="65"/>
      <c r="K169" s="669"/>
      <c r="L169" s="669"/>
      <c r="M169" s="67"/>
      <c r="N169" s="67"/>
      <c r="O169" s="65"/>
      <c r="P169" s="65"/>
      <c r="Q169" s="65"/>
    </row>
    <row r="170" spans="1:17" s="65" customFormat="1" ht="20.100000000000001" customHeight="1" thickBot="1" x14ac:dyDescent="0.3">
      <c r="A170" s="96"/>
      <c r="B170" s="306" t="s">
        <v>640</v>
      </c>
      <c r="C170" s="61"/>
      <c r="D170" s="258">
        <f>'City 11'!$M$4</f>
        <v>0</v>
      </c>
      <c r="E170" s="161"/>
      <c r="F170" s="306" t="s">
        <v>641</v>
      </c>
      <c r="G170" s="61"/>
      <c r="H170" s="258">
        <f>'City 11'!$M$6</f>
        <v>0</v>
      </c>
      <c r="I170" s="61"/>
      <c r="K170" s="306" t="s">
        <v>640</v>
      </c>
      <c r="L170" s="61"/>
      <c r="M170" s="258">
        <f>'City 12'!$M$4</f>
        <v>0</v>
      </c>
      <c r="N170" s="161"/>
      <c r="O170" s="306" t="s">
        <v>641</v>
      </c>
      <c r="P170" s="61"/>
      <c r="Q170" s="258">
        <f>'City 12'!$M$6</f>
        <v>0</v>
      </c>
    </row>
    <row r="171" spans="1:17" ht="5.0999999999999996" customHeight="1" thickBot="1" x14ac:dyDescent="0.3">
      <c r="A171" s="146"/>
      <c r="B171" s="673"/>
      <c r="C171" s="298"/>
      <c r="D171" s="673"/>
      <c r="E171" s="67"/>
      <c r="I171" s="65"/>
      <c r="K171" s="673"/>
      <c r="L171" s="298"/>
      <c r="M171" s="673"/>
      <c r="N171" s="67"/>
    </row>
    <row r="172" spans="1:17" s="65" customFormat="1" ht="20.100000000000001" customHeight="1" thickBot="1" x14ac:dyDescent="0.3">
      <c r="A172" s="96"/>
      <c r="B172" s="306" t="s">
        <v>642</v>
      </c>
      <c r="C172" s="61"/>
      <c r="D172" s="258">
        <f>'City 11'!$U$10</f>
        <v>0</v>
      </c>
      <c r="E172" s="61"/>
      <c r="F172" s="306" t="s">
        <v>643</v>
      </c>
      <c r="G172" s="61"/>
      <c r="H172" s="258">
        <f>'City 11'!$M$8</f>
        <v>0</v>
      </c>
      <c r="I172" s="61"/>
      <c r="K172" s="306" t="s">
        <v>642</v>
      </c>
      <c r="L172" s="61"/>
      <c r="M172" s="258">
        <f>'City 12'!$U$10</f>
        <v>0</v>
      </c>
      <c r="N172" s="61"/>
      <c r="O172" s="306" t="s">
        <v>643</v>
      </c>
      <c r="P172" s="61"/>
      <c r="Q172" s="258">
        <f>'City 12'!$M$8</f>
        <v>0</v>
      </c>
    </row>
    <row r="173" spans="1:17" ht="5.0999999999999996" customHeight="1" thickBot="1" x14ac:dyDescent="0.3">
      <c r="A173" s="146"/>
      <c r="B173" s="65"/>
      <c r="C173" s="65"/>
      <c r="D173" s="65"/>
      <c r="E173" s="65"/>
      <c r="F173" s="65"/>
      <c r="G173" s="65"/>
      <c r="H173" s="65"/>
      <c r="I173" s="65"/>
      <c r="K173" s="65"/>
      <c r="L173" s="65"/>
      <c r="M173" s="65"/>
      <c r="N173" s="65"/>
      <c r="O173" s="65"/>
      <c r="P173" s="65"/>
      <c r="Q173" s="65"/>
    </row>
    <row r="174" spans="1:17" s="65" customFormat="1" ht="20.100000000000001" customHeight="1" thickBot="1" x14ac:dyDescent="0.3">
      <c r="A174" s="96"/>
      <c r="B174" s="306" t="s">
        <v>644</v>
      </c>
      <c r="C174" s="61"/>
      <c r="D174" s="258">
        <f>'City 11'!$M$10</f>
        <v>0</v>
      </c>
      <c r="E174" s="61"/>
      <c r="F174" s="306" t="s">
        <v>645</v>
      </c>
      <c r="G174" s="61"/>
      <c r="H174" s="258">
        <f>'City 11'!$U$12</f>
        <v>0</v>
      </c>
      <c r="I174" s="61"/>
      <c r="K174" s="306" t="s">
        <v>644</v>
      </c>
      <c r="L174" s="61"/>
      <c r="M174" s="258">
        <f>'City 12'!$M$10</f>
        <v>0</v>
      </c>
      <c r="N174" s="61"/>
      <c r="O174" s="306" t="s">
        <v>645</v>
      </c>
      <c r="P174" s="61"/>
      <c r="Q174" s="258">
        <f>'City 12'!$U$12</f>
        <v>0</v>
      </c>
    </row>
    <row r="175" spans="1:17" ht="5.0999999999999996" customHeight="1" x14ac:dyDescent="0.25">
      <c r="A175" s="96"/>
    </row>
    <row r="176" spans="1:17" s="65" customFormat="1" ht="20.100000000000001" customHeight="1" x14ac:dyDescent="0.25">
      <c r="A176" s="96"/>
      <c r="B176" s="715" t="s">
        <v>438</v>
      </c>
      <c r="C176" s="715"/>
      <c r="D176" s="731"/>
      <c r="E176" s="61"/>
      <c r="F176" s="715" t="s">
        <v>130</v>
      </c>
      <c r="G176" s="715"/>
      <c r="H176" s="715"/>
      <c r="I176" s="61"/>
      <c r="K176" s="715" t="s">
        <v>438</v>
      </c>
      <c r="L176" s="715"/>
      <c r="M176" s="731"/>
      <c r="N176" s="61"/>
      <c r="O176" s="715" t="s">
        <v>130</v>
      </c>
      <c r="P176" s="715"/>
      <c r="Q176" s="715"/>
    </row>
    <row r="177" spans="1:17" ht="5.0999999999999996" customHeight="1" thickBot="1" x14ac:dyDescent="0.3">
      <c r="A177" s="96"/>
      <c r="B177" s="673"/>
      <c r="C177" s="298"/>
      <c r="D177" s="673"/>
      <c r="F177" s="732"/>
      <c r="G177" s="732"/>
      <c r="H177" s="732"/>
      <c r="K177" s="673"/>
      <c r="L177" s="298"/>
      <c r="M177" s="673"/>
      <c r="O177" s="732"/>
      <c r="P177" s="732"/>
      <c r="Q177" s="732"/>
    </row>
    <row r="178" spans="1:17" s="65" customFormat="1" ht="20.100000000000001" customHeight="1" thickBot="1" x14ac:dyDescent="0.3">
      <c r="A178" s="96"/>
      <c r="B178" s="670" t="s">
        <v>443</v>
      </c>
      <c r="C178" s="153"/>
      <c r="D178" s="551">
        <f>'City 11'!$D$227</f>
        <v>0</v>
      </c>
      <c r="E178" s="161"/>
      <c r="F178" s="716" t="str">
        <f>'City 11'!$B$184</f>
        <v/>
      </c>
      <c r="G178" s="717"/>
      <c r="H178" s="718"/>
      <c r="I178" s="61"/>
      <c r="K178" s="670" t="s">
        <v>443</v>
      </c>
      <c r="L178" s="153"/>
      <c r="M178" s="551">
        <f>'City 12'!$D$227</f>
        <v>0</v>
      </c>
      <c r="N178" s="161"/>
      <c r="O178" s="716" t="str">
        <f>'City 12'!$B$184</f>
        <v/>
      </c>
      <c r="P178" s="717"/>
      <c r="Q178" s="718"/>
    </row>
    <row r="179" spans="1:17" ht="5.0999999999999996" customHeight="1" thickBot="1" x14ac:dyDescent="0.3">
      <c r="A179" s="96"/>
      <c r="B179" s="153"/>
      <c r="C179" s="153"/>
      <c r="D179" s="230"/>
      <c r="E179" s="63"/>
      <c r="F179" s="733"/>
      <c r="G179" s="733"/>
      <c r="H179" s="733"/>
      <c r="K179" s="153"/>
      <c r="L179" s="153"/>
      <c r="M179" s="230"/>
      <c r="N179" s="63"/>
      <c r="O179" s="733"/>
      <c r="P179" s="733"/>
      <c r="Q179" s="733"/>
    </row>
    <row r="180" spans="1:17" ht="20.100000000000001" customHeight="1" thickBot="1" x14ac:dyDescent="0.3">
      <c r="A180" s="96"/>
      <c r="B180" s="670" t="s">
        <v>175</v>
      </c>
      <c r="C180" s="153"/>
      <c r="D180" s="551">
        <f>'City 11'!$D$228</f>
        <v>0</v>
      </c>
      <c r="E180" s="673"/>
      <c r="F180" s="716" t="str">
        <f>'City 11'!$B$185</f>
        <v/>
      </c>
      <c r="G180" s="717"/>
      <c r="H180" s="718"/>
      <c r="K180" s="670" t="s">
        <v>175</v>
      </c>
      <c r="L180" s="153"/>
      <c r="M180" s="551">
        <f>'City 12'!$D$228</f>
        <v>0</v>
      </c>
      <c r="N180" s="673"/>
      <c r="O180" s="716" t="str">
        <f>'City 12'!$B$185</f>
        <v/>
      </c>
      <c r="P180" s="717"/>
      <c r="Q180" s="718"/>
    </row>
    <row r="181" spans="1:17" ht="5.0999999999999996" customHeight="1" thickBot="1" x14ac:dyDescent="0.3">
      <c r="A181" s="96"/>
      <c r="B181" s="153"/>
      <c r="C181" s="153"/>
      <c r="D181" s="230"/>
      <c r="E181" s="673"/>
      <c r="F181" s="717"/>
      <c r="G181" s="717"/>
      <c r="H181" s="717"/>
      <c r="K181" s="153"/>
      <c r="L181" s="153"/>
      <c r="M181" s="230"/>
      <c r="N181" s="673"/>
      <c r="O181" s="717"/>
      <c r="P181" s="717"/>
      <c r="Q181" s="717"/>
    </row>
    <row r="182" spans="1:17" ht="20.100000000000001" customHeight="1" thickBot="1" x14ac:dyDescent="0.3">
      <c r="A182" s="96"/>
      <c r="B182" s="670" t="s">
        <v>442</v>
      </c>
      <c r="C182" s="153"/>
      <c r="D182" s="551">
        <f>'City 11'!$D$229</f>
        <v>0</v>
      </c>
      <c r="E182" s="673"/>
      <c r="F182" s="716" t="str">
        <f>'City 11'!$B$186</f>
        <v/>
      </c>
      <c r="G182" s="717"/>
      <c r="H182" s="718"/>
      <c r="K182" s="670" t="s">
        <v>442</v>
      </c>
      <c r="L182" s="153"/>
      <c r="M182" s="551">
        <f>'City 12'!$D$229</f>
        <v>0</v>
      </c>
      <c r="N182" s="673"/>
      <c r="O182" s="716" t="str">
        <f>'City 12'!$B$186</f>
        <v/>
      </c>
      <c r="P182" s="717"/>
      <c r="Q182" s="718"/>
    </row>
    <row r="183" spans="1:17" ht="5.0999999999999996" customHeight="1" x14ac:dyDescent="0.25">
      <c r="A183" s="96"/>
      <c r="E183" s="673"/>
      <c r="N183" s="673"/>
    </row>
    <row r="184" spans="1:17" ht="20.100000000000001" customHeight="1" x14ac:dyDescent="0.25">
      <c r="A184" s="96"/>
      <c r="B184" s="667" t="s">
        <v>91</v>
      </c>
      <c r="C184" s="668"/>
      <c r="D184" s="668"/>
      <c r="E184" s="668"/>
      <c r="F184" s="668"/>
      <c r="G184" s="668"/>
      <c r="H184" s="301"/>
      <c r="K184" s="667" t="s">
        <v>91</v>
      </c>
      <c r="L184" s="668"/>
      <c r="M184" s="668"/>
      <c r="N184" s="668"/>
      <c r="O184" s="668"/>
      <c r="P184" s="668"/>
      <c r="Q184" s="301"/>
    </row>
    <row r="185" spans="1:17" ht="5.0999999999999996" customHeight="1" thickBot="1" x14ac:dyDescent="0.3">
      <c r="A185" s="96"/>
      <c r="B185" s="311"/>
      <c r="C185" s="311"/>
      <c r="D185" s="311"/>
      <c r="E185" s="311"/>
      <c r="F185" s="311"/>
      <c r="G185" s="311"/>
      <c r="H185" s="311"/>
      <c r="K185" s="311"/>
      <c r="L185" s="311"/>
      <c r="M185" s="311"/>
      <c r="N185" s="311"/>
      <c r="O185" s="311"/>
      <c r="P185" s="311"/>
      <c r="Q185" s="311"/>
    </row>
    <row r="186" spans="1:17" ht="20.100000000000001" customHeight="1" x14ac:dyDescent="0.25">
      <c r="A186" s="305"/>
      <c r="B186" s="719"/>
      <c r="C186" s="720"/>
      <c r="D186" s="720"/>
      <c r="E186" s="720"/>
      <c r="F186" s="720"/>
      <c r="G186" s="720"/>
      <c r="H186" s="721"/>
      <c r="K186" s="719"/>
      <c r="L186" s="720"/>
      <c r="M186" s="720"/>
      <c r="N186" s="720"/>
      <c r="O186" s="720"/>
      <c r="P186" s="720"/>
      <c r="Q186" s="721"/>
    </row>
    <row r="187" spans="1:17" ht="20.100000000000001" customHeight="1" x14ac:dyDescent="0.25">
      <c r="A187" s="305"/>
      <c r="B187" s="722"/>
      <c r="C187" s="723"/>
      <c r="D187" s="723"/>
      <c r="E187" s="723"/>
      <c r="F187" s="723"/>
      <c r="G187" s="723"/>
      <c r="H187" s="724"/>
      <c r="K187" s="722"/>
      <c r="L187" s="723"/>
      <c r="M187" s="723"/>
      <c r="N187" s="723"/>
      <c r="O187" s="723"/>
      <c r="P187" s="723"/>
      <c r="Q187" s="724"/>
    </row>
    <row r="188" spans="1:17" ht="20.100000000000001" customHeight="1" x14ac:dyDescent="0.25">
      <c r="A188" s="96"/>
      <c r="B188" s="722"/>
      <c r="C188" s="723"/>
      <c r="D188" s="723"/>
      <c r="E188" s="723"/>
      <c r="F188" s="723"/>
      <c r="G188" s="723"/>
      <c r="H188" s="724"/>
      <c r="K188" s="722"/>
      <c r="L188" s="723"/>
      <c r="M188" s="723"/>
      <c r="N188" s="723"/>
      <c r="O188" s="723"/>
      <c r="P188" s="723"/>
      <c r="Q188" s="724"/>
    </row>
    <row r="189" spans="1:17" ht="20.100000000000001" customHeight="1" x14ac:dyDescent="0.25">
      <c r="A189" s="96"/>
      <c r="B189" s="722"/>
      <c r="C189" s="723"/>
      <c r="D189" s="723"/>
      <c r="E189" s="723"/>
      <c r="F189" s="723"/>
      <c r="G189" s="723"/>
      <c r="H189" s="724"/>
      <c r="K189" s="722"/>
      <c r="L189" s="723"/>
      <c r="M189" s="723"/>
      <c r="N189" s="723"/>
      <c r="O189" s="723"/>
      <c r="P189" s="723"/>
      <c r="Q189" s="724"/>
    </row>
    <row r="190" spans="1:17" ht="20.100000000000001" customHeight="1" x14ac:dyDescent="0.25">
      <c r="A190" s="146"/>
      <c r="B190" s="722"/>
      <c r="C190" s="723"/>
      <c r="D190" s="723"/>
      <c r="E190" s="723"/>
      <c r="F190" s="723"/>
      <c r="G190" s="723"/>
      <c r="H190" s="724"/>
      <c r="I190" s="65"/>
      <c r="K190" s="722"/>
      <c r="L190" s="723"/>
      <c r="M190" s="723"/>
      <c r="N190" s="723"/>
      <c r="O190" s="723"/>
      <c r="P190" s="723"/>
      <c r="Q190" s="724"/>
    </row>
    <row r="191" spans="1:17" ht="20.100000000000001" customHeight="1" thickBot="1" x14ac:dyDescent="0.3">
      <c r="A191" s="96"/>
      <c r="B191" s="725"/>
      <c r="C191" s="726"/>
      <c r="D191" s="726"/>
      <c r="E191" s="726"/>
      <c r="F191" s="726"/>
      <c r="G191" s="726"/>
      <c r="H191" s="727"/>
      <c r="K191" s="725"/>
      <c r="L191" s="726"/>
      <c r="M191" s="726"/>
      <c r="N191" s="726"/>
      <c r="O191" s="726"/>
      <c r="P191" s="726"/>
      <c r="Q191" s="727"/>
    </row>
    <row r="192" spans="1:17" ht="5.0999999999999996" customHeight="1" thickBot="1" x14ac:dyDescent="0.3">
      <c r="A192" s="146"/>
      <c r="B192" s="65"/>
      <c r="C192" s="65"/>
      <c r="D192" s="65"/>
      <c r="E192" s="65"/>
      <c r="F192" s="65"/>
      <c r="G192" s="65"/>
      <c r="H192" s="65"/>
      <c r="I192" s="65"/>
    </row>
    <row r="193" spans="1:17" ht="5.0999999999999996" customHeight="1" thickBot="1" x14ac:dyDescent="0.3">
      <c r="A193" s="141"/>
    </row>
    <row r="194" spans="1:17" ht="20.100000000000001" customHeight="1" thickBot="1" x14ac:dyDescent="0.3">
      <c r="A194" s="96"/>
      <c r="B194" s="671" t="s">
        <v>78</v>
      </c>
      <c r="C194" s="62"/>
      <c r="D194" s="728" t="str">
        <f>IF('City 13'!$D$2&lt;&gt;0,'City 13'!$D$2&amp;" - "&amp;'City 13'!$AA$6," ")</f>
        <v xml:space="preserve"> </v>
      </c>
      <c r="E194" s="729"/>
      <c r="F194" s="729"/>
      <c r="G194" s="729"/>
      <c r="H194" s="730"/>
      <c r="K194" s="671" t="s">
        <v>78</v>
      </c>
      <c r="L194" s="62"/>
      <c r="M194" s="728" t="str">
        <f>IF('City 14'!$D$2&lt;&gt;0,'City 14'!$D$2&amp;" - "&amp;'City 14'!$AA$6," ")</f>
        <v xml:space="preserve"> </v>
      </c>
      <c r="N194" s="729"/>
      <c r="O194" s="729"/>
      <c r="P194" s="729"/>
      <c r="Q194" s="730"/>
    </row>
    <row r="195" spans="1:17" s="65" customFormat="1" ht="5.0999999999999996" customHeight="1" thickBot="1" x14ac:dyDescent="0.3">
      <c r="A195" s="146"/>
      <c r="B195" s="62"/>
      <c r="C195" s="62"/>
      <c r="D195" s="63"/>
      <c r="E195" s="298"/>
      <c r="F195" s="62"/>
      <c r="G195" s="62"/>
      <c r="H195" s="298"/>
      <c r="K195" s="62"/>
      <c r="L195" s="62"/>
      <c r="M195" s="63"/>
      <c r="N195" s="298"/>
      <c r="O195" s="62"/>
      <c r="P195" s="62"/>
      <c r="Q195" s="298"/>
    </row>
    <row r="196" spans="1:17" ht="20.100000000000001" customHeight="1" thickBot="1" x14ac:dyDescent="0.3">
      <c r="A196" s="96"/>
      <c r="B196" s="672" t="s">
        <v>49</v>
      </c>
      <c r="C196" s="669"/>
      <c r="D196" s="192" t="str">
        <f>IF('City 13'!$D$6&lt;&gt;0,'City 13'!$D$6," ")</f>
        <v xml:space="preserve"> </v>
      </c>
      <c r="E196" s="161"/>
      <c r="F196" s="672" t="s">
        <v>46</v>
      </c>
      <c r="G196" s="669"/>
      <c r="H196" s="192" t="str">
        <f>IF('City 13'!$D$4&lt;&gt;0,'City 13'!$D$4," ")</f>
        <v xml:space="preserve"> </v>
      </c>
      <c r="K196" s="672" t="s">
        <v>49</v>
      </c>
      <c r="L196" s="669"/>
      <c r="M196" s="192" t="str">
        <f>IF('City 14'!$D$6&lt;&gt;0,'City 14'!$D$6," ")</f>
        <v xml:space="preserve"> </v>
      </c>
      <c r="N196" s="161"/>
      <c r="O196" s="672" t="s">
        <v>46</v>
      </c>
      <c r="P196" s="669"/>
      <c r="Q196" s="192" t="str">
        <f>IF('City 14'!$D$4&lt;&gt;0,'City 14'!$D$4," ")</f>
        <v xml:space="preserve"> </v>
      </c>
    </row>
    <row r="197" spans="1:17" s="65" customFormat="1" ht="5.0999999999999996" customHeight="1" thickBot="1" x14ac:dyDescent="0.3">
      <c r="A197" s="146"/>
      <c r="B197" s="62"/>
      <c r="C197" s="62"/>
      <c r="D197" s="67"/>
      <c r="E197" s="67"/>
      <c r="F197" s="298"/>
      <c r="G197" s="298"/>
      <c r="H197" s="298"/>
      <c r="K197" s="62"/>
      <c r="L197" s="62"/>
      <c r="M197" s="67"/>
      <c r="N197" s="67"/>
      <c r="O197" s="298"/>
      <c r="P197" s="298"/>
      <c r="Q197" s="298"/>
    </row>
    <row r="198" spans="1:17" ht="20.100000000000001" customHeight="1" thickBot="1" x14ac:dyDescent="0.3">
      <c r="A198" s="96"/>
      <c r="B198" s="672" t="s">
        <v>50</v>
      </c>
      <c r="C198" s="669"/>
      <c r="D198" s="192" t="str">
        <f>IF('City 13'!$D$8&lt;&gt;0,'City 13'!$D$8," ")</f>
        <v xml:space="preserve"> </v>
      </c>
      <c r="E198" s="161"/>
      <c r="F198" s="672" t="s">
        <v>85</v>
      </c>
      <c r="G198" s="669"/>
      <c r="H198" s="192">
        <f>IF('City 13'!$U$6&lt;&gt;0,'City 13'!$U$6,0)</f>
        <v>0</v>
      </c>
      <c r="K198" s="672" t="s">
        <v>50</v>
      </c>
      <c r="L198" s="669"/>
      <c r="M198" s="192" t="str">
        <f>IF('City 14'!$D$8&lt;&gt;0,'City 14'!$D$8," ")</f>
        <v xml:space="preserve"> </v>
      </c>
      <c r="N198" s="161"/>
      <c r="O198" s="672" t="s">
        <v>85</v>
      </c>
      <c r="P198" s="669"/>
      <c r="Q198" s="192">
        <f>IF('City 14'!$U$6&lt;&gt;0,'City 14'!$U$6,0)</f>
        <v>0</v>
      </c>
    </row>
    <row r="199" spans="1:17" s="65" customFormat="1" ht="5.0999999999999996" customHeight="1" thickBot="1" x14ac:dyDescent="0.3">
      <c r="A199" s="146"/>
      <c r="B199" s="62"/>
      <c r="C199" s="62"/>
      <c r="D199" s="67"/>
      <c r="E199" s="67"/>
      <c r="F199" s="298"/>
      <c r="G199" s="298"/>
      <c r="H199" s="298"/>
      <c r="K199" s="62"/>
      <c r="L199" s="62"/>
      <c r="M199" s="67"/>
      <c r="N199" s="67"/>
      <c r="O199" s="298"/>
      <c r="P199" s="298"/>
      <c r="Q199" s="298"/>
    </row>
    <row r="200" spans="1:17" ht="20.100000000000001" customHeight="1" thickBot="1" x14ac:dyDescent="0.3">
      <c r="A200" s="96"/>
      <c r="B200" s="672" t="s">
        <v>51</v>
      </c>
      <c r="C200" s="669"/>
      <c r="D200" s="192" t="str">
        <f>IF('City 13'!$D$10&lt;&gt;0,'City 13'!$D$10," ")</f>
        <v xml:space="preserve"> </v>
      </c>
      <c r="E200" s="161"/>
      <c r="F200" s="672" t="s">
        <v>86</v>
      </c>
      <c r="G200" s="669"/>
      <c r="H200" s="192" t="str">
        <f>IF('City 13'!$U$2&lt;&gt;0,'City 13'!$U$2," ")</f>
        <v/>
      </c>
      <c r="K200" s="672" t="s">
        <v>51</v>
      </c>
      <c r="L200" s="669"/>
      <c r="M200" s="192" t="str">
        <f>IF('City 14'!$D$10&lt;&gt;0,'City 14'!$D$10," ")</f>
        <v xml:space="preserve"> </v>
      </c>
      <c r="N200" s="161"/>
      <c r="O200" s="672" t="s">
        <v>86</v>
      </c>
      <c r="P200" s="669"/>
      <c r="Q200" s="192" t="str">
        <f>IF('City 14'!$U$2&lt;&gt;0,'City 14'!$U$2," ")</f>
        <v/>
      </c>
    </row>
    <row r="201" spans="1:17" s="65" customFormat="1" ht="5.0999999999999996" customHeight="1" thickBot="1" x14ac:dyDescent="0.3">
      <c r="A201" s="146"/>
      <c r="B201" s="669"/>
      <c r="C201" s="669"/>
      <c r="D201" s="67"/>
      <c r="E201" s="67"/>
      <c r="K201" s="669"/>
      <c r="L201" s="669"/>
      <c r="M201" s="67"/>
      <c r="N201" s="67"/>
    </row>
    <row r="202" spans="1:17" ht="20.100000000000001" customHeight="1" thickBot="1" x14ac:dyDescent="0.3">
      <c r="A202" s="96"/>
      <c r="B202" s="306" t="s">
        <v>640</v>
      </c>
      <c r="D202" s="258">
        <f>'City 13'!$M$4</f>
        <v>0</v>
      </c>
      <c r="E202" s="161"/>
      <c r="F202" s="306" t="s">
        <v>641</v>
      </c>
      <c r="H202" s="258">
        <f>'City 13'!$M$6</f>
        <v>0</v>
      </c>
      <c r="K202" s="306" t="s">
        <v>640</v>
      </c>
      <c r="M202" s="258">
        <f>'City 14'!$M$4</f>
        <v>0</v>
      </c>
      <c r="N202" s="161"/>
      <c r="O202" s="306" t="s">
        <v>641</v>
      </c>
      <c r="Q202" s="258">
        <f>'City 14'!$M$6</f>
        <v>0</v>
      </c>
    </row>
    <row r="203" spans="1:17" s="65" customFormat="1" ht="5.0999999999999996" customHeight="1" thickBot="1" x14ac:dyDescent="0.3">
      <c r="A203" s="146"/>
      <c r="B203" s="673"/>
      <c r="C203" s="298"/>
      <c r="D203" s="673"/>
      <c r="E203" s="67"/>
      <c r="F203" s="61"/>
      <c r="G203" s="61"/>
      <c r="H203" s="61"/>
      <c r="K203" s="673"/>
      <c r="L203" s="298"/>
      <c r="M203" s="673"/>
      <c r="N203" s="67"/>
      <c r="O203" s="61"/>
      <c r="P203" s="61"/>
      <c r="Q203" s="61"/>
    </row>
    <row r="204" spans="1:17" ht="20.100000000000001" customHeight="1" thickBot="1" x14ac:dyDescent="0.3">
      <c r="A204" s="96"/>
      <c r="B204" s="306" t="s">
        <v>642</v>
      </c>
      <c r="D204" s="258">
        <f>'City 13'!$U$10</f>
        <v>0</v>
      </c>
      <c r="F204" s="306" t="s">
        <v>643</v>
      </c>
      <c r="H204" s="258">
        <f>'City 13'!$M$8</f>
        <v>0</v>
      </c>
      <c r="K204" s="306" t="s">
        <v>642</v>
      </c>
      <c r="M204" s="258">
        <f>'City 14'!$U$10</f>
        <v>0</v>
      </c>
      <c r="O204" s="306" t="s">
        <v>643</v>
      </c>
      <c r="Q204" s="258">
        <f>'City 14'!$M$8</f>
        <v>0</v>
      </c>
    </row>
    <row r="205" spans="1:17" s="65" customFormat="1" ht="5.0999999999999996" customHeight="1" thickBot="1" x14ac:dyDescent="0.3">
      <c r="A205" s="146"/>
    </row>
    <row r="206" spans="1:17" ht="20.100000000000001" customHeight="1" thickBot="1" x14ac:dyDescent="0.3">
      <c r="A206" s="96"/>
      <c r="B206" s="306" t="s">
        <v>644</v>
      </c>
      <c r="D206" s="258">
        <f>'City 13'!$M$10</f>
        <v>0</v>
      </c>
      <c r="F206" s="306" t="s">
        <v>645</v>
      </c>
      <c r="H206" s="258">
        <f>'City 13'!$U$12</f>
        <v>0</v>
      </c>
      <c r="K206" s="306" t="s">
        <v>644</v>
      </c>
      <c r="M206" s="258">
        <f>'City 14'!$M$10</f>
        <v>0</v>
      </c>
      <c r="O206" s="306" t="s">
        <v>645</v>
      </c>
      <c r="Q206" s="258">
        <f>'City 14'!$U$12</f>
        <v>0</v>
      </c>
    </row>
    <row r="207" spans="1:17" ht="5.0999999999999996" customHeight="1" x14ac:dyDescent="0.25">
      <c r="A207" s="96"/>
    </row>
    <row r="208" spans="1:17" ht="20.100000000000001" customHeight="1" x14ac:dyDescent="0.25">
      <c r="A208" s="96"/>
      <c r="B208" s="715" t="s">
        <v>438</v>
      </c>
      <c r="C208" s="715"/>
      <c r="D208" s="731"/>
      <c r="F208" s="715" t="s">
        <v>130</v>
      </c>
      <c r="G208" s="715"/>
      <c r="H208" s="715"/>
      <c r="K208" s="715" t="s">
        <v>438</v>
      </c>
      <c r="L208" s="715"/>
      <c r="M208" s="731"/>
      <c r="O208" s="715" t="s">
        <v>130</v>
      </c>
      <c r="P208" s="715"/>
      <c r="Q208" s="715"/>
    </row>
    <row r="209" spans="1:17" ht="5.0999999999999996" customHeight="1" thickBot="1" x14ac:dyDescent="0.3">
      <c r="A209" s="96"/>
      <c r="B209" s="673"/>
      <c r="C209" s="298"/>
      <c r="D209" s="673"/>
      <c r="F209" s="732"/>
      <c r="G209" s="732"/>
      <c r="H209" s="732"/>
      <c r="K209" s="673"/>
      <c r="L209" s="298"/>
      <c r="M209" s="673"/>
      <c r="O209" s="732"/>
      <c r="P209" s="732"/>
      <c r="Q209" s="732"/>
    </row>
    <row r="210" spans="1:17" ht="20.100000000000001" customHeight="1" thickBot="1" x14ac:dyDescent="0.3">
      <c r="A210" s="96"/>
      <c r="B210" s="670" t="s">
        <v>443</v>
      </c>
      <c r="C210" s="153"/>
      <c r="D210" s="551">
        <f>'City 13'!$D$227</f>
        <v>0</v>
      </c>
      <c r="E210" s="161"/>
      <c r="F210" s="716" t="str">
        <f>'City 13'!$B$184</f>
        <v/>
      </c>
      <c r="G210" s="717"/>
      <c r="H210" s="718"/>
      <c r="K210" s="670" t="s">
        <v>443</v>
      </c>
      <c r="L210" s="153"/>
      <c r="M210" s="551">
        <f>'City 14'!$D$227</f>
        <v>0</v>
      </c>
      <c r="N210" s="161"/>
      <c r="O210" s="716" t="str">
        <f>'City 14'!$B$184</f>
        <v/>
      </c>
      <c r="P210" s="717"/>
      <c r="Q210" s="718"/>
    </row>
    <row r="211" spans="1:17" ht="5.0999999999999996" customHeight="1" thickBot="1" x14ac:dyDescent="0.3">
      <c r="A211" s="96"/>
      <c r="B211" s="153"/>
      <c r="C211" s="153"/>
      <c r="D211" s="230"/>
      <c r="E211" s="63"/>
      <c r="F211" s="733"/>
      <c r="G211" s="733"/>
      <c r="H211" s="733"/>
      <c r="K211" s="153"/>
      <c r="L211" s="153"/>
      <c r="M211" s="230"/>
      <c r="N211" s="63"/>
      <c r="O211" s="733"/>
      <c r="P211" s="733"/>
      <c r="Q211" s="733"/>
    </row>
    <row r="212" spans="1:17" ht="20.100000000000001" customHeight="1" thickBot="1" x14ac:dyDescent="0.3">
      <c r="A212" s="96"/>
      <c r="B212" s="670" t="s">
        <v>175</v>
      </c>
      <c r="C212" s="153"/>
      <c r="D212" s="551">
        <f>'City 13'!$D$228</f>
        <v>0</v>
      </c>
      <c r="E212" s="673"/>
      <c r="F212" s="716" t="str">
        <f>'City 13'!$B$185</f>
        <v/>
      </c>
      <c r="G212" s="717"/>
      <c r="H212" s="718"/>
      <c r="K212" s="670" t="s">
        <v>175</v>
      </c>
      <c r="L212" s="153"/>
      <c r="M212" s="551">
        <f>'City 14'!$D$228</f>
        <v>0</v>
      </c>
      <c r="N212" s="673"/>
      <c r="O212" s="716" t="str">
        <f>'City 14'!$B$185</f>
        <v/>
      </c>
      <c r="P212" s="717"/>
      <c r="Q212" s="718"/>
    </row>
    <row r="213" spans="1:17" ht="5.0999999999999996" customHeight="1" thickBot="1" x14ac:dyDescent="0.3">
      <c r="A213" s="96"/>
      <c r="B213" s="153"/>
      <c r="C213" s="153"/>
      <c r="D213" s="230"/>
      <c r="E213" s="673"/>
      <c r="F213" s="717"/>
      <c r="G213" s="717"/>
      <c r="H213" s="717"/>
      <c r="K213" s="153"/>
      <c r="L213" s="153"/>
      <c r="M213" s="230"/>
      <c r="N213" s="673"/>
      <c r="O213" s="717"/>
      <c r="P213" s="717"/>
      <c r="Q213" s="717"/>
    </row>
    <row r="214" spans="1:17" ht="20.100000000000001" customHeight="1" thickBot="1" x14ac:dyDescent="0.3">
      <c r="A214" s="96"/>
      <c r="B214" s="670" t="s">
        <v>442</v>
      </c>
      <c r="C214" s="153"/>
      <c r="D214" s="551">
        <f>'City 13'!$D$229</f>
        <v>0</v>
      </c>
      <c r="E214" s="673"/>
      <c r="F214" s="716" t="str">
        <f>'City 13'!$B$186</f>
        <v/>
      </c>
      <c r="G214" s="717"/>
      <c r="H214" s="718"/>
      <c r="K214" s="670" t="s">
        <v>442</v>
      </c>
      <c r="L214" s="153"/>
      <c r="M214" s="551">
        <f>'City 14'!$D$229</f>
        <v>0</v>
      </c>
      <c r="N214" s="673"/>
      <c r="O214" s="716" t="str">
        <f>'City 14'!$B$186</f>
        <v/>
      </c>
      <c r="P214" s="717"/>
      <c r="Q214" s="718"/>
    </row>
    <row r="215" spans="1:17" ht="5.0999999999999996" customHeight="1" x14ac:dyDescent="0.25">
      <c r="A215" s="96"/>
      <c r="E215" s="673"/>
      <c r="N215" s="673"/>
    </row>
    <row r="216" spans="1:17" ht="20.100000000000001" customHeight="1" x14ac:dyDescent="0.25">
      <c r="A216" s="96"/>
      <c r="B216" s="667" t="s">
        <v>91</v>
      </c>
      <c r="C216" s="668"/>
      <c r="D216" s="668"/>
      <c r="E216" s="668"/>
      <c r="F216" s="668"/>
      <c r="G216" s="668"/>
      <c r="H216" s="301"/>
      <c r="K216" s="667" t="s">
        <v>91</v>
      </c>
      <c r="L216" s="668"/>
      <c r="M216" s="668"/>
      <c r="N216" s="668"/>
      <c r="O216" s="668"/>
      <c r="P216" s="668"/>
      <c r="Q216" s="301"/>
    </row>
    <row r="217" spans="1:17" ht="5.0999999999999996" customHeight="1" thickBot="1" x14ac:dyDescent="0.3">
      <c r="A217" s="96"/>
      <c r="B217" s="311"/>
      <c r="C217" s="311"/>
      <c r="D217" s="311"/>
      <c r="E217" s="311"/>
      <c r="F217" s="311"/>
      <c r="G217" s="311"/>
      <c r="H217" s="311"/>
      <c r="K217" s="311"/>
      <c r="L217" s="311"/>
      <c r="M217" s="311"/>
      <c r="N217" s="311"/>
      <c r="O217" s="311"/>
      <c r="P217" s="311"/>
      <c r="Q217" s="311"/>
    </row>
    <row r="218" spans="1:17" ht="20.100000000000001" customHeight="1" x14ac:dyDescent="0.25">
      <c r="A218" s="305"/>
      <c r="B218" s="719"/>
      <c r="C218" s="720"/>
      <c r="D218" s="720"/>
      <c r="E218" s="720"/>
      <c r="F218" s="720"/>
      <c r="G218" s="720"/>
      <c r="H218" s="721"/>
      <c r="K218" s="719"/>
      <c r="L218" s="720"/>
      <c r="M218" s="720"/>
      <c r="N218" s="720"/>
      <c r="O218" s="720"/>
      <c r="P218" s="720"/>
      <c r="Q218" s="721"/>
    </row>
    <row r="219" spans="1:17" ht="20.100000000000001" customHeight="1" x14ac:dyDescent="0.25">
      <c r="A219" s="305"/>
      <c r="B219" s="722"/>
      <c r="C219" s="723"/>
      <c r="D219" s="723"/>
      <c r="E219" s="723"/>
      <c r="F219" s="723"/>
      <c r="G219" s="723"/>
      <c r="H219" s="724"/>
      <c r="K219" s="722"/>
      <c r="L219" s="723"/>
      <c r="M219" s="723"/>
      <c r="N219" s="723"/>
      <c r="O219" s="723"/>
      <c r="P219" s="723"/>
      <c r="Q219" s="724"/>
    </row>
    <row r="220" spans="1:17" ht="20.100000000000001" customHeight="1" x14ac:dyDescent="0.25">
      <c r="A220" s="96"/>
      <c r="B220" s="722"/>
      <c r="C220" s="723"/>
      <c r="D220" s="723"/>
      <c r="E220" s="723"/>
      <c r="F220" s="723"/>
      <c r="G220" s="723"/>
      <c r="H220" s="724"/>
      <c r="K220" s="722"/>
      <c r="L220" s="723"/>
      <c r="M220" s="723"/>
      <c r="N220" s="723"/>
      <c r="O220" s="723"/>
      <c r="P220" s="723"/>
      <c r="Q220" s="724"/>
    </row>
    <row r="221" spans="1:17" ht="20.100000000000001" customHeight="1" x14ac:dyDescent="0.25">
      <c r="A221" s="96"/>
      <c r="B221" s="722"/>
      <c r="C221" s="723"/>
      <c r="D221" s="723"/>
      <c r="E221" s="723"/>
      <c r="F221" s="723"/>
      <c r="G221" s="723"/>
      <c r="H221" s="724"/>
      <c r="K221" s="722"/>
      <c r="L221" s="723"/>
      <c r="M221" s="723"/>
      <c r="N221" s="723"/>
      <c r="O221" s="723"/>
      <c r="P221" s="723"/>
      <c r="Q221" s="724"/>
    </row>
    <row r="222" spans="1:17" s="65" customFormat="1" ht="20.100000000000001" customHeight="1" x14ac:dyDescent="0.25">
      <c r="A222" s="146"/>
      <c r="B222" s="722"/>
      <c r="C222" s="723"/>
      <c r="D222" s="723"/>
      <c r="E222" s="723"/>
      <c r="F222" s="723"/>
      <c r="G222" s="723"/>
      <c r="H222" s="724"/>
      <c r="K222" s="722"/>
      <c r="L222" s="723"/>
      <c r="M222" s="723"/>
      <c r="N222" s="723"/>
      <c r="O222" s="723"/>
      <c r="P222" s="723"/>
      <c r="Q222" s="724"/>
    </row>
    <row r="223" spans="1:17" ht="20.100000000000001" customHeight="1" thickBot="1" x14ac:dyDescent="0.3">
      <c r="A223" s="96"/>
      <c r="B223" s="725"/>
      <c r="C223" s="726"/>
      <c r="D223" s="726"/>
      <c r="E223" s="726"/>
      <c r="F223" s="726"/>
      <c r="G223" s="726"/>
      <c r="H223" s="727"/>
      <c r="K223" s="725"/>
      <c r="L223" s="726"/>
      <c r="M223" s="726"/>
      <c r="N223" s="726"/>
      <c r="O223" s="726"/>
      <c r="P223" s="726"/>
      <c r="Q223" s="727"/>
    </row>
    <row r="224" spans="1:17" s="65" customFormat="1" ht="5.0999999999999996" customHeight="1" thickBot="1" x14ac:dyDescent="0.3">
      <c r="A224" s="146"/>
    </row>
    <row r="225" spans="1:17" ht="5.0999999999999996" customHeight="1" thickBot="1" x14ac:dyDescent="0.3">
      <c r="A225" s="141"/>
    </row>
    <row r="226" spans="1:17" s="65" customFormat="1" ht="20.100000000000001" customHeight="1" thickBot="1" x14ac:dyDescent="0.3">
      <c r="A226" s="96"/>
      <c r="B226" s="671" t="s">
        <v>78</v>
      </c>
      <c r="C226" s="62"/>
      <c r="D226" s="728" t="str">
        <f>IF('City 15'!$D$2&lt;&gt;0,'City 15'!$D$2&amp;" - "&amp;'City 15'!$AA$6," ")</f>
        <v xml:space="preserve"> </v>
      </c>
      <c r="E226" s="729"/>
      <c r="F226" s="729"/>
      <c r="G226" s="729"/>
      <c r="H226" s="730"/>
      <c r="I226" s="61"/>
      <c r="K226" s="671" t="s">
        <v>78</v>
      </c>
      <c r="L226" s="62"/>
      <c r="M226" s="728" t="str">
        <f>IF('City 16'!$D$2&lt;&gt;0,'City 16'!$D$2&amp;" - "&amp;'City 16'!$AA$6," ")</f>
        <v xml:space="preserve"> </v>
      </c>
      <c r="N226" s="729"/>
      <c r="O226" s="729"/>
      <c r="P226" s="729"/>
      <c r="Q226" s="730"/>
    </row>
    <row r="227" spans="1:17" ht="5.0999999999999996" customHeight="1" thickBot="1" x14ac:dyDescent="0.3">
      <c r="A227" s="146"/>
      <c r="B227" s="62"/>
      <c r="C227" s="62"/>
      <c r="D227" s="63"/>
      <c r="E227" s="298"/>
      <c r="F227" s="62"/>
      <c r="G227" s="62"/>
      <c r="H227" s="298"/>
      <c r="I227" s="65"/>
      <c r="K227" s="62"/>
      <c r="L227" s="62"/>
      <c r="M227" s="63"/>
      <c r="N227" s="298"/>
      <c r="O227" s="62"/>
      <c r="P227" s="62"/>
      <c r="Q227" s="298"/>
    </row>
    <row r="228" spans="1:17" s="65" customFormat="1" ht="20.100000000000001" customHeight="1" thickBot="1" x14ac:dyDescent="0.3">
      <c r="A228" s="96"/>
      <c r="B228" s="672" t="s">
        <v>49</v>
      </c>
      <c r="C228" s="669"/>
      <c r="D228" s="192" t="str">
        <f>IF('City 15'!$D$6&lt;&gt;0,'City 15'!$D$6," ")</f>
        <v xml:space="preserve"> </v>
      </c>
      <c r="E228" s="161"/>
      <c r="F228" s="672" t="s">
        <v>46</v>
      </c>
      <c r="G228" s="669"/>
      <c r="H228" s="192" t="str">
        <f>IF('City 15'!$D$4&lt;&gt;0,'City 15'!$D$4," ")</f>
        <v xml:space="preserve"> </v>
      </c>
      <c r="I228" s="61"/>
      <c r="K228" s="672" t="s">
        <v>49</v>
      </c>
      <c r="L228" s="669"/>
      <c r="M228" s="192" t="str">
        <f>IF('City 16'!$D$6&lt;&gt;0,'City 16'!$D$6," ")</f>
        <v xml:space="preserve"> </v>
      </c>
      <c r="N228" s="161"/>
      <c r="O228" s="672" t="s">
        <v>46</v>
      </c>
      <c r="P228" s="669"/>
      <c r="Q228" s="192" t="str">
        <f>IF('City 16'!$D$4&lt;&gt;0,'City 16'!$D$4," ")</f>
        <v xml:space="preserve"> </v>
      </c>
    </row>
    <row r="229" spans="1:17" ht="5.0999999999999996" customHeight="1" thickBot="1" x14ac:dyDescent="0.3">
      <c r="A229" s="146"/>
      <c r="B229" s="62"/>
      <c r="C229" s="62"/>
      <c r="D229" s="67"/>
      <c r="E229" s="67"/>
      <c r="F229" s="298"/>
      <c r="G229" s="298"/>
      <c r="H229" s="298"/>
      <c r="I229" s="65"/>
      <c r="K229" s="62"/>
      <c r="L229" s="62"/>
      <c r="M229" s="67"/>
      <c r="N229" s="67"/>
      <c r="O229" s="298"/>
      <c r="P229" s="298"/>
      <c r="Q229" s="298"/>
    </row>
    <row r="230" spans="1:17" s="65" customFormat="1" ht="20.100000000000001" customHeight="1" thickBot="1" x14ac:dyDescent="0.3">
      <c r="A230" s="96"/>
      <c r="B230" s="672" t="s">
        <v>50</v>
      </c>
      <c r="C230" s="669"/>
      <c r="D230" s="192" t="str">
        <f>IF('City 15'!$D$8&lt;&gt;0,'City 15'!$D$8," ")</f>
        <v xml:space="preserve"> </v>
      </c>
      <c r="E230" s="161"/>
      <c r="F230" s="672" t="s">
        <v>85</v>
      </c>
      <c r="G230" s="669"/>
      <c r="H230" s="192">
        <f>IF('City 15'!$U$6&lt;&gt;0,'City 15'!$U$6,0)</f>
        <v>0</v>
      </c>
      <c r="I230" s="61"/>
      <c r="K230" s="672" t="s">
        <v>50</v>
      </c>
      <c r="L230" s="669"/>
      <c r="M230" s="192" t="str">
        <f>IF('City 16'!$D$8&lt;&gt;0,'City 16'!$D$8," ")</f>
        <v xml:space="preserve"> </v>
      </c>
      <c r="N230" s="161"/>
      <c r="O230" s="672" t="s">
        <v>85</v>
      </c>
      <c r="P230" s="669"/>
      <c r="Q230" s="192">
        <f>IF('City 16'!$U$6&lt;&gt;0,'City 16'!$U$6,0)</f>
        <v>0</v>
      </c>
    </row>
    <row r="231" spans="1:17" ht="5.0999999999999996" customHeight="1" thickBot="1" x14ac:dyDescent="0.3">
      <c r="A231" s="146"/>
      <c r="B231" s="62"/>
      <c r="C231" s="62"/>
      <c r="D231" s="67"/>
      <c r="E231" s="67"/>
      <c r="F231" s="298"/>
      <c r="G231" s="298"/>
      <c r="H231" s="298"/>
      <c r="I231" s="65"/>
      <c r="K231" s="62"/>
      <c r="L231" s="62"/>
      <c r="M231" s="67"/>
      <c r="N231" s="67"/>
      <c r="O231" s="298"/>
      <c r="P231" s="298"/>
      <c r="Q231" s="298"/>
    </row>
    <row r="232" spans="1:17" s="65" customFormat="1" ht="20.100000000000001" customHeight="1" thickBot="1" x14ac:dyDescent="0.3">
      <c r="A232" s="96"/>
      <c r="B232" s="672" t="s">
        <v>51</v>
      </c>
      <c r="C232" s="669"/>
      <c r="D232" s="192" t="str">
        <f>IF('City 15'!$D$10&lt;&gt;0,'City 15'!$D$10," ")</f>
        <v xml:space="preserve"> </v>
      </c>
      <c r="E232" s="161"/>
      <c r="F232" s="672" t="s">
        <v>86</v>
      </c>
      <c r="G232" s="669"/>
      <c r="H232" s="192" t="str">
        <f>IF('City 15'!$U$2&lt;&gt;0,'City 15'!$U$2," ")</f>
        <v/>
      </c>
      <c r="I232" s="61"/>
      <c r="K232" s="672" t="s">
        <v>51</v>
      </c>
      <c r="L232" s="669"/>
      <c r="M232" s="192" t="str">
        <f>IF('City 16'!$D$10&lt;&gt;0,'City 16'!$D$10," ")</f>
        <v xml:space="preserve"> </v>
      </c>
      <c r="N232" s="161"/>
      <c r="O232" s="672" t="s">
        <v>86</v>
      </c>
      <c r="P232" s="669"/>
      <c r="Q232" s="192" t="str">
        <f>IF('City 16'!$U$2&lt;&gt;0,'City 16'!$U$2," ")</f>
        <v/>
      </c>
    </row>
    <row r="233" spans="1:17" ht="5.0999999999999996" customHeight="1" thickBot="1" x14ac:dyDescent="0.3">
      <c r="A233" s="146"/>
      <c r="B233" s="669"/>
      <c r="C233" s="669"/>
      <c r="D233" s="67"/>
      <c r="E233" s="67"/>
      <c r="F233" s="65"/>
      <c r="G233" s="65"/>
      <c r="H233" s="65"/>
      <c r="I233" s="65"/>
      <c r="K233" s="669"/>
      <c r="L233" s="669"/>
      <c r="M233" s="67"/>
      <c r="N233" s="67"/>
      <c r="O233" s="65"/>
      <c r="P233" s="65"/>
      <c r="Q233" s="65"/>
    </row>
    <row r="234" spans="1:17" ht="20.100000000000001" customHeight="1" thickBot="1" x14ac:dyDescent="0.3">
      <c r="A234" s="96"/>
      <c r="B234" s="306" t="s">
        <v>640</v>
      </c>
      <c r="D234" s="258">
        <f>'City 15'!$M$4</f>
        <v>0</v>
      </c>
      <c r="E234" s="161"/>
      <c r="F234" s="306" t="s">
        <v>641</v>
      </c>
      <c r="H234" s="258">
        <f>'City 15'!$M$6</f>
        <v>0</v>
      </c>
      <c r="K234" s="306" t="s">
        <v>640</v>
      </c>
      <c r="M234" s="258">
        <f>'City 16'!$M$4</f>
        <v>0</v>
      </c>
      <c r="N234" s="161"/>
      <c r="O234" s="306" t="s">
        <v>641</v>
      </c>
      <c r="Q234" s="258">
        <f>'City 16'!$M$6</f>
        <v>0</v>
      </c>
    </row>
    <row r="235" spans="1:17" ht="5.0999999999999996" customHeight="1" thickBot="1" x14ac:dyDescent="0.3">
      <c r="A235" s="146"/>
      <c r="B235" s="673"/>
      <c r="C235" s="298"/>
      <c r="D235" s="673"/>
      <c r="E235" s="67"/>
      <c r="I235" s="65"/>
      <c r="K235" s="673"/>
      <c r="L235" s="298"/>
      <c r="M235" s="673"/>
      <c r="N235" s="67"/>
    </row>
    <row r="236" spans="1:17" ht="20.100000000000001" customHeight="1" thickBot="1" x14ac:dyDescent="0.3">
      <c r="A236" s="96"/>
      <c r="B236" s="306" t="s">
        <v>642</v>
      </c>
      <c r="D236" s="258">
        <f>'City 15'!$U$10</f>
        <v>0</v>
      </c>
      <c r="F236" s="306" t="s">
        <v>643</v>
      </c>
      <c r="H236" s="258">
        <f>'City 15'!$M$8</f>
        <v>0</v>
      </c>
      <c r="K236" s="306" t="s">
        <v>642</v>
      </c>
      <c r="M236" s="258">
        <f>'City 16'!$U$10</f>
        <v>0</v>
      </c>
      <c r="O236" s="306" t="s">
        <v>643</v>
      </c>
      <c r="Q236" s="258">
        <f>'City 16'!$M$8</f>
        <v>0</v>
      </c>
    </row>
    <row r="237" spans="1:17" ht="5.0999999999999996" customHeight="1" thickBot="1" x14ac:dyDescent="0.3">
      <c r="A237" s="146"/>
      <c r="B237" s="65"/>
      <c r="C237" s="65"/>
      <c r="D237" s="65"/>
      <c r="E237" s="65"/>
      <c r="F237" s="65"/>
      <c r="G237" s="65"/>
      <c r="H237" s="65"/>
      <c r="I237" s="65"/>
      <c r="K237" s="65"/>
      <c r="L237" s="65"/>
      <c r="M237" s="65"/>
      <c r="N237" s="65"/>
      <c r="O237" s="65"/>
      <c r="P237" s="65"/>
      <c r="Q237" s="65"/>
    </row>
    <row r="238" spans="1:17" ht="20.100000000000001" customHeight="1" thickBot="1" x14ac:dyDescent="0.3">
      <c r="A238" s="96"/>
      <c r="B238" s="306" t="s">
        <v>644</v>
      </c>
      <c r="D238" s="258">
        <f>'City 15'!$M$10</f>
        <v>0</v>
      </c>
      <c r="F238" s="306" t="s">
        <v>645</v>
      </c>
      <c r="H238" s="258">
        <f>'City 15'!$U$12</f>
        <v>0</v>
      </c>
      <c r="K238" s="306" t="s">
        <v>644</v>
      </c>
      <c r="M238" s="258">
        <f>'City 16'!$M$10</f>
        <v>0</v>
      </c>
      <c r="O238" s="306" t="s">
        <v>645</v>
      </c>
      <c r="Q238" s="258">
        <f>'City 16'!$U$12</f>
        <v>0</v>
      </c>
    </row>
    <row r="239" spans="1:17" ht="5.0999999999999996" customHeight="1" x14ac:dyDescent="0.25">
      <c r="A239" s="96"/>
    </row>
    <row r="240" spans="1:17" ht="20.100000000000001" customHeight="1" x14ac:dyDescent="0.25">
      <c r="A240" s="96"/>
      <c r="B240" s="715" t="s">
        <v>438</v>
      </c>
      <c r="C240" s="715"/>
      <c r="D240" s="731"/>
      <c r="F240" s="715" t="s">
        <v>130</v>
      </c>
      <c r="G240" s="715"/>
      <c r="H240" s="715"/>
      <c r="K240" s="715" t="s">
        <v>438</v>
      </c>
      <c r="L240" s="715"/>
      <c r="M240" s="731"/>
      <c r="O240" s="715" t="s">
        <v>130</v>
      </c>
      <c r="P240" s="715"/>
      <c r="Q240" s="715"/>
    </row>
    <row r="241" spans="1:17" ht="5.0999999999999996" customHeight="1" thickBot="1" x14ac:dyDescent="0.3">
      <c r="A241" s="96"/>
      <c r="B241" s="673"/>
      <c r="C241" s="298"/>
      <c r="D241" s="673"/>
      <c r="F241" s="732"/>
      <c r="G241" s="732"/>
      <c r="H241" s="732"/>
      <c r="K241" s="673"/>
      <c r="L241" s="298"/>
      <c r="M241" s="673"/>
      <c r="O241" s="732"/>
      <c r="P241" s="732"/>
      <c r="Q241" s="732"/>
    </row>
    <row r="242" spans="1:17" ht="20.100000000000001" customHeight="1" thickBot="1" x14ac:dyDescent="0.3">
      <c r="A242" s="96"/>
      <c r="B242" s="670" t="s">
        <v>443</v>
      </c>
      <c r="C242" s="153"/>
      <c r="D242" s="551">
        <f>'City 15'!$D$227</f>
        <v>0</v>
      </c>
      <c r="E242" s="161"/>
      <c r="F242" s="716" t="str">
        <f>'City 15'!$B$184</f>
        <v/>
      </c>
      <c r="G242" s="717"/>
      <c r="H242" s="718"/>
      <c r="K242" s="670" t="s">
        <v>443</v>
      </c>
      <c r="L242" s="153"/>
      <c r="M242" s="551">
        <f>'City 16'!$D$227</f>
        <v>0</v>
      </c>
      <c r="N242" s="161"/>
      <c r="O242" s="716" t="str">
        <f>'City 16'!$B$184</f>
        <v/>
      </c>
      <c r="P242" s="717"/>
      <c r="Q242" s="718"/>
    </row>
    <row r="243" spans="1:17" ht="5.0999999999999996" customHeight="1" thickBot="1" x14ac:dyDescent="0.3">
      <c r="A243" s="96"/>
      <c r="B243" s="153"/>
      <c r="C243" s="153"/>
      <c r="D243" s="230"/>
      <c r="E243" s="63"/>
      <c r="F243" s="733"/>
      <c r="G243" s="733"/>
      <c r="H243" s="733"/>
      <c r="K243" s="153"/>
      <c r="L243" s="153"/>
      <c r="M243" s="230"/>
      <c r="N243" s="63"/>
      <c r="O243" s="733"/>
      <c r="P243" s="733"/>
      <c r="Q243" s="733"/>
    </row>
    <row r="244" spans="1:17" ht="20.100000000000001" customHeight="1" thickBot="1" x14ac:dyDescent="0.3">
      <c r="A244" s="96"/>
      <c r="B244" s="670" t="s">
        <v>175</v>
      </c>
      <c r="C244" s="153"/>
      <c r="D244" s="551">
        <f>'City 15'!$D$228</f>
        <v>0</v>
      </c>
      <c r="E244" s="673"/>
      <c r="F244" s="716" t="str">
        <f>'City 15'!$B$185</f>
        <v/>
      </c>
      <c r="G244" s="717"/>
      <c r="H244" s="718"/>
      <c r="K244" s="670" t="s">
        <v>175</v>
      </c>
      <c r="L244" s="153"/>
      <c r="M244" s="551">
        <f>'City 16'!$D$228</f>
        <v>0</v>
      </c>
      <c r="N244" s="673"/>
      <c r="O244" s="716" t="str">
        <f>'City 16'!$B$185</f>
        <v/>
      </c>
      <c r="P244" s="717"/>
      <c r="Q244" s="718"/>
    </row>
    <row r="245" spans="1:17" ht="5.0999999999999996" customHeight="1" thickBot="1" x14ac:dyDescent="0.3">
      <c r="A245" s="96"/>
      <c r="B245" s="153"/>
      <c r="C245" s="153"/>
      <c r="D245" s="230"/>
      <c r="E245" s="673"/>
      <c r="F245" s="717"/>
      <c r="G245" s="717"/>
      <c r="H245" s="717"/>
      <c r="K245" s="153"/>
      <c r="L245" s="153"/>
      <c r="M245" s="230"/>
      <c r="N245" s="673"/>
      <c r="O245" s="717"/>
      <c r="P245" s="717"/>
      <c r="Q245" s="717"/>
    </row>
    <row r="246" spans="1:17" ht="20.100000000000001" customHeight="1" thickBot="1" x14ac:dyDescent="0.3">
      <c r="A246" s="96"/>
      <c r="B246" s="670" t="s">
        <v>442</v>
      </c>
      <c r="C246" s="153"/>
      <c r="D246" s="551">
        <f>'City 15'!$D$229</f>
        <v>0</v>
      </c>
      <c r="E246" s="673"/>
      <c r="F246" s="716" t="str">
        <f>'City 15'!$B$186</f>
        <v/>
      </c>
      <c r="G246" s="717"/>
      <c r="H246" s="718"/>
      <c r="K246" s="670" t="s">
        <v>442</v>
      </c>
      <c r="L246" s="153"/>
      <c r="M246" s="551">
        <f>'City 16'!$D$229</f>
        <v>0</v>
      </c>
      <c r="N246" s="673"/>
      <c r="O246" s="716" t="str">
        <f>'City 16'!$B$186</f>
        <v/>
      </c>
      <c r="P246" s="717"/>
      <c r="Q246" s="718"/>
    </row>
    <row r="247" spans="1:17" ht="5.0999999999999996" customHeight="1" x14ac:dyDescent="0.25">
      <c r="A247" s="96"/>
      <c r="E247" s="673"/>
      <c r="N247" s="673"/>
    </row>
    <row r="248" spans="1:17" ht="20.100000000000001" customHeight="1" x14ac:dyDescent="0.25">
      <c r="A248" s="96"/>
      <c r="B248" s="667" t="s">
        <v>91</v>
      </c>
      <c r="C248" s="668"/>
      <c r="D248" s="668"/>
      <c r="E248" s="668"/>
      <c r="F248" s="668"/>
      <c r="G248" s="668"/>
      <c r="H248" s="301"/>
      <c r="K248" s="667" t="s">
        <v>91</v>
      </c>
      <c r="L248" s="668"/>
      <c r="M248" s="668"/>
      <c r="N248" s="668"/>
      <c r="O248" s="668"/>
      <c r="P248" s="668"/>
      <c r="Q248" s="301"/>
    </row>
    <row r="249" spans="1:17" s="65" customFormat="1" ht="5.0999999999999996" customHeight="1" thickBot="1" x14ac:dyDescent="0.3">
      <c r="A249" s="96"/>
      <c r="B249" s="311"/>
      <c r="C249" s="311"/>
      <c r="D249" s="311"/>
      <c r="E249" s="311"/>
      <c r="F249" s="311"/>
      <c r="G249" s="311"/>
      <c r="H249" s="311"/>
      <c r="I249" s="61"/>
      <c r="K249" s="311"/>
      <c r="L249" s="311"/>
      <c r="M249" s="311"/>
      <c r="N249" s="311"/>
      <c r="O249" s="311"/>
      <c r="P249" s="311"/>
      <c r="Q249" s="311"/>
    </row>
    <row r="250" spans="1:17" ht="20.100000000000001" customHeight="1" x14ac:dyDescent="0.25">
      <c r="A250" s="305"/>
      <c r="B250" s="719"/>
      <c r="C250" s="720"/>
      <c r="D250" s="720"/>
      <c r="E250" s="720"/>
      <c r="F250" s="720"/>
      <c r="G250" s="720"/>
      <c r="H250" s="721"/>
      <c r="K250" s="719"/>
      <c r="L250" s="720"/>
      <c r="M250" s="720"/>
      <c r="N250" s="720"/>
      <c r="O250" s="720"/>
      <c r="P250" s="720"/>
      <c r="Q250" s="721"/>
    </row>
    <row r="251" spans="1:17" s="65" customFormat="1" ht="20.100000000000001" customHeight="1" x14ac:dyDescent="0.25">
      <c r="A251" s="305"/>
      <c r="B251" s="722"/>
      <c r="C251" s="723"/>
      <c r="D251" s="723"/>
      <c r="E251" s="723"/>
      <c r="F251" s="723"/>
      <c r="G251" s="723"/>
      <c r="H251" s="724"/>
      <c r="I251" s="61"/>
      <c r="K251" s="722"/>
      <c r="L251" s="723"/>
      <c r="M251" s="723"/>
      <c r="N251" s="723"/>
      <c r="O251" s="723"/>
      <c r="P251" s="723"/>
      <c r="Q251" s="724"/>
    </row>
    <row r="252" spans="1:17" ht="20.100000000000001" customHeight="1" x14ac:dyDescent="0.25">
      <c r="A252" s="96"/>
      <c r="B252" s="722"/>
      <c r="C252" s="723"/>
      <c r="D252" s="723"/>
      <c r="E252" s="723"/>
      <c r="F252" s="723"/>
      <c r="G252" s="723"/>
      <c r="H252" s="724"/>
      <c r="K252" s="722"/>
      <c r="L252" s="723"/>
      <c r="M252" s="723"/>
      <c r="N252" s="723"/>
      <c r="O252" s="723"/>
      <c r="P252" s="723"/>
      <c r="Q252" s="724"/>
    </row>
    <row r="253" spans="1:17" s="65" customFormat="1" ht="20.100000000000001" customHeight="1" x14ac:dyDescent="0.25">
      <c r="A253" s="96"/>
      <c r="B253" s="722"/>
      <c r="C253" s="723"/>
      <c r="D253" s="723"/>
      <c r="E253" s="723"/>
      <c r="F253" s="723"/>
      <c r="G253" s="723"/>
      <c r="H253" s="724"/>
      <c r="I253" s="61"/>
      <c r="K253" s="722"/>
      <c r="L253" s="723"/>
      <c r="M253" s="723"/>
      <c r="N253" s="723"/>
      <c r="O253" s="723"/>
      <c r="P253" s="723"/>
      <c r="Q253" s="724"/>
    </row>
    <row r="254" spans="1:17" ht="20.100000000000001" customHeight="1" x14ac:dyDescent="0.25">
      <c r="A254" s="146"/>
      <c r="B254" s="722"/>
      <c r="C254" s="723"/>
      <c r="D254" s="723"/>
      <c r="E254" s="723"/>
      <c r="F254" s="723"/>
      <c r="G254" s="723"/>
      <c r="H254" s="724"/>
      <c r="I254" s="65"/>
      <c r="K254" s="722"/>
      <c r="L254" s="723"/>
      <c r="M254" s="723"/>
      <c r="N254" s="723"/>
      <c r="O254" s="723"/>
      <c r="P254" s="723"/>
      <c r="Q254" s="724"/>
    </row>
    <row r="255" spans="1:17" s="65" customFormat="1" ht="20.100000000000001" customHeight="1" thickBot="1" x14ac:dyDescent="0.3">
      <c r="A255" s="96"/>
      <c r="B255" s="725"/>
      <c r="C255" s="726"/>
      <c r="D255" s="726"/>
      <c r="E255" s="726"/>
      <c r="F255" s="726"/>
      <c r="G255" s="726"/>
      <c r="H255" s="727"/>
      <c r="I255" s="61"/>
      <c r="K255" s="725"/>
      <c r="L255" s="726"/>
      <c r="M255" s="726"/>
      <c r="N255" s="726"/>
      <c r="O255" s="726"/>
      <c r="P255" s="726"/>
      <c r="Q255" s="727"/>
    </row>
    <row r="256" spans="1:17" ht="5.0999999999999996" customHeight="1" thickBot="1" x14ac:dyDescent="0.3">
      <c r="A256" s="146"/>
      <c r="B256" s="65"/>
      <c r="C256" s="65"/>
      <c r="D256" s="65"/>
      <c r="E256" s="65"/>
      <c r="F256" s="65"/>
      <c r="G256" s="65"/>
      <c r="H256" s="65"/>
      <c r="I256" s="65"/>
    </row>
    <row r="257" spans="1:17" s="65" customFormat="1" ht="5.0999999999999996" customHeight="1" thickBot="1" x14ac:dyDescent="0.3">
      <c r="A257" s="141"/>
      <c r="B257" s="61"/>
      <c r="C257" s="61"/>
      <c r="D257" s="61"/>
      <c r="E257" s="61"/>
      <c r="F257" s="61"/>
      <c r="G257" s="61"/>
      <c r="H257" s="61"/>
      <c r="I257" s="61"/>
    </row>
    <row r="258" spans="1:17" ht="20.100000000000001" customHeight="1" thickBot="1" x14ac:dyDescent="0.3">
      <c r="A258" s="96"/>
      <c r="B258" s="671" t="s">
        <v>78</v>
      </c>
      <c r="C258" s="62"/>
      <c r="D258" s="728" t="str">
        <f>IF('City 17'!$D$2&lt;&gt;0,'City 17'!$D$2&amp;" - "&amp;'City 17'!$AA$6," ")</f>
        <v xml:space="preserve"> </v>
      </c>
      <c r="E258" s="729"/>
      <c r="F258" s="729"/>
      <c r="G258" s="729"/>
      <c r="H258" s="730"/>
      <c r="K258" s="671" t="s">
        <v>78</v>
      </c>
      <c r="L258" s="62"/>
      <c r="M258" s="728" t="str">
        <f>IF('City 18'!$D$2&lt;&gt;0,'City 18'!$D$2&amp;" - "&amp;'City 18'!$AA$6," ")</f>
        <v xml:space="preserve"> </v>
      </c>
      <c r="N258" s="729"/>
      <c r="O258" s="729"/>
      <c r="P258" s="729"/>
      <c r="Q258" s="730"/>
    </row>
    <row r="259" spans="1:17" s="65" customFormat="1" ht="5.0999999999999996" customHeight="1" thickBot="1" x14ac:dyDescent="0.3">
      <c r="A259" s="146"/>
      <c r="B259" s="62"/>
      <c r="C259" s="62"/>
      <c r="D259" s="63"/>
      <c r="E259" s="298"/>
      <c r="F259" s="62"/>
      <c r="G259" s="62"/>
      <c r="H259" s="298"/>
      <c r="K259" s="62"/>
      <c r="L259" s="62"/>
      <c r="M259" s="63"/>
      <c r="N259" s="298"/>
      <c r="O259" s="62"/>
      <c r="P259" s="62"/>
      <c r="Q259" s="298"/>
    </row>
    <row r="260" spans="1:17" ht="20.100000000000001" customHeight="1" thickBot="1" x14ac:dyDescent="0.3">
      <c r="A260" s="96"/>
      <c r="B260" s="672" t="s">
        <v>49</v>
      </c>
      <c r="C260" s="669"/>
      <c r="D260" s="192" t="str">
        <f>IF('City 17'!$D$6&lt;&gt;0,'City 17'!$D$6," ")</f>
        <v xml:space="preserve"> </v>
      </c>
      <c r="E260" s="161"/>
      <c r="F260" s="672" t="s">
        <v>46</v>
      </c>
      <c r="G260" s="669"/>
      <c r="H260" s="192" t="str">
        <f>IF('City 17'!$D$4&lt;&gt;0,'City 17'!$D$4," ")</f>
        <v xml:space="preserve"> </v>
      </c>
      <c r="K260" s="672" t="s">
        <v>49</v>
      </c>
      <c r="L260" s="669"/>
      <c r="M260" s="192" t="str">
        <f>IF('City 18'!$D$6&lt;&gt;0,'City 18'!$D$6," ")</f>
        <v xml:space="preserve"> </v>
      </c>
      <c r="N260" s="161"/>
      <c r="O260" s="672" t="s">
        <v>46</v>
      </c>
      <c r="P260" s="669"/>
      <c r="Q260" s="192" t="str">
        <f>IF('City 18'!$D$4&lt;&gt;0,'City 18'!$D$4," ")</f>
        <v xml:space="preserve"> </v>
      </c>
    </row>
    <row r="261" spans="1:17" ht="5.0999999999999996" customHeight="1" thickBot="1" x14ac:dyDescent="0.3">
      <c r="A261" s="146"/>
      <c r="B261" s="62"/>
      <c r="C261" s="62"/>
      <c r="D261" s="67"/>
      <c r="E261" s="67"/>
      <c r="F261" s="298"/>
      <c r="G261" s="298"/>
      <c r="H261" s="298"/>
      <c r="I261" s="65"/>
      <c r="K261" s="62"/>
      <c r="L261" s="62"/>
      <c r="M261" s="67"/>
      <c r="N261" s="67"/>
      <c r="O261" s="298"/>
      <c r="P261" s="298"/>
      <c r="Q261" s="298"/>
    </row>
    <row r="262" spans="1:17" ht="20.100000000000001" customHeight="1" thickBot="1" x14ac:dyDescent="0.3">
      <c r="A262" s="96"/>
      <c r="B262" s="672" t="s">
        <v>50</v>
      </c>
      <c r="C262" s="669"/>
      <c r="D262" s="192" t="str">
        <f>IF('City 17'!$D$8&lt;&gt;0,'City 17'!$D$8," ")</f>
        <v xml:space="preserve"> </v>
      </c>
      <c r="E262" s="161"/>
      <c r="F262" s="672" t="s">
        <v>85</v>
      </c>
      <c r="G262" s="669"/>
      <c r="H262" s="192">
        <f>IF('City 17'!$U$6&lt;&gt;0,'City 17'!$U$6,0)</f>
        <v>0</v>
      </c>
      <c r="K262" s="672" t="s">
        <v>50</v>
      </c>
      <c r="L262" s="669"/>
      <c r="M262" s="192" t="str">
        <f>IF('City 18'!$D$8&lt;&gt;0,'City 18'!$D$8," ")</f>
        <v xml:space="preserve"> </v>
      </c>
      <c r="N262" s="161"/>
      <c r="O262" s="672" t="s">
        <v>85</v>
      </c>
      <c r="P262" s="669"/>
      <c r="Q262" s="192">
        <f>IF('City 18'!$U$6&lt;&gt;0,'City 18'!$U$6,0)</f>
        <v>0</v>
      </c>
    </row>
    <row r="263" spans="1:17" ht="5.0999999999999996" customHeight="1" thickBot="1" x14ac:dyDescent="0.3">
      <c r="A263" s="146"/>
      <c r="B263" s="62"/>
      <c r="C263" s="62"/>
      <c r="D263" s="67"/>
      <c r="E263" s="67"/>
      <c r="F263" s="298"/>
      <c r="G263" s="298"/>
      <c r="H263" s="298"/>
      <c r="I263" s="65"/>
      <c r="K263" s="62"/>
      <c r="L263" s="62"/>
      <c r="M263" s="67"/>
      <c r="N263" s="67"/>
      <c r="O263" s="298"/>
      <c r="P263" s="298"/>
      <c r="Q263" s="298"/>
    </row>
    <row r="264" spans="1:17" ht="20.100000000000001" customHeight="1" thickBot="1" x14ac:dyDescent="0.3">
      <c r="A264" s="96"/>
      <c r="B264" s="672" t="s">
        <v>51</v>
      </c>
      <c r="C264" s="669"/>
      <c r="D264" s="192" t="str">
        <f>IF('City 17'!$D$10&lt;&gt;0,'City 17'!$D$10," ")</f>
        <v xml:space="preserve"> </v>
      </c>
      <c r="E264" s="161"/>
      <c r="F264" s="672" t="s">
        <v>86</v>
      </c>
      <c r="G264" s="669"/>
      <c r="H264" s="192" t="str">
        <f>IF('City 17'!$U$2&lt;&gt;0,'City 17'!$U$2," ")</f>
        <v/>
      </c>
      <c r="K264" s="672" t="s">
        <v>51</v>
      </c>
      <c r="L264" s="669"/>
      <c r="M264" s="192" t="str">
        <f>IF('City 18'!$D$10&lt;&gt;0,'City 18'!$D$10," ")</f>
        <v xml:space="preserve"> </v>
      </c>
      <c r="N264" s="161"/>
      <c r="O264" s="672" t="s">
        <v>86</v>
      </c>
      <c r="P264" s="669"/>
      <c r="Q264" s="192" t="str">
        <f>IF('City 18'!$U$2&lt;&gt;0,'City 18'!$U$2," ")</f>
        <v/>
      </c>
    </row>
    <row r="265" spans="1:17" ht="5.0999999999999996" customHeight="1" thickBot="1" x14ac:dyDescent="0.3">
      <c r="A265" s="146"/>
      <c r="B265" s="669"/>
      <c r="C265" s="669"/>
      <c r="D265" s="67"/>
      <c r="E265" s="67"/>
      <c r="F265" s="65"/>
      <c r="G265" s="65"/>
      <c r="H265" s="65"/>
      <c r="I265" s="65"/>
      <c r="K265" s="669"/>
      <c r="L265" s="669"/>
      <c r="M265" s="67"/>
      <c r="N265" s="67"/>
      <c r="O265" s="65"/>
      <c r="P265" s="65"/>
      <c r="Q265" s="65"/>
    </row>
    <row r="266" spans="1:17" ht="20.100000000000001" customHeight="1" thickBot="1" x14ac:dyDescent="0.3">
      <c r="A266" s="96"/>
      <c r="B266" s="306" t="s">
        <v>640</v>
      </c>
      <c r="D266" s="258">
        <f>'City 17'!$M$4</f>
        <v>0</v>
      </c>
      <c r="E266" s="161"/>
      <c r="F266" s="306" t="s">
        <v>641</v>
      </c>
      <c r="H266" s="258">
        <f>'City 17'!$M$6</f>
        <v>0</v>
      </c>
      <c r="K266" s="306" t="s">
        <v>640</v>
      </c>
      <c r="M266" s="258">
        <f>'City 18'!$M$4</f>
        <v>0</v>
      </c>
      <c r="N266" s="161"/>
      <c r="O266" s="306" t="s">
        <v>641</v>
      </c>
      <c r="Q266" s="258">
        <f>'City 18'!$M$6</f>
        <v>0</v>
      </c>
    </row>
    <row r="267" spans="1:17" ht="5.0999999999999996" customHeight="1" thickBot="1" x14ac:dyDescent="0.3">
      <c r="A267" s="146"/>
      <c r="B267" s="673"/>
      <c r="C267" s="298"/>
      <c r="D267" s="673"/>
      <c r="E267" s="67"/>
      <c r="I267" s="65"/>
      <c r="K267" s="673"/>
      <c r="L267" s="298"/>
      <c r="M267" s="673"/>
      <c r="N267" s="67"/>
    </row>
    <row r="268" spans="1:17" ht="20.100000000000001" customHeight="1" thickBot="1" x14ac:dyDescent="0.3">
      <c r="A268" s="96"/>
      <c r="B268" s="306" t="s">
        <v>642</v>
      </c>
      <c r="D268" s="258">
        <f>'City 17'!$U$10</f>
        <v>0</v>
      </c>
      <c r="F268" s="306" t="s">
        <v>643</v>
      </c>
      <c r="H268" s="258">
        <f>'City 17'!$M$8</f>
        <v>0</v>
      </c>
      <c r="K268" s="306" t="s">
        <v>642</v>
      </c>
      <c r="M268" s="258">
        <f>'City 18'!$U$10</f>
        <v>0</v>
      </c>
      <c r="O268" s="306" t="s">
        <v>643</v>
      </c>
      <c r="Q268" s="258">
        <f>'City 18'!$M$8</f>
        <v>0</v>
      </c>
    </row>
    <row r="269" spans="1:17" ht="5.0999999999999996" customHeight="1" thickBot="1" x14ac:dyDescent="0.3">
      <c r="A269" s="146"/>
      <c r="B269" s="65"/>
      <c r="C269" s="65"/>
      <c r="D269" s="65"/>
      <c r="E269" s="65"/>
      <c r="F269" s="65"/>
      <c r="G269" s="65"/>
      <c r="H269" s="65"/>
      <c r="I269" s="65"/>
      <c r="K269" s="65"/>
      <c r="L269" s="65"/>
      <c r="M269" s="65"/>
      <c r="N269" s="65"/>
      <c r="O269" s="65"/>
      <c r="P269" s="65"/>
      <c r="Q269" s="65"/>
    </row>
    <row r="270" spans="1:17" ht="20.100000000000001" customHeight="1" thickBot="1" x14ac:dyDescent="0.3">
      <c r="A270" s="96"/>
      <c r="B270" s="306" t="s">
        <v>644</v>
      </c>
      <c r="D270" s="258">
        <f>'City 17'!$M$10</f>
        <v>0</v>
      </c>
      <c r="F270" s="306" t="s">
        <v>645</v>
      </c>
      <c r="H270" s="258">
        <f>'City 17'!$U$12</f>
        <v>0</v>
      </c>
      <c r="K270" s="306" t="s">
        <v>644</v>
      </c>
      <c r="M270" s="258">
        <f>'City 18'!$M$10</f>
        <v>0</v>
      </c>
      <c r="O270" s="306" t="s">
        <v>645</v>
      </c>
      <c r="Q270" s="258">
        <f>'City 18'!$U$12</f>
        <v>0</v>
      </c>
    </row>
    <row r="271" spans="1:17" ht="5.0999999999999996" customHeight="1" x14ac:dyDescent="0.25">
      <c r="A271" s="96"/>
    </row>
    <row r="272" spans="1:17" ht="20.100000000000001" customHeight="1" x14ac:dyDescent="0.25">
      <c r="A272" s="96"/>
      <c r="B272" s="715" t="s">
        <v>438</v>
      </c>
      <c r="C272" s="715"/>
      <c r="D272" s="731"/>
      <c r="F272" s="715" t="s">
        <v>130</v>
      </c>
      <c r="G272" s="715"/>
      <c r="H272" s="715"/>
      <c r="K272" s="715" t="s">
        <v>438</v>
      </c>
      <c r="L272" s="715"/>
      <c r="M272" s="731"/>
      <c r="O272" s="715" t="s">
        <v>130</v>
      </c>
      <c r="P272" s="715"/>
      <c r="Q272" s="715"/>
    </row>
    <row r="273" spans="1:17" ht="5.0999999999999996" customHeight="1" thickBot="1" x14ac:dyDescent="0.3">
      <c r="A273" s="96"/>
      <c r="B273" s="673"/>
      <c r="C273" s="298"/>
      <c r="D273" s="673"/>
      <c r="F273" s="732"/>
      <c r="G273" s="732"/>
      <c r="H273" s="732"/>
      <c r="K273" s="673"/>
      <c r="L273" s="298"/>
      <c r="M273" s="673"/>
      <c r="O273" s="732"/>
      <c r="P273" s="732"/>
      <c r="Q273" s="732"/>
    </row>
    <row r="274" spans="1:17" ht="20.100000000000001" customHeight="1" thickBot="1" x14ac:dyDescent="0.3">
      <c r="A274" s="96"/>
      <c r="B274" s="670" t="s">
        <v>443</v>
      </c>
      <c r="C274" s="153"/>
      <c r="D274" s="551">
        <f>'City 17'!$D$227</f>
        <v>0</v>
      </c>
      <c r="E274" s="161"/>
      <c r="F274" s="716" t="str">
        <f>'City 17'!$B$184</f>
        <v/>
      </c>
      <c r="G274" s="717"/>
      <c r="H274" s="718"/>
      <c r="K274" s="670" t="s">
        <v>443</v>
      </c>
      <c r="L274" s="153"/>
      <c r="M274" s="551">
        <f>'City 18'!$D$227</f>
        <v>0</v>
      </c>
      <c r="N274" s="161"/>
      <c r="O274" s="716" t="str">
        <f>'City 18'!$B$184</f>
        <v/>
      </c>
      <c r="P274" s="717"/>
      <c r="Q274" s="718"/>
    </row>
    <row r="275" spans="1:17" ht="5.0999999999999996" customHeight="1" thickBot="1" x14ac:dyDescent="0.3">
      <c r="A275" s="96"/>
      <c r="B275" s="153"/>
      <c r="C275" s="153"/>
      <c r="D275" s="230"/>
      <c r="E275" s="63"/>
      <c r="F275" s="733"/>
      <c r="G275" s="733"/>
      <c r="H275" s="733"/>
      <c r="K275" s="153"/>
      <c r="L275" s="153"/>
      <c r="M275" s="230"/>
      <c r="N275" s="63"/>
      <c r="O275" s="733"/>
      <c r="P275" s="733"/>
      <c r="Q275" s="733"/>
    </row>
    <row r="276" spans="1:17" s="65" customFormat="1" ht="20.100000000000001" customHeight="1" thickBot="1" x14ac:dyDescent="0.3">
      <c r="A276" s="96"/>
      <c r="B276" s="670" t="s">
        <v>175</v>
      </c>
      <c r="C276" s="153"/>
      <c r="D276" s="551">
        <f>'City 17'!$D$228</f>
        <v>0</v>
      </c>
      <c r="E276" s="673"/>
      <c r="F276" s="716" t="str">
        <f>'City 17'!$B$185</f>
        <v/>
      </c>
      <c r="G276" s="717"/>
      <c r="H276" s="718"/>
      <c r="I276" s="61"/>
      <c r="K276" s="670" t="s">
        <v>175</v>
      </c>
      <c r="L276" s="153"/>
      <c r="M276" s="551">
        <f>'City 18'!$D$228</f>
        <v>0</v>
      </c>
      <c r="N276" s="673"/>
      <c r="O276" s="716" t="str">
        <f>'City 18'!$B$185</f>
        <v/>
      </c>
      <c r="P276" s="717"/>
      <c r="Q276" s="718"/>
    </row>
    <row r="277" spans="1:17" ht="5.0999999999999996" customHeight="1" thickBot="1" x14ac:dyDescent="0.3">
      <c r="A277" s="96"/>
      <c r="B277" s="153"/>
      <c r="C277" s="153"/>
      <c r="D277" s="230"/>
      <c r="E277" s="673"/>
      <c r="F277" s="717"/>
      <c r="G277" s="717"/>
      <c r="H277" s="717"/>
      <c r="K277" s="153"/>
      <c r="L277" s="153"/>
      <c r="M277" s="230"/>
      <c r="N277" s="673"/>
      <c r="O277" s="717"/>
      <c r="P277" s="717"/>
      <c r="Q277" s="717"/>
    </row>
    <row r="278" spans="1:17" s="65" customFormat="1" ht="20.100000000000001" customHeight="1" thickBot="1" x14ac:dyDescent="0.3">
      <c r="A278" s="96"/>
      <c r="B278" s="670" t="s">
        <v>442</v>
      </c>
      <c r="C278" s="153"/>
      <c r="D278" s="551">
        <f>'City 17'!$D$229</f>
        <v>0</v>
      </c>
      <c r="E278" s="673"/>
      <c r="F278" s="716" t="str">
        <f>'City 17'!$B$186</f>
        <v/>
      </c>
      <c r="G278" s="717"/>
      <c r="H278" s="718"/>
      <c r="I278" s="61"/>
      <c r="K278" s="670" t="s">
        <v>442</v>
      </c>
      <c r="L278" s="153"/>
      <c r="M278" s="551">
        <f>'City 18'!$D$229</f>
        <v>0</v>
      </c>
      <c r="N278" s="673"/>
      <c r="O278" s="716" t="str">
        <f>'City 18'!$B$186</f>
        <v/>
      </c>
      <c r="P278" s="717"/>
      <c r="Q278" s="718"/>
    </row>
    <row r="279" spans="1:17" ht="5.0999999999999996" customHeight="1" x14ac:dyDescent="0.25">
      <c r="A279" s="96"/>
      <c r="E279" s="673"/>
      <c r="N279" s="673"/>
    </row>
    <row r="280" spans="1:17" s="65" customFormat="1" ht="20.100000000000001" customHeight="1" x14ac:dyDescent="0.25">
      <c r="A280" s="96"/>
      <c r="B280" s="667" t="s">
        <v>91</v>
      </c>
      <c r="C280" s="668"/>
      <c r="D280" s="668"/>
      <c r="E280" s="668"/>
      <c r="F280" s="668"/>
      <c r="G280" s="668"/>
      <c r="H280" s="301"/>
      <c r="I280" s="61"/>
      <c r="K280" s="667" t="s">
        <v>91</v>
      </c>
      <c r="L280" s="668"/>
      <c r="M280" s="668"/>
      <c r="N280" s="668"/>
      <c r="O280" s="668"/>
      <c r="P280" s="668"/>
      <c r="Q280" s="301"/>
    </row>
    <row r="281" spans="1:17" ht="5.0999999999999996" customHeight="1" thickBot="1" x14ac:dyDescent="0.3">
      <c r="A281" s="96"/>
      <c r="B281" s="311"/>
      <c r="C281" s="311"/>
      <c r="D281" s="311"/>
      <c r="E281" s="311"/>
      <c r="F281" s="311"/>
      <c r="G281" s="311"/>
      <c r="H281" s="311"/>
      <c r="K281" s="311"/>
      <c r="L281" s="311"/>
      <c r="M281" s="311"/>
      <c r="N281" s="311"/>
      <c r="O281" s="311"/>
      <c r="P281" s="311"/>
      <c r="Q281" s="311"/>
    </row>
    <row r="282" spans="1:17" s="65" customFormat="1" ht="20.100000000000001" customHeight="1" x14ac:dyDescent="0.25">
      <c r="A282" s="305"/>
      <c r="B282" s="719"/>
      <c r="C282" s="720"/>
      <c r="D282" s="720"/>
      <c r="E282" s="720"/>
      <c r="F282" s="720"/>
      <c r="G282" s="720"/>
      <c r="H282" s="721"/>
      <c r="I282" s="61"/>
      <c r="K282" s="719"/>
      <c r="L282" s="720"/>
      <c r="M282" s="720"/>
      <c r="N282" s="720"/>
      <c r="O282" s="720"/>
      <c r="P282" s="720"/>
      <c r="Q282" s="721"/>
    </row>
    <row r="283" spans="1:17" ht="20.100000000000001" customHeight="1" x14ac:dyDescent="0.25">
      <c r="A283" s="305"/>
      <c r="B283" s="722"/>
      <c r="C283" s="723"/>
      <c r="D283" s="723"/>
      <c r="E283" s="723"/>
      <c r="F283" s="723"/>
      <c r="G283" s="723"/>
      <c r="H283" s="724"/>
      <c r="K283" s="722"/>
      <c r="L283" s="723"/>
      <c r="M283" s="723"/>
      <c r="N283" s="723"/>
      <c r="O283" s="723"/>
      <c r="P283" s="723"/>
      <c r="Q283" s="724"/>
    </row>
    <row r="284" spans="1:17" s="65" customFormat="1" ht="20.100000000000001" customHeight="1" x14ac:dyDescent="0.25">
      <c r="A284" s="96"/>
      <c r="B284" s="722"/>
      <c r="C284" s="723"/>
      <c r="D284" s="723"/>
      <c r="E284" s="723"/>
      <c r="F284" s="723"/>
      <c r="G284" s="723"/>
      <c r="H284" s="724"/>
      <c r="I284" s="61"/>
      <c r="K284" s="722"/>
      <c r="L284" s="723"/>
      <c r="M284" s="723"/>
      <c r="N284" s="723"/>
      <c r="O284" s="723"/>
      <c r="P284" s="723"/>
      <c r="Q284" s="724"/>
    </row>
    <row r="285" spans="1:17" ht="20.100000000000001" customHeight="1" x14ac:dyDescent="0.25">
      <c r="A285" s="96"/>
      <c r="B285" s="722"/>
      <c r="C285" s="723"/>
      <c r="D285" s="723"/>
      <c r="E285" s="723"/>
      <c r="F285" s="723"/>
      <c r="G285" s="723"/>
      <c r="H285" s="724"/>
      <c r="K285" s="722"/>
      <c r="L285" s="723"/>
      <c r="M285" s="723"/>
      <c r="N285" s="723"/>
      <c r="O285" s="723"/>
      <c r="P285" s="723"/>
      <c r="Q285" s="724"/>
    </row>
    <row r="286" spans="1:17" s="65" customFormat="1" ht="20.100000000000001" customHeight="1" x14ac:dyDescent="0.25">
      <c r="A286" s="146"/>
      <c r="B286" s="722"/>
      <c r="C286" s="723"/>
      <c r="D286" s="723"/>
      <c r="E286" s="723"/>
      <c r="F286" s="723"/>
      <c r="G286" s="723"/>
      <c r="H286" s="724"/>
      <c r="K286" s="722"/>
      <c r="L286" s="723"/>
      <c r="M286" s="723"/>
      <c r="N286" s="723"/>
      <c r="O286" s="723"/>
      <c r="P286" s="723"/>
      <c r="Q286" s="724"/>
    </row>
    <row r="287" spans="1:17" ht="20.100000000000001" customHeight="1" thickBot="1" x14ac:dyDescent="0.3">
      <c r="A287" s="96"/>
      <c r="B287" s="725"/>
      <c r="C287" s="726"/>
      <c r="D287" s="726"/>
      <c r="E287" s="726"/>
      <c r="F287" s="726"/>
      <c r="G287" s="726"/>
      <c r="H287" s="727"/>
      <c r="K287" s="725"/>
      <c r="L287" s="726"/>
      <c r="M287" s="726"/>
      <c r="N287" s="726"/>
      <c r="O287" s="726"/>
      <c r="P287" s="726"/>
      <c r="Q287" s="727"/>
    </row>
    <row r="288" spans="1:17" ht="5.0999999999999996" customHeight="1" thickBot="1" x14ac:dyDescent="0.3">
      <c r="A288" s="146"/>
      <c r="B288" s="65"/>
      <c r="C288" s="65"/>
      <c r="D288" s="65"/>
      <c r="E288" s="65"/>
      <c r="F288" s="65"/>
      <c r="G288" s="65"/>
      <c r="H288" s="65"/>
      <c r="I288" s="65"/>
    </row>
    <row r="289" spans="1:17" ht="5.0999999999999996" customHeight="1" thickBot="1" x14ac:dyDescent="0.3">
      <c r="A289" s="141"/>
    </row>
    <row r="290" spans="1:17" ht="20.100000000000001" customHeight="1" thickBot="1" x14ac:dyDescent="0.3">
      <c r="A290" s="96"/>
      <c r="B290" s="671" t="s">
        <v>78</v>
      </c>
      <c r="C290" s="62"/>
      <c r="D290" s="728" t="str">
        <f>IF('City 19'!$D$2&lt;&gt;0,'City 19'!$D$2&amp;" - "&amp;'City 19'!$AA$6," ")</f>
        <v xml:space="preserve"> </v>
      </c>
      <c r="E290" s="729"/>
      <c r="F290" s="729"/>
      <c r="G290" s="729"/>
      <c r="H290" s="730"/>
      <c r="K290" s="671" t="s">
        <v>78</v>
      </c>
      <c r="L290" s="62"/>
      <c r="M290" s="728" t="str">
        <f>IF('City 20'!$D$2&lt;&gt;0,'City 20'!$D$2&amp;" - "&amp;'City 20'!$AA$6," ")</f>
        <v xml:space="preserve"> </v>
      </c>
      <c r="N290" s="729"/>
      <c r="O290" s="729"/>
      <c r="P290" s="729"/>
      <c r="Q290" s="730"/>
    </row>
    <row r="291" spans="1:17" ht="5.0999999999999996" customHeight="1" thickBot="1" x14ac:dyDescent="0.3">
      <c r="A291" s="146"/>
      <c r="B291" s="62"/>
      <c r="C291" s="62"/>
      <c r="D291" s="63"/>
      <c r="E291" s="298"/>
      <c r="F291" s="62"/>
      <c r="G291" s="62"/>
      <c r="H291" s="298"/>
      <c r="I291" s="65"/>
      <c r="K291" s="62"/>
      <c r="L291" s="62"/>
      <c r="M291" s="63"/>
      <c r="N291" s="298"/>
      <c r="O291" s="62"/>
      <c r="P291" s="62"/>
      <c r="Q291" s="298"/>
    </row>
    <row r="292" spans="1:17" ht="20.100000000000001" customHeight="1" thickBot="1" x14ac:dyDescent="0.3">
      <c r="A292" s="96"/>
      <c r="B292" s="672" t="s">
        <v>49</v>
      </c>
      <c r="C292" s="669"/>
      <c r="D292" s="192" t="str">
        <f>IF('City 19'!$D$6&lt;&gt;0,'City 19'!$D$6," ")</f>
        <v xml:space="preserve"> </v>
      </c>
      <c r="E292" s="161"/>
      <c r="F292" s="672" t="s">
        <v>46</v>
      </c>
      <c r="G292" s="669"/>
      <c r="H292" s="192" t="str">
        <f>IF('City 19'!$D$4&lt;&gt;0,'City 19'!$D$4," ")</f>
        <v xml:space="preserve"> </v>
      </c>
      <c r="K292" s="672" t="s">
        <v>49</v>
      </c>
      <c r="L292" s="669"/>
      <c r="M292" s="192" t="str">
        <f>IF('City 20'!$D$6&lt;&gt;0,'City 20'!$D$6," ")</f>
        <v xml:space="preserve"> </v>
      </c>
      <c r="N292" s="161"/>
      <c r="O292" s="672" t="s">
        <v>46</v>
      </c>
      <c r="P292" s="669"/>
      <c r="Q292" s="192" t="str">
        <f>IF('City 20'!$D$4&lt;&gt;0,'City 20'!$D$4," ")</f>
        <v xml:space="preserve"> </v>
      </c>
    </row>
    <row r="293" spans="1:17" ht="5.0999999999999996" customHeight="1" thickBot="1" x14ac:dyDescent="0.3">
      <c r="A293" s="146"/>
      <c r="B293" s="62"/>
      <c r="C293" s="62"/>
      <c r="D293" s="67"/>
      <c r="E293" s="67"/>
      <c r="F293" s="298"/>
      <c r="G293" s="298"/>
      <c r="H293" s="298"/>
      <c r="I293" s="65"/>
      <c r="K293" s="62"/>
      <c r="L293" s="62"/>
      <c r="M293" s="67"/>
      <c r="N293" s="67"/>
      <c r="O293" s="298"/>
      <c r="P293" s="298"/>
      <c r="Q293" s="298"/>
    </row>
    <row r="294" spans="1:17" ht="20.100000000000001" customHeight="1" thickBot="1" x14ac:dyDescent="0.3">
      <c r="A294" s="96"/>
      <c r="B294" s="672" t="s">
        <v>50</v>
      </c>
      <c r="C294" s="669"/>
      <c r="D294" s="192" t="str">
        <f>IF('City 19'!$D$8&lt;&gt;0,'City 19'!$D$8," ")</f>
        <v xml:space="preserve"> </v>
      </c>
      <c r="E294" s="161"/>
      <c r="F294" s="672" t="s">
        <v>85</v>
      </c>
      <c r="G294" s="669"/>
      <c r="H294" s="192">
        <f>IF('City 19'!$U$6&lt;&gt;0,'City 19'!$U$6,0)</f>
        <v>0</v>
      </c>
      <c r="K294" s="672" t="s">
        <v>50</v>
      </c>
      <c r="L294" s="669"/>
      <c r="M294" s="192" t="str">
        <f>IF('City 20'!$D$8&lt;&gt;0,'City 20'!$D$8," ")</f>
        <v xml:space="preserve"> </v>
      </c>
      <c r="N294" s="161"/>
      <c r="O294" s="672" t="s">
        <v>85</v>
      </c>
      <c r="P294" s="669"/>
      <c r="Q294" s="192">
        <f>IF('City 20'!$U$6&lt;&gt;0,'City 20'!$U$6,0)</f>
        <v>0</v>
      </c>
    </row>
    <row r="295" spans="1:17" ht="5.0999999999999996" customHeight="1" thickBot="1" x14ac:dyDescent="0.3">
      <c r="A295" s="146"/>
      <c r="B295" s="62"/>
      <c r="C295" s="62"/>
      <c r="D295" s="67"/>
      <c r="E295" s="67"/>
      <c r="F295" s="298"/>
      <c r="G295" s="298"/>
      <c r="H295" s="298"/>
      <c r="I295" s="65"/>
      <c r="K295" s="62"/>
      <c r="L295" s="62"/>
      <c r="M295" s="67"/>
      <c r="N295" s="67"/>
      <c r="O295" s="298"/>
      <c r="P295" s="298"/>
      <c r="Q295" s="298"/>
    </row>
    <row r="296" spans="1:17" ht="20.100000000000001" customHeight="1" thickBot="1" x14ac:dyDescent="0.3">
      <c r="A296" s="96"/>
      <c r="B296" s="672" t="s">
        <v>51</v>
      </c>
      <c r="C296" s="669"/>
      <c r="D296" s="192" t="str">
        <f>IF('City 19'!$D$10&lt;&gt;0,'City 19'!$D$10," ")</f>
        <v xml:space="preserve"> </v>
      </c>
      <c r="E296" s="161"/>
      <c r="F296" s="672" t="s">
        <v>86</v>
      </c>
      <c r="G296" s="669"/>
      <c r="H296" s="192" t="str">
        <f>IF('City 19'!$U$2&lt;&gt;0,'City 19'!$U$2," ")</f>
        <v/>
      </c>
      <c r="K296" s="672" t="s">
        <v>51</v>
      </c>
      <c r="L296" s="669"/>
      <c r="M296" s="192" t="str">
        <f>IF('City 20'!$D$10&lt;&gt;0,'City 20'!$D$10," ")</f>
        <v xml:space="preserve"> </v>
      </c>
      <c r="N296" s="161"/>
      <c r="O296" s="672" t="s">
        <v>86</v>
      </c>
      <c r="P296" s="669"/>
      <c r="Q296" s="192" t="str">
        <f>IF('City 20'!$U$2&lt;&gt;0,'City 20'!$U$2," ")</f>
        <v/>
      </c>
    </row>
    <row r="297" spans="1:17" ht="5.0999999999999996" customHeight="1" thickBot="1" x14ac:dyDescent="0.3">
      <c r="A297" s="146"/>
      <c r="B297" s="669"/>
      <c r="C297" s="669"/>
      <c r="D297" s="67"/>
      <c r="E297" s="67"/>
      <c r="F297" s="65"/>
      <c r="G297" s="65"/>
      <c r="H297" s="65"/>
      <c r="I297" s="65"/>
      <c r="K297" s="669"/>
      <c r="L297" s="669"/>
      <c r="M297" s="67"/>
      <c r="N297" s="67"/>
      <c r="O297" s="65"/>
      <c r="P297" s="65"/>
      <c r="Q297" s="65"/>
    </row>
    <row r="298" spans="1:17" ht="20.100000000000001" customHeight="1" thickBot="1" x14ac:dyDescent="0.3">
      <c r="A298" s="96"/>
      <c r="B298" s="306" t="s">
        <v>640</v>
      </c>
      <c r="D298" s="258">
        <f>'City 19'!$M$4</f>
        <v>0</v>
      </c>
      <c r="E298" s="161"/>
      <c r="F298" s="306" t="s">
        <v>641</v>
      </c>
      <c r="H298" s="258">
        <f>'City 19'!$M$6</f>
        <v>0</v>
      </c>
      <c r="K298" s="306" t="s">
        <v>640</v>
      </c>
      <c r="M298" s="258">
        <f>'City 20'!$M$4</f>
        <v>0</v>
      </c>
      <c r="N298" s="161"/>
      <c r="O298" s="306" t="s">
        <v>641</v>
      </c>
      <c r="Q298" s="258">
        <f>'City 20'!$M$6</f>
        <v>0</v>
      </c>
    </row>
    <row r="299" spans="1:17" ht="5.0999999999999996" customHeight="1" thickBot="1" x14ac:dyDescent="0.3">
      <c r="A299" s="146"/>
      <c r="B299" s="673"/>
      <c r="C299" s="298"/>
      <c r="D299" s="673"/>
      <c r="E299" s="67"/>
      <c r="I299" s="65"/>
      <c r="K299" s="673"/>
      <c r="L299" s="298"/>
      <c r="M299" s="673"/>
      <c r="N299" s="67"/>
    </row>
    <row r="300" spans="1:17" ht="20.100000000000001" customHeight="1" thickBot="1" x14ac:dyDescent="0.3">
      <c r="A300" s="96"/>
      <c r="B300" s="306" t="s">
        <v>642</v>
      </c>
      <c r="D300" s="258">
        <f>'City 19'!$U$10</f>
        <v>0</v>
      </c>
      <c r="F300" s="306" t="s">
        <v>643</v>
      </c>
      <c r="H300" s="258">
        <f>'City 19'!$M$8</f>
        <v>0</v>
      </c>
      <c r="K300" s="306" t="s">
        <v>642</v>
      </c>
      <c r="M300" s="258">
        <f>'City 20'!$U$10</f>
        <v>0</v>
      </c>
      <c r="O300" s="306" t="s">
        <v>643</v>
      </c>
      <c r="Q300" s="258">
        <f>'City 20'!$M$8</f>
        <v>0</v>
      </c>
    </row>
    <row r="301" spans="1:17" ht="5.0999999999999996" customHeight="1" thickBot="1" x14ac:dyDescent="0.3">
      <c r="A301" s="146"/>
      <c r="B301" s="65"/>
      <c r="C301" s="65"/>
      <c r="D301" s="65"/>
      <c r="E301" s="65"/>
      <c r="F301" s="65"/>
      <c r="G301" s="65"/>
      <c r="H301" s="65"/>
      <c r="I301" s="65"/>
      <c r="K301" s="65"/>
      <c r="L301" s="65"/>
      <c r="M301" s="65"/>
      <c r="N301" s="65"/>
      <c r="O301" s="65"/>
      <c r="P301" s="65"/>
      <c r="Q301" s="65"/>
    </row>
    <row r="302" spans="1:17" ht="20.100000000000001" customHeight="1" thickBot="1" x14ac:dyDescent="0.3">
      <c r="A302" s="96"/>
      <c r="B302" s="306" t="s">
        <v>644</v>
      </c>
      <c r="D302" s="258">
        <f>'City 19'!$M$10</f>
        <v>0</v>
      </c>
      <c r="F302" s="306" t="s">
        <v>645</v>
      </c>
      <c r="H302" s="258">
        <f>'City 19'!$U$12</f>
        <v>0</v>
      </c>
      <c r="K302" s="306" t="s">
        <v>644</v>
      </c>
      <c r="M302" s="258">
        <f>'City 20'!$M$10</f>
        <v>0</v>
      </c>
      <c r="O302" s="306" t="s">
        <v>645</v>
      </c>
      <c r="Q302" s="258">
        <f>'City 20'!$U$12</f>
        <v>0</v>
      </c>
    </row>
    <row r="303" spans="1:17" s="65" customFormat="1" ht="5.0999999999999996" customHeight="1" x14ac:dyDescent="0.25">
      <c r="A303" s="96"/>
      <c r="B303" s="61"/>
      <c r="C303" s="61"/>
      <c r="D303" s="61"/>
      <c r="E303" s="61"/>
      <c r="F303" s="61"/>
      <c r="G303" s="61"/>
      <c r="H303" s="61"/>
      <c r="I303" s="61"/>
      <c r="K303" s="61"/>
      <c r="L303" s="61"/>
      <c r="M303" s="61"/>
      <c r="N303" s="61"/>
      <c r="O303" s="61"/>
      <c r="P303" s="61"/>
      <c r="Q303" s="61"/>
    </row>
    <row r="304" spans="1:17" ht="20.100000000000001" customHeight="1" x14ac:dyDescent="0.25">
      <c r="A304" s="96"/>
      <c r="B304" s="715" t="s">
        <v>438</v>
      </c>
      <c r="C304" s="715"/>
      <c r="D304" s="731"/>
      <c r="F304" s="715" t="s">
        <v>130</v>
      </c>
      <c r="G304" s="715"/>
      <c r="H304" s="715"/>
      <c r="K304" s="715" t="s">
        <v>438</v>
      </c>
      <c r="L304" s="715"/>
      <c r="M304" s="731"/>
      <c r="O304" s="715" t="s">
        <v>130</v>
      </c>
      <c r="P304" s="715"/>
      <c r="Q304" s="715"/>
    </row>
    <row r="305" spans="1:17" s="65" customFormat="1" ht="5.0999999999999996" customHeight="1" thickBot="1" x14ac:dyDescent="0.3">
      <c r="A305" s="96"/>
      <c r="B305" s="673"/>
      <c r="C305" s="298"/>
      <c r="D305" s="673"/>
      <c r="E305" s="61"/>
      <c r="F305" s="732"/>
      <c r="G305" s="732"/>
      <c r="H305" s="732"/>
      <c r="I305" s="61"/>
      <c r="K305" s="673"/>
      <c r="L305" s="298"/>
      <c r="M305" s="673"/>
      <c r="N305" s="61"/>
      <c r="O305" s="732"/>
      <c r="P305" s="732"/>
      <c r="Q305" s="732"/>
    </row>
    <row r="306" spans="1:17" ht="20.100000000000001" customHeight="1" thickBot="1" x14ac:dyDescent="0.3">
      <c r="A306" s="96"/>
      <c r="B306" s="670" t="s">
        <v>443</v>
      </c>
      <c r="C306" s="153"/>
      <c r="D306" s="551">
        <f>'City 19'!$D$227</f>
        <v>0</v>
      </c>
      <c r="E306" s="161"/>
      <c r="F306" s="716" t="str">
        <f>'City 19'!$B$184</f>
        <v/>
      </c>
      <c r="G306" s="717"/>
      <c r="H306" s="718"/>
      <c r="K306" s="670" t="s">
        <v>443</v>
      </c>
      <c r="L306" s="153"/>
      <c r="M306" s="551">
        <f>'City 20'!$D$227</f>
        <v>0</v>
      </c>
      <c r="N306" s="161"/>
      <c r="O306" s="716" t="str">
        <f>'City 20'!$B$184</f>
        <v/>
      </c>
      <c r="P306" s="717"/>
      <c r="Q306" s="718"/>
    </row>
    <row r="307" spans="1:17" s="65" customFormat="1" ht="5.0999999999999996" customHeight="1" thickBot="1" x14ac:dyDescent="0.3">
      <c r="A307" s="96"/>
      <c r="B307" s="153"/>
      <c r="C307" s="153"/>
      <c r="D307" s="230"/>
      <c r="E307" s="63"/>
      <c r="F307" s="733"/>
      <c r="G307" s="733"/>
      <c r="H307" s="733"/>
      <c r="I307" s="61"/>
      <c r="K307" s="153"/>
      <c r="L307" s="153"/>
      <c r="M307" s="230"/>
      <c r="N307" s="63"/>
      <c r="O307" s="733"/>
      <c r="P307" s="733"/>
      <c r="Q307" s="733"/>
    </row>
    <row r="308" spans="1:17" ht="20.100000000000001" customHeight="1" thickBot="1" x14ac:dyDescent="0.3">
      <c r="A308" s="96"/>
      <c r="B308" s="670" t="s">
        <v>175</v>
      </c>
      <c r="C308" s="153"/>
      <c r="D308" s="551">
        <f>'City 19'!$D$228</f>
        <v>0</v>
      </c>
      <c r="E308" s="673"/>
      <c r="F308" s="716" t="str">
        <f>'City 19'!$B$185</f>
        <v/>
      </c>
      <c r="G308" s="717"/>
      <c r="H308" s="718"/>
      <c r="K308" s="670" t="s">
        <v>175</v>
      </c>
      <c r="L308" s="153"/>
      <c r="M308" s="551">
        <f>'City 20'!$D$228</f>
        <v>0</v>
      </c>
      <c r="N308" s="673"/>
      <c r="O308" s="716" t="str">
        <f>'City 20'!$B$185</f>
        <v/>
      </c>
      <c r="P308" s="717"/>
      <c r="Q308" s="718"/>
    </row>
    <row r="309" spans="1:17" s="65" customFormat="1" ht="5.0999999999999996" customHeight="1" thickBot="1" x14ac:dyDescent="0.3">
      <c r="A309" s="96"/>
      <c r="B309" s="153"/>
      <c r="C309" s="153"/>
      <c r="D309" s="230"/>
      <c r="E309" s="673"/>
      <c r="F309" s="717"/>
      <c r="G309" s="717"/>
      <c r="H309" s="717"/>
      <c r="I309" s="61"/>
      <c r="K309" s="153"/>
      <c r="L309" s="153"/>
      <c r="M309" s="230"/>
      <c r="N309" s="673"/>
      <c r="O309" s="717"/>
      <c r="P309" s="717"/>
      <c r="Q309" s="717"/>
    </row>
    <row r="310" spans="1:17" ht="20.100000000000001" customHeight="1" thickBot="1" x14ac:dyDescent="0.3">
      <c r="A310" s="96"/>
      <c r="B310" s="670" t="s">
        <v>442</v>
      </c>
      <c r="C310" s="153"/>
      <c r="D310" s="551">
        <f>'City 19'!$D$229</f>
        <v>0</v>
      </c>
      <c r="E310" s="673"/>
      <c r="F310" s="716" t="str">
        <f>'City 19'!$B$186</f>
        <v/>
      </c>
      <c r="G310" s="717"/>
      <c r="H310" s="718"/>
      <c r="K310" s="670" t="s">
        <v>442</v>
      </c>
      <c r="L310" s="153"/>
      <c r="M310" s="551">
        <f>'City 20'!$D$229</f>
        <v>0</v>
      </c>
      <c r="N310" s="673"/>
      <c r="O310" s="716" t="str">
        <f>'City 20'!$B$186</f>
        <v/>
      </c>
      <c r="P310" s="717"/>
      <c r="Q310" s="718"/>
    </row>
    <row r="311" spans="1:17" s="65" customFormat="1" ht="5.0999999999999996" customHeight="1" x14ac:dyDescent="0.25">
      <c r="A311" s="96"/>
      <c r="B311" s="61"/>
      <c r="C311" s="61"/>
      <c r="D311" s="61"/>
      <c r="E311" s="673"/>
      <c r="F311" s="61"/>
      <c r="G311" s="61"/>
      <c r="H311" s="61"/>
      <c r="I311" s="61"/>
      <c r="K311" s="61"/>
      <c r="L311" s="61"/>
      <c r="M311" s="61"/>
      <c r="N311" s="673"/>
      <c r="O311" s="61"/>
      <c r="P311" s="61"/>
      <c r="Q311" s="61"/>
    </row>
    <row r="312" spans="1:17" ht="20.100000000000001" customHeight="1" x14ac:dyDescent="0.25">
      <c r="A312" s="96"/>
      <c r="B312" s="667" t="s">
        <v>91</v>
      </c>
      <c r="C312" s="668"/>
      <c r="D312" s="668"/>
      <c r="E312" s="668"/>
      <c r="F312" s="668"/>
      <c r="G312" s="668"/>
      <c r="H312" s="301"/>
      <c r="K312" s="667" t="s">
        <v>91</v>
      </c>
      <c r="L312" s="668"/>
      <c r="M312" s="668"/>
      <c r="N312" s="668"/>
      <c r="O312" s="668"/>
      <c r="P312" s="668"/>
      <c r="Q312" s="301"/>
    </row>
    <row r="313" spans="1:17" s="65" customFormat="1" ht="5.0999999999999996" customHeight="1" thickBot="1" x14ac:dyDescent="0.3">
      <c r="A313" s="96"/>
      <c r="B313" s="311"/>
      <c r="C313" s="311"/>
      <c r="D313" s="311"/>
      <c r="E313" s="311"/>
      <c r="F313" s="311"/>
      <c r="G313" s="311"/>
      <c r="H313" s="311"/>
      <c r="I313" s="61"/>
      <c r="K313" s="311"/>
      <c r="L313" s="311"/>
      <c r="M313" s="311"/>
      <c r="N313" s="311"/>
      <c r="O313" s="311"/>
      <c r="P313" s="311"/>
      <c r="Q313" s="311"/>
    </row>
    <row r="314" spans="1:17" ht="20.100000000000001" customHeight="1" x14ac:dyDescent="0.25">
      <c r="A314" s="305"/>
      <c r="B314" s="719"/>
      <c r="C314" s="720"/>
      <c r="D314" s="720"/>
      <c r="E314" s="720"/>
      <c r="F314" s="720"/>
      <c r="G314" s="720"/>
      <c r="H314" s="721"/>
      <c r="K314" s="719"/>
      <c r="L314" s="720"/>
      <c r="M314" s="720"/>
      <c r="N314" s="720"/>
      <c r="O314" s="720"/>
      <c r="P314" s="720"/>
      <c r="Q314" s="721"/>
    </row>
    <row r="315" spans="1:17" ht="20.100000000000001" customHeight="1" x14ac:dyDescent="0.25">
      <c r="A315" s="305"/>
      <c r="B315" s="722"/>
      <c r="C315" s="723"/>
      <c r="D315" s="723"/>
      <c r="E315" s="723"/>
      <c r="F315" s="723"/>
      <c r="G315" s="723"/>
      <c r="H315" s="724"/>
      <c r="K315" s="722"/>
      <c r="L315" s="723"/>
      <c r="M315" s="723"/>
      <c r="N315" s="723"/>
      <c r="O315" s="723"/>
      <c r="P315" s="723"/>
      <c r="Q315" s="724"/>
    </row>
    <row r="316" spans="1:17" ht="20.100000000000001" customHeight="1" x14ac:dyDescent="0.25">
      <c r="A316" s="96"/>
      <c r="B316" s="722"/>
      <c r="C316" s="723"/>
      <c r="D316" s="723"/>
      <c r="E316" s="723"/>
      <c r="F316" s="723"/>
      <c r="G316" s="723"/>
      <c r="H316" s="724"/>
      <c r="K316" s="722"/>
      <c r="L316" s="723"/>
      <c r="M316" s="723"/>
      <c r="N316" s="723"/>
      <c r="O316" s="723"/>
      <c r="P316" s="723"/>
      <c r="Q316" s="724"/>
    </row>
    <row r="317" spans="1:17" ht="20.100000000000001" customHeight="1" x14ac:dyDescent="0.25">
      <c r="A317" s="96"/>
      <c r="B317" s="722"/>
      <c r="C317" s="723"/>
      <c r="D317" s="723"/>
      <c r="E317" s="723"/>
      <c r="F317" s="723"/>
      <c r="G317" s="723"/>
      <c r="H317" s="724"/>
      <c r="K317" s="722"/>
      <c r="L317" s="723"/>
      <c r="M317" s="723"/>
      <c r="N317" s="723"/>
      <c r="O317" s="723"/>
      <c r="P317" s="723"/>
      <c r="Q317" s="724"/>
    </row>
    <row r="318" spans="1:17" ht="20.100000000000001" customHeight="1" x14ac:dyDescent="0.25">
      <c r="A318" s="146"/>
      <c r="B318" s="722"/>
      <c r="C318" s="723"/>
      <c r="D318" s="723"/>
      <c r="E318" s="723"/>
      <c r="F318" s="723"/>
      <c r="G318" s="723"/>
      <c r="H318" s="724"/>
      <c r="I318" s="65"/>
      <c r="K318" s="722"/>
      <c r="L318" s="723"/>
      <c r="M318" s="723"/>
      <c r="N318" s="723"/>
      <c r="O318" s="723"/>
      <c r="P318" s="723"/>
      <c r="Q318" s="724"/>
    </row>
    <row r="319" spans="1:17" ht="20.100000000000001" customHeight="1" thickBot="1" x14ac:dyDescent="0.3">
      <c r="A319" s="96"/>
      <c r="B319" s="725"/>
      <c r="C319" s="726"/>
      <c r="D319" s="726"/>
      <c r="E319" s="726"/>
      <c r="F319" s="726"/>
      <c r="G319" s="726"/>
      <c r="H319" s="727"/>
      <c r="K319" s="725"/>
      <c r="L319" s="726"/>
      <c r="M319" s="726"/>
      <c r="N319" s="726"/>
      <c r="O319" s="726"/>
      <c r="P319" s="726"/>
      <c r="Q319" s="727"/>
    </row>
    <row r="320" spans="1:17" ht="5.0999999999999996" customHeight="1" thickBot="1" x14ac:dyDescent="0.3">
      <c r="A320" s="146"/>
      <c r="B320" s="65"/>
      <c r="C320" s="65"/>
      <c r="D320" s="65"/>
      <c r="E320" s="65"/>
      <c r="F320" s="65"/>
      <c r="G320" s="65"/>
      <c r="H320" s="65"/>
      <c r="I320" s="65"/>
    </row>
    <row r="321" spans="1:17" ht="5.0999999999999996" customHeight="1" thickBot="1" x14ac:dyDescent="0.3">
      <c r="A321" s="141"/>
    </row>
    <row r="322" spans="1:17" ht="20.100000000000001" customHeight="1" thickBot="1" x14ac:dyDescent="0.3">
      <c r="A322" s="96"/>
      <c r="B322" s="671" t="s">
        <v>78</v>
      </c>
      <c r="C322" s="62"/>
      <c r="D322" s="728" t="str">
        <f>IF('City 21'!$D$2&lt;&gt;0,'City 21'!$D$2&amp;" - "&amp;'City 21'!$AA$6," ")</f>
        <v xml:space="preserve"> </v>
      </c>
      <c r="E322" s="729"/>
      <c r="F322" s="729"/>
      <c r="G322" s="729"/>
      <c r="H322" s="730"/>
      <c r="K322" s="671" t="s">
        <v>78</v>
      </c>
      <c r="L322" s="62"/>
      <c r="M322" s="728" t="str">
        <f>IF('City 22'!$D$2&lt;&gt;0,'City 22'!$D$2&amp;" - "&amp;'City 22'!$AA$6," ")</f>
        <v xml:space="preserve"> </v>
      </c>
      <c r="N322" s="729"/>
      <c r="O322" s="729"/>
      <c r="P322" s="729"/>
      <c r="Q322" s="730"/>
    </row>
    <row r="323" spans="1:17" ht="5.0999999999999996" customHeight="1" thickBot="1" x14ac:dyDescent="0.3">
      <c r="A323" s="146"/>
      <c r="B323" s="62"/>
      <c r="C323" s="62"/>
      <c r="D323" s="63"/>
      <c r="E323" s="298"/>
      <c r="F323" s="62"/>
      <c r="G323" s="62"/>
      <c r="H323" s="298"/>
      <c r="I323" s="65"/>
      <c r="K323" s="62"/>
      <c r="L323" s="62"/>
      <c r="M323" s="63"/>
      <c r="N323" s="298"/>
      <c r="O323" s="62"/>
      <c r="P323" s="62"/>
      <c r="Q323" s="298"/>
    </row>
    <row r="324" spans="1:17" ht="20.100000000000001" customHeight="1" thickBot="1" x14ac:dyDescent="0.3">
      <c r="A324" s="96"/>
      <c r="B324" s="672" t="s">
        <v>49</v>
      </c>
      <c r="C324" s="669"/>
      <c r="D324" s="192" t="str">
        <f>IF('City 21'!$D$6&lt;&gt;0,'City 21'!$D$6," ")</f>
        <v xml:space="preserve"> </v>
      </c>
      <c r="E324" s="161"/>
      <c r="F324" s="672" t="s">
        <v>46</v>
      </c>
      <c r="G324" s="669"/>
      <c r="H324" s="192" t="str">
        <f>IF('City 21'!$D$4&lt;&gt;0,'City 21'!$D$4," ")</f>
        <v xml:space="preserve"> </v>
      </c>
      <c r="K324" s="672" t="s">
        <v>49</v>
      </c>
      <c r="L324" s="669"/>
      <c r="M324" s="192" t="str">
        <f>IF('City 22'!$D$6&lt;&gt;0,'City 22'!$D$6," ")</f>
        <v xml:space="preserve"> </v>
      </c>
      <c r="N324" s="161"/>
      <c r="O324" s="672" t="s">
        <v>46</v>
      </c>
      <c r="P324" s="669"/>
      <c r="Q324" s="192" t="str">
        <f>IF('City 22'!$D$4&lt;&gt;0,'City 22'!$D$4," ")</f>
        <v xml:space="preserve"> </v>
      </c>
    </row>
    <row r="325" spans="1:17" ht="5.0999999999999996" customHeight="1" thickBot="1" x14ac:dyDescent="0.3">
      <c r="A325" s="146"/>
      <c r="B325" s="62"/>
      <c r="C325" s="62"/>
      <c r="D325" s="67"/>
      <c r="E325" s="67"/>
      <c r="F325" s="298"/>
      <c r="G325" s="298"/>
      <c r="H325" s="298"/>
      <c r="I325" s="65"/>
      <c r="K325" s="62"/>
      <c r="L325" s="62"/>
      <c r="M325" s="67"/>
      <c r="N325" s="67"/>
      <c r="O325" s="298"/>
      <c r="P325" s="298"/>
      <c r="Q325" s="298"/>
    </row>
    <row r="326" spans="1:17" ht="20.100000000000001" customHeight="1" thickBot="1" x14ac:dyDescent="0.3">
      <c r="A326" s="96"/>
      <c r="B326" s="672" t="s">
        <v>50</v>
      </c>
      <c r="C326" s="669"/>
      <c r="D326" s="192" t="str">
        <f>IF('City 21'!$D$8&lt;&gt;0,'City 21'!$D$8," ")</f>
        <v xml:space="preserve"> </v>
      </c>
      <c r="E326" s="161"/>
      <c r="F326" s="672" t="s">
        <v>85</v>
      </c>
      <c r="G326" s="669"/>
      <c r="H326" s="192">
        <f>IF('City 21'!$U$6&lt;&gt;0,'City 21'!$U$6,0)</f>
        <v>0</v>
      </c>
      <c r="K326" s="672" t="s">
        <v>50</v>
      </c>
      <c r="L326" s="669"/>
      <c r="M326" s="192" t="str">
        <f>IF('City 22'!$D$8&lt;&gt;0,'City 22'!$D$8," ")</f>
        <v xml:space="preserve"> </v>
      </c>
      <c r="N326" s="161"/>
      <c r="O326" s="672" t="s">
        <v>85</v>
      </c>
      <c r="P326" s="669"/>
      <c r="Q326" s="192">
        <f>IF('City 22'!$U$6&lt;&gt;0,'City 22'!$U$6,0)</f>
        <v>0</v>
      </c>
    </row>
    <row r="327" spans="1:17" ht="5.0999999999999996" customHeight="1" thickBot="1" x14ac:dyDescent="0.3">
      <c r="A327" s="146"/>
      <c r="B327" s="62"/>
      <c r="C327" s="62"/>
      <c r="D327" s="67"/>
      <c r="E327" s="67"/>
      <c r="F327" s="298"/>
      <c r="G327" s="298"/>
      <c r="H327" s="298"/>
      <c r="I327" s="65"/>
      <c r="K327" s="62"/>
      <c r="L327" s="62"/>
      <c r="M327" s="67"/>
      <c r="N327" s="67"/>
      <c r="O327" s="298"/>
      <c r="P327" s="298"/>
      <c r="Q327" s="298"/>
    </row>
    <row r="328" spans="1:17" ht="20.100000000000001" customHeight="1" thickBot="1" x14ac:dyDescent="0.3">
      <c r="A328" s="96"/>
      <c r="B328" s="672" t="s">
        <v>51</v>
      </c>
      <c r="C328" s="669"/>
      <c r="D328" s="192" t="str">
        <f>IF('City 21'!$D$10&lt;&gt;0,'City 21'!$D$10," ")</f>
        <v xml:space="preserve"> </v>
      </c>
      <c r="E328" s="161"/>
      <c r="F328" s="672" t="s">
        <v>86</v>
      </c>
      <c r="G328" s="669"/>
      <c r="H328" s="192" t="str">
        <f>IF('City 21'!$U$2&lt;&gt;0,'City 21'!$U$2," ")</f>
        <v/>
      </c>
      <c r="K328" s="672" t="s">
        <v>51</v>
      </c>
      <c r="L328" s="669"/>
      <c r="M328" s="192" t="str">
        <f>IF('City 22'!$D$10&lt;&gt;0,'City 22'!$D$10," ")</f>
        <v xml:space="preserve"> </v>
      </c>
      <c r="N328" s="161"/>
      <c r="O328" s="672" t="s">
        <v>86</v>
      </c>
      <c r="P328" s="669"/>
      <c r="Q328" s="192" t="str">
        <f>IF('City 22'!$U$2&lt;&gt;0,'City 22'!$U$2," ")</f>
        <v/>
      </c>
    </row>
    <row r="329" spans="1:17" ht="5.0999999999999996" customHeight="1" thickBot="1" x14ac:dyDescent="0.3">
      <c r="A329" s="146"/>
      <c r="B329" s="669"/>
      <c r="C329" s="669"/>
      <c r="D329" s="67"/>
      <c r="E329" s="67"/>
      <c r="F329" s="65"/>
      <c r="G329" s="65"/>
      <c r="H329" s="65"/>
      <c r="I329" s="65"/>
      <c r="K329" s="669"/>
      <c r="L329" s="669"/>
      <c r="M329" s="67"/>
      <c r="N329" s="67"/>
      <c r="O329" s="65"/>
      <c r="P329" s="65"/>
      <c r="Q329" s="65"/>
    </row>
    <row r="330" spans="1:17" s="65" customFormat="1" ht="20.100000000000001" customHeight="1" thickBot="1" x14ac:dyDescent="0.3">
      <c r="A330" s="96"/>
      <c r="B330" s="306" t="s">
        <v>640</v>
      </c>
      <c r="C330" s="61"/>
      <c r="D330" s="258">
        <f>'City 21'!$M$4</f>
        <v>0</v>
      </c>
      <c r="E330" s="161"/>
      <c r="F330" s="306" t="s">
        <v>641</v>
      </c>
      <c r="G330" s="61"/>
      <c r="H330" s="258">
        <f>'City 21'!$M$6</f>
        <v>0</v>
      </c>
      <c r="I330" s="61"/>
      <c r="K330" s="306" t="s">
        <v>640</v>
      </c>
      <c r="L330" s="61"/>
      <c r="M330" s="258">
        <f>'City 22'!$M$4</f>
        <v>0</v>
      </c>
      <c r="N330" s="161"/>
      <c r="O330" s="306" t="s">
        <v>641</v>
      </c>
      <c r="P330" s="61"/>
      <c r="Q330" s="258">
        <f>'City 22'!$M$6</f>
        <v>0</v>
      </c>
    </row>
    <row r="331" spans="1:17" ht="5.0999999999999996" customHeight="1" thickBot="1" x14ac:dyDescent="0.3">
      <c r="A331" s="146"/>
      <c r="B331" s="673"/>
      <c r="C331" s="298"/>
      <c r="D331" s="673"/>
      <c r="E331" s="67"/>
      <c r="I331" s="65"/>
      <c r="K331" s="673"/>
      <c r="L331" s="298"/>
      <c r="M331" s="673"/>
      <c r="N331" s="67"/>
    </row>
    <row r="332" spans="1:17" s="65" customFormat="1" ht="20.100000000000001" customHeight="1" thickBot="1" x14ac:dyDescent="0.3">
      <c r="A332" s="96"/>
      <c r="B332" s="306" t="s">
        <v>642</v>
      </c>
      <c r="C332" s="61"/>
      <c r="D332" s="258">
        <f>'City 21'!$U$10</f>
        <v>0</v>
      </c>
      <c r="E332" s="61"/>
      <c r="F332" s="306" t="s">
        <v>643</v>
      </c>
      <c r="G332" s="61"/>
      <c r="H332" s="258">
        <f>'City 21'!$M$8</f>
        <v>0</v>
      </c>
      <c r="I332" s="61"/>
      <c r="K332" s="306" t="s">
        <v>642</v>
      </c>
      <c r="L332" s="61"/>
      <c r="M332" s="258">
        <f>'City 22'!$U$10</f>
        <v>0</v>
      </c>
      <c r="N332" s="61"/>
      <c r="O332" s="306" t="s">
        <v>643</v>
      </c>
      <c r="P332" s="61"/>
      <c r="Q332" s="258">
        <f>'City 22'!$M$8</f>
        <v>0</v>
      </c>
    </row>
    <row r="333" spans="1:17" ht="5.0999999999999996" customHeight="1" thickBot="1" x14ac:dyDescent="0.3">
      <c r="A333" s="146"/>
      <c r="B333" s="65"/>
      <c r="C333" s="65"/>
      <c r="D333" s="65"/>
      <c r="E333" s="65"/>
      <c r="F333" s="65"/>
      <c r="G333" s="65"/>
      <c r="H333" s="65"/>
      <c r="I333" s="65"/>
      <c r="K333" s="65"/>
      <c r="L333" s="65"/>
      <c r="M333" s="65"/>
      <c r="N333" s="65"/>
      <c r="O333" s="65"/>
      <c r="P333" s="65"/>
      <c r="Q333" s="65"/>
    </row>
    <row r="334" spans="1:17" s="65" customFormat="1" ht="20.100000000000001" customHeight="1" thickBot="1" x14ac:dyDescent="0.3">
      <c r="A334" s="96"/>
      <c r="B334" s="306" t="s">
        <v>644</v>
      </c>
      <c r="C334" s="61"/>
      <c r="D334" s="258">
        <f>'City 21'!$M$10</f>
        <v>0</v>
      </c>
      <c r="E334" s="61"/>
      <c r="F334" s="306" t="s">
        <v>645</v>
      </c>
      <c r="G334" s="61"/>
      <c r="H334" s="258">
        <f>'City 21'!$U$12</f>
        <v>0</v>
      </c>
      <c r="I334" s="61"/>
      <c r="K334" s="306" t="s">
        <v>644</v>
      </c>
      <c r="L334" s="61"/>
      <c r="M334" s="258">
        <f>'City 22'!$M$10</f>
        <v>0</v>
      </c>
      <c r="N334" s="61"/>
      <c r="O334" s="306" t="s">
        <v>645</v>
      </c>
      <c r="P334" s="61"/>
      <c r="Q334" s="258">
        <f>'City 22'!$U$12</f>
        <v>0</v>
      </c>
    </row>
    <row r="335" spans="1:17" ht="5.0999999999999996" customHeight="1" x14ac:dyDescent="0.25">
      <c r="A335" s="96"/>
    </row>
    <row r="336" spans="1:17" s="65" customFormat="1" ht="20.100000000000001" customHeight="1" x14ac:dyDescent="0.25">
      <c r="A336" s="96"/>
      <c r="B336" s="715" t="s">
        <v>438</v>
      </c>
      <c r="C336" s="715"/>
      <c r="D336" s="731"/>
      <c r="E336" s="61"/>
      <c r="F336" s="715" t="s">
        <v>130</v>
      </c>
      <c r="G336" s="715"/>
      <c r="H336" s="715"/>
      <c r="I336" s="61"/>
      <c r="K336" s="715" t="s">
        <v>438</v>
      </c>
      <c r="L336" s="715"/>
      <c r="M336" s="731"/>
      <c r="N336" s="61"/>
      <c r="O336" s="715" t="s">
        <v>130</v>
      </c>
      <c r="P336" s="715"/>
      <c r="Q336" s="715"/>
    </row>
    <row r="337" spans="1:17" ht="5.0999999999999996" customHeight="1" thickBot="1" x14ac:dyDescent="0.3">
      <c r="A337" s="96"/>
      <c r="B337" s="673"/>
      <c r="C337" s="298"/>
      <c r="D337" s="673"/>
      <c r="F337" s="732"/>
      <c r="G337" s="732"/>
      <c r="H337" s="732"/>
      <c r="K337" s="673"/>
      <c r="L337" s="298"/>
      <c r="M337" s="673"/>
      <c r="O337" s="732"/>
      <c r="P337" s="732"/>
      <c r="Q337" s="732"/>
    </row>
    <row r="338" spans="1:17" s="65" customFormat="1" ht="20.100000000000001" customHeight="1" thickBot="1" x14ac:dyDescent="0.3">
      <c r="A338" s="96"/>
      <c r="B338" s="670" t="s">
        <v>443</v>
      </c>
      <c r="C338" s="153"/>
      <c r="D338" s="551">
        <f>'City 21'!$D$227</f>
        <v>0</v>
      </c>
      <c r="E338" s="161"/>
      <c r="F338" s="716" t="str">
        <f>'City 21'!$B$184</f>
        <v/>
      </c>
      <c r="G338" s="717"/>
      <c r="H338" s="718"/>
      <c r="I338" s="61"/>
      <c r="K338" s="670" t="s">
        <v>443</v>
      </c>
      <c r="L338" s="153"/>
      <c r="M338" s="551">
        <f>'City 22'!$D$227</f>
        <v>0</v>
      </c>
      <c r="N338" s="161"/>
      <c r="O338" s="716" t="str">
        <f>'City 22'!$B$184</f>
        <v/>
      </c>
      <c r="P338" s="717"/>
      <c r="Q338" s="718"/>
    </row>
    <row r="339" spans="1:17" ht="5.0999999999999996" customHeight="1" thickBot="1" x14ac:dyDescent="0.3">
      <c r="A339" s="96"/>
      <c r="B339" s="153"/>
      <c r="C339" s="153"/>
      <c r="D339" s="230"/>
      <c r="E339" s="63"/>
      <c r="F339" s="733"/>
      <c r="G339" s="733"/>
      <c r="H339" s="733"/>
      <c r="K339" s="153"/>
      <c r="L339" s="153"/>
      <c r="M339" s="230"/>
      <c r="N339" s="63"/>
      <c r="O339" s="733"/>
      <c r="P339" s="733"/>
      <c r="Q339" s="733"/>
    </row>
    <row r="340" spans="1:17" s="65" customFormat="1" ht="20.100000000000001" customHeight="1" thickBot="1" x14ac:dyDescent="0.3">
      <c r="A340" s="96"/>
      <c r="B340" s="670" t="s">
        <v>175</v>
      </c>
      <c r="C340" s="153"/>
      <c r="D340" s="551">
        <f>'City 21'!$D$228</f>
        <v>0</v>
      </c>
      <c r="E340" s="673"/>
      <c r="F340" s="716" t="str">
        <f>'City 21'!$B$185</f>
        <v/>
      </c>
      <c r="G340" s="717"/>
      <c r="H340" s="718"/>
      <c r="I340" s="61"/>
      <c r="K340" s="670" t="s">
        <v>175</v>
      </c>
      <c r="L340" s="153"/>
      <c r="M340" s="551">
        <f>'City 22'!$D$228</f>
        <v>0</v>
      </c>
      <c r="N340" s="673"/>
      <c r="O340" s="716" t="str">
        <f>'City 22'!$B$185</f>
        <v/>
      </c>
      <c r="P340" s="717"/>
      <c r="Q340" s="718"/>
    </row>
    <row r="341" spans="1:17" ht="5.0999999999999996" customHeight="1" thickBot="1" x14ac:dyDescent="0.3">
      <c r="A341" s="96"/>
      <c r="B341" s="153"/>
      <c r="C341" s="153"/>
      <c r="D341" s="230"/>
      <c r="E341" s="673"/>
      <c r="F341" s="717"/>
      <c r="G341" s="717"/>
      <c r="H341" s="717"/>
      <c r="K341" s="153"/>
      <c r="L341" s="153"/>
      <c r="M341" s="230"/>
      <c r="N341" s="673"/>
      <c r="O341" s="717"/>
      <c r="P341" s="717"/>
      <c r="Q341" s="717"/>
    </row>
    <row r="342" spans="1:17" ht="20.100000000000001" customHeight="1" thickBot="1" x14ac:dyDescent="0.3">
      <c r="A342" s="96"/>
      <c r="B342" s="670" t="s">
        <v>442</v>
      </c>
      <c r="C342" s="153"/>
      <c r="D342" s="551">
        <f>'City 21'!$D$229</f>
        <v>0</v>
      </c>
      <c r="E342" s="673"/>
      <c r="F342" s="716" t="str">
        <f>'City 21'!$B$186</f>
        <v/>
      </c>
      <c r="G342" s="717"/>
      <c r="H342" s="718"/>
      <c r="K342" s="670" t="s">
        <v>442</v>
      </c>
      <c r="L342" s="153"/>
      <c r="M342" s="551">
        <f>'City 22'!$D$229</f>
        <v>0</v>
      </c>
      <c r="N342" s="673"/>
      <c r="O342" s="716" t="str">
        <f>'City 22'!$B$186</f>
        <v/>
      </c>
      <c r="P342" s="717"/>
      <c r="Q342" s="718"/>
    </row>
    <row r="343" spans="1:17" ht="5.0999999999999996" customHeight="1" x14ac:dyDescent="0.25">
      <c r="A343" s="96"/>
      <c r="E343" s="673"/>
      <c r="N343" s="673"/>
    </row>
    <row r="344" spans="1:17" ht="20.100000000000001" customHeight="1" x14ac:dyDescent="0.25">
      <c r="A344" s="96"/>
      <c r="B344" s="667" t="s">
        <v>91</v>
      </c>
      <c r="C344" s="668"/>
      <c r="D344" s="668"/>
      <c r="E344" s="668"/>
      <c r="F344" s="668"/>
      <c r="G344" s="668"/>
      <c r="H344" s="301"/>
      <c r="K344" s="667" t="s">
        <v>91</v>
      </c>
      <c r="L344" s="668"/>
      <c r="M344" s="668"/>
      <c r="N344" s="668"/>
      <c r="O344" s="668"/>
      <c r="P344" s="668"/>
      <c r="Q344" s="301"/>
    </row>
    <row r="345" spans="1:17" ht="5.0999999999999996" customHeight="1" thickBot="1" x14ac:dyDescent="0.3">
      <c r="A345" s="96"/>
      <c r="B345" s="311"/>
      <c r="C345" s="311"/>
      <c r="D345" s="311"/>
      <c r="E345" s="311"/>
      <c r="F345" s="311"/>
      <c r="G345" s="311"/>
      <c r="H345" s="311"/>
      <c r="K345" s="311"/>
      <c r="L345" s="311"/>
      <c r="M345" s="311"/>
      <c r="N345" s="311"/>
      <c r="O345" s="311"/>
      <c r="P345" s="311"/>
      <c r="Q345" s="311"/>
    </row>
    <row r="346" spans="1:17" ht="20.100000000000001" customHeight="1" x14ac:dyDescent="0.25">
      <c r="A346" s="305"/>
      <c r="B346" s="719"/>
      <c r="C346" s="720"/>
      <c r="D346" s="720"/>
      <c r="E346" s="720"/>
      <c r="F346" s="720"/>
      <c r="G346" s="720"/>
      <c r="H346" s="721"/>
      <c r="K346" s="719"/>
      <c r="L346" s="720"/>
      <c r="M346" s="720"/>
      <c r="N346" s="720"/>
      <c r="O346" s="720"/>
      <c r="P346" s="720"/>
      <c r="Q346" s="721"/>
    </row>
    <row r="347" spans="1:17" ht="20.100000000000001" customHeight="1" x14ac:dyDescent="0.25">
      <c r="A347" s="305"/>
      <c r="B347" s="722"/>
      <c r="C347" s="723"/>
      <c r="D347" s="723"/>
      <c r="E347" s="723"/>
      <c r="F347" s="723"/>
      <c r="G347" s="723"/>
      <c r="H347" s="724"/>
      <c r="K347" s="722"/>
      <c r="L347" s="723"/>
      <c r="M347" s="723"/>
      <c r="N347" s="723"/>
      <c r="O347" s="723"/>
      <c r="P347" s="723"/>
      <c r="Q347" s="724"/>
    </row>
    <row r="348" spans="1:17" ht="20.100000000000001" customHeight="1" x14ac:dyDescent="0.25">
      <c r="A348" s="96"/>
      <c r="B348" s="722"/>
      <c r="C348" s="723"/>
      <c r="D348" s="723"/>
      <c r="E348" s="723"/>
      <c r="F348" s="723"/>
      <c r="G348" s="723"/>
      <c r="H348" s="724"/>
      <c r="K348" s="722"/>
      <c r="L348" s="723"/>
      <c r="M348" s="723"/>
      <c r="N348" s="723"/>
      <c r="O348" s="723"/>
      <c r="P348" s="723"/>
      <c r="Q348" s="724"/>
    </row>
    <row r="349" spans="1:17" ht="20.100000000000001" customHeight="1" x14ac:dyDescent="0.25">
      <c r="A349" s="96"/>
      <c r="B349" s="722"/>
      <c r="C349" s="723"/>
      <c r="D349" s="723"/>
      <c r="E349" s="723"/>
      <c r="F349" s="723"/>
      <c r="G349" s="723"/>
      <c r="H349" s="724"/>
      <c r="K349" s="722"/>
      <c r="L349" s="723"/>
      <c r="M349" s="723"/>
      <c r="N349" s="723"/>
      <c r="O349" s="723"/>
      <c r="P349" s="723"/>
      <c r="Q349" s="724"/>
    </row>
    <row r="350" spans="1:17" ht="20.100000000000001" customHeight="1" x14ac:dyDescent="0.25">
      <c r="A350" s="146"/>
      <c r="B350" s="722"/>
      <c r="C350" s="723"/>
      <c r="D350" s="723"/>
      <c r="E350" s="723"/>
      <c r="F350" s="723"/>
      <c r="G350" s="723"/>
      <c r="H350" s="724"/>
      <c r="I350" s="65"/>
      <c r="K350" s="722"/>
      <c r="L350" s="723"/>
      <c r="M350" s="723"/>
      <c r="N350" s="723"/>
      <c r="O350" s="723"/>
      <c r="P350" s="723"/>
      <c r="Q350" s="724"/>
    </row>
    <row r="351" spans="1:17" ht="20.100000000000001" customHeight="1" thickBot="1" x14ac:dyDescent="0.3">
      <c r="A351" s="96"/>
      <c r="B351" s="725"/>
      <c r="C351" s="726"/>
      <c r="D351" s="726"/>
      <c r="E351" s="726"/>
      <c r="F351" s="726"/>
      <c r="G351" s="726"/>
      <c r="H351" s="727"/>
      <c r="K351" s="725"/>
      <c r="L351" s="726"/>
      <c r="M351" s="726"/>
      <c r="N351" s="726"/>
      <c r="O351" s="726"/>
      <c r="P351" s="726"/>
      <c r="Q351" s="727"/>
    </row>
    <row r="352" spans="1:17" ht="5.0999999999999996" customHeight="1" thickBot="1" x14ac:dyDescent="0.3">
      <c r="A352" s="146"/>
      <c r="B352" s="65"/>
      <c r="C352" s="65"/>
      <c r="D352" s="65"/>
      <c r="E352" s="65"/>
      <c r="F352" s="65"/>
      <c r="G352" s="65"/>
      <c r="H352" s="65"/>
      <c r="I352" s="65"/>
    </row>
    <row r="353" spans="1:17" ht="5.0999999999999996" customHeight="1" thickBot="1" x14ac:dyDescent="0.3">
      <c r="A353" s="141"/>
    </row>
    <row r="354" spans="1:17" ht="20.100000000000001" customHeight="1" thickBot="1" x14ac:dyDescent="0.3">
      <c r="A354" s="96"/>
      <c r="B354" s="671" t="s">
        <v>78</v>
      </c>
      <c r="C354" s="62"/>
      <c r="D354" s="728" t="str">
        <f>IF('City 23'!$D$2&lt;&gt;0,'City 23'!$D$2&amp;" - "&amp;'City 23'!$AA$6," ")</f>
        <v xml:space="preserve"> </v>
      </c>
      <c r="E354" s="729"/>
      <c r="F354" s="729"/>
      <c r="G354" s="729"/>
      <c r="H354" s="730"/>
      <c r="K354" s="671" t="s">
        <v>78</v>
      </c>
      <c r="L354" s="62"/>
      <c r="M354" s="728" t="str">
        <f>IF('City 24'!$D$2&lt;&gt;0,'City 24'!$D$2&amp;" - "&amp;'City 24'!$AA$6," ")</f>
        <v xml:space="preserve"> </v>
      </c>
      <c r="N354" s="729"/>
      <c r="O354" s="729"/>
      <c r="P354" s="729"/>
      <c r="Q354" s="730"/>
    </row>
    <row r="355" spans="1:17" ht="5.0999999999999996" customHeight="1" thickBot="1" x14ac:dyDescent="0.3">
      <c r="A355" s="146"/>
      <c r="B355" s="62"/>
      <c r="C355" s="62"/>
      <c r="D355" s="63"/>
      <c r="E355" s="298"/>
      <c r="F355" s="62"/>
      <c r="G355" s="62"/>
      <c r="H355" s="298"/>
      <c r="I355" s="65"/>
      <c r="K355" s="62"/>
      <c r="L355" s="62"/>
      <c r="M355" s="63"/>
      <c r="N355" s="298"/>
      <c r="O355" s="62"/>
      <c r="P355" s="62"/>
      <c r="Q355" s="298"/>
    </row>
    <row r="356" spans="1:17" ht="20.100000000000001" customHeight="1" thickBot="1" x14ac:dyDescent="0.3">
      <c r="A356" s="96"/>
      <c r="B356" s="672" t="s">
        <v>49</v>
      </c>
      <c r="C356" s="669"/>
      <c r="D356" s="192" t="str">
        <f>IF('City 23'!$D$6&lt;&gt;0,'City 23'!$D$6," ")</f>
        <v xml:space="preserve"> </v>
      </c>
      <c r="E356" s="161"/>
      <c r="F356" s="672" t="s">
        <v>46</v>
      </c>
      <c r="G356" s="669"/>
      <c r="H356" s="192" t="str">
        <f>IF('City 23'!$D$4&lt;&gt;0,'City 23'!$D$4," ")</f>
        <v xml:space="preserve"> </v>
      </c>
      <c r="K356" s="672" t="s">
        <v>49</v>
      </c>
      <c r="L356" s="669"/>
      <c r="M356" s="192" t="str">
        <f>IF('City 24'!$D$6&lt;&gt;0,'City 24'!$D$6," ")</f>
        <v xml:space="preserve"> </v>
      </c>
      <c r="N356" s="161"/>
      <c r="O356" s="672" t="s">
        <v>46</v>
      </c>
      <c r="P356" s="669"/>
      <c r="Q356" s="192" t="str">
        <f>IF('City 24'!$D$4&lt;&gt;0,'City 24'!$D$4," ")</f>
        <v xml:space="preserve"> </v>
      </c>
    </row>
    <row r="357" spans="1:17" ht="5.0999999999999996" customHeight="1" thickBot="1" x14ac:dyDescent="0.3">
      <c r="A357" s="146"/>
      <c r="B357" s="62"/>
      <c r="C357" s="62"/>
      <c r="D357" s="67"/>
      <c r="E357" s="67"/>
      <c r="F357" s="298"/>
      <c r="G357" s="298"/>
      <c r="H357" s="298"/>
      <c r="I357" s="65"/>
      <c r="K357" s="62"/>
      <c r="L357" s="62"/>
      <c r="M357" s="67"/>
      <c r="N357" s="67"/>
      <c r="O357" s="298"/>
      <c r="P357" s="298"/>
      <c r="Q357" s="298"/>
    </row>
    <row r="358" spans="1:17" ht="20.100000000000001" customHeight="1" thickBot="1" x14ac:dyDescent="0.3">
      <c r="A358" s="96"/>
      <c r="B358" s="672" t="s">
        <v>50</v>
      </c>
      <c r="C358" s="669"/>
      <c r="D358" s="192" t="str">
        <f>IF('City 23'!$D$8&lt;&gt;0,'City 23'!$D$8," ")</f>
        <v xml:space="preserve"> </v>
      </c>
      <c r="E358" s="161"/>
      <c r="F358" s="672" t="s">
        <v>85</v>
      </c>
      <c r="G358" s="669"/>
      <c r="H358" s="192">
        <f>IF('City 23'!$U$6&lt;&gt;0,'City 23'!$U$6,0)</f>
        <v>0</v>
      </c>
      <c r="K358" s="672" t="s">
        <v>50</v>
      </c>
      <c r="L358" s="669"/>
      <c r="M358" s="192" t="str">
        <f>IF('City 24'!$D$8&lt;&gt;0,'City 24'!$D$8," ")</f>
        <v xml:space="preserve"> </v>
      </c>
      <c r="N358" s="161"/>
      <c r="O358" s="672" t="s">
        <v>85</v>
      </c>
      <c r="P358" s="669"/>
      <c r="Q358" s="192">
        <f>IF('City 24'!$U$6&lt;&gt;0,'City 24'!$U$6,0)</f>
        <v>0</v>
      </c>
    </row>
    <row r="359" spans="1:17" ht="5.0999999999999996" customHeight="1" thickBot="1" x14ac:dyDescent="0.3">
      <c r="A359" s="146"/>
      <c r="B359" s="62"/>
      <c r="C359" s="62"/>
      <c r="D359" s="67"/>
      <c r="E359" s="67"/>
      <c r="F359" s="298"/>
      <c r="G359" s="298"/>
      <c r="H359" s="298"/>
      <c r="I359" s="65"/>
      <c r="K359" s="62"/>
      <c r="L359" s="62"/>
      <c r="M359" s="67"/>
      <c r="N359" s="67"/>
      <c r="O359" s="298"/>
      <c r="P359" s="298"/>
      <c r="Q359" s="298"/>
    </row>
    <row r="360" spans="1:17" ht="20.100000000000001" customHeight="1" thickBot="1" x14ac:dyDescent="0.3">
      <c r="A360" s="96"/>
      <c r="B360" s="672" t="s">
        <v>51</v>
      </c>
      <c r="C360" s="669"/>
      <c r="D360" s="192" t="str">
        <f>IF('City 23'!$D$10&lt;&gt;0,'City 23'!$D$10," ")</f>
        <v xml:space="preserve"> </v>
      </c>
      <c r="E360" s="161"/>
      <c r="F360" s="672" t="s">
        <v>86</v>
      </c>
      <c r="G360" s="669"/>
      <c r="H360" s="192" t="str">
        <f>IF('City 23'!$U$2&lt;&gt;0,'City 23'!$U$2," ")</f>
        <v/>
      </c>
      <c r="K360" s="672" t="s">
        <v>51</v>
      </c>
      <c r="L360" s="669"/>
      <c r="M360" s="192" t="str">
        <f>IF('City 24'!$D$10&lt;&gt;0,'City 24'!$D$10," ")</f>
        <v xml:space="preserve"> </v>
      </c>
      <c r="N360" s="161"/>
      <c r="O360" s="672" t="s">
        <v>86</v>
      </c>
      <c r="P360" s="669"/>
      <c r="Q360" s="192" t="str">
        <f>IF('City 24'!$U$2&lt;&gt;0,'City 24'!$U$2," ")</f>
        <v/>
      </c>
    </row>
    <row r="361" spans="1:17" ht="5.0999999999999996" customHeight="1" thickBot="1" x14ac:dyDescent="0.3">
      <c r="A361" s="146"/>
      <c r="B361" s="669"/>
      <c r="C361" s="669"/>
      <c r="D361" s="67"/>
      <c r="E361" s="67"/>
      <c r="F361" s="65"/>
      <c r="G361" s="65"/>
      <c r="H361" s="65"/>
      <c r="I361" s="65"/>
      <c r="K361" s="669"/>
      <c r="L361" s="669"/>
      <c r="M361" s="67"/>
      <c r="N361" s="67"/>
      <c r="O361" s="65"/>
      <c r="P361" s="65"/>
      <c r="Q361" s="65"/>
    </row>
    <row r="362" spans="1:17" ht="20.100000000000001" customHeight="1" thickBot="1" x14ac:dyDescent="0.3">
      <c r="A362" s="96"/>
      <c r="B362" s="306" t="s">
        <v>640</v>
      </c>
      <c r="D362" s="258">
        <f>'City 23'!$M$4</f>
        <v>0</v>
      </c>
      <c r="E362" s="161"/>
      <c r="F362" s="306" t="s">
        <v>641</v>
      </c>
      <c r="H362" s="258">
        <f>'City 23'!$M$6</f>
        <v>0</v>
      </c>
      <c r="K362" s="306" t="s">
        <v>640</v>
      </c>
      <c r="M362" s="258">
        <f>'City 24'!$M$4</f>
        <v>0</v>
      </c>
      <c r="N362" s="161"/>
      <c r="O362" s="306" t="s">
        <v>641</v>
      </c>
      <c r="Q362" s="258">
        <f>'City 24'!$M$6</f>
        <v>0</v>
      </c>
    </row>
    <row r="363" spans="1:17" ht="5.0999999999999996" customHeight="1" thickBot="1" x14ac:dyDescent="0.3">
      <c r="A363" s="146"/>
      <c r="B363" s="673"/>
      <c r="C363" s="298"/>
      <c r="D363" s="673"/>
      <c r="E363" s="67"/>
      <c r="I363" s="65"/>
      <c r="K363" s="673"/>
      <c r="L363" s="298"/>
      <c r="M363" s="673"/>
      <c r="N363" s="67"/>
    </row>
    <row r="364" spans="1:17" ht="20.100000000000001" customHeight="1" thickBot="1" x14ac:dyDescent="0.3">
      <c r="A364" s="96"/>
      <c r="B364" s="306" t="s">
        <v>642</v>
      </c>
      <c r="D364" s="258">
        <f>'City 23'!$U$10</f>
        <v>0</v>
      </c>
      <c r="F364" s="306" t="s">
        <v>643</v>
      </c>
      <c r="H364" s="258">
        <f>'City 23'!$M$8</f>
        <v>0</v>
      </c>
      <c r="K364" s="306" t="s">
        <v>642</v>
      </c>
      <c r="M364" s="258">
        <f>'City 24'!$U$10</f>
        <v>0</v>
      </c>
      <c r="O364" s="306" t="s">
        <v>643</v>
      </c>
      <c r="Q364" s="258">
        <f>'City 24'!$M$8</f>
        <v>0</v>
      </c>
    </row>
    <row r="365" spans="1:17" ht="5.0999999999999996" customHeight="1" thickBot="1" x14ac:dyDescent="0.3">
      <c r="A365" s="146"/>
      <c r="B365" s="65"/>
      <c r="C365" s="65"/>
      <c r="D365" s="65"/>
      <c r="E365" s="65"/>
      <c r="F365" s="65"/>
      <c r="G365" s="65"/>
      <c r="H365" s="65"/>
      <c r="I365" s="65"/>
      <c r="K365" s="65"/>
      <c r="L365" s="65"/>
      <c r="M365" s="65"/>
      <c r="N365" s="65"/>
      <c r="O365" s="65"/>
      <c r="P365" s="65"/>
      <c r="Q365" s="65"/>
    </row>
    <row r="366" spans="1:17" ht="20.100000000000001" customHeight="1" thickBot="1" x14ac:dyDescent="0.3">
      <c r="A366" s="96"/>
      <c r="B366" s="306" t="s">
        <v>644</v>
      </c>
      <c r="D366" s="258">
        <f>'City 23'!$M$10</f>
        <v>0</v>
      </c>
      <c r="F366" s="306" t="s">
        <v>645</v>
      </c>
      <c r="H366" s="258">
        <f>'City 23'!$U$12</f>
        <v>0</v>
      </c>
      <c r="K366" s="306" t="s">
        <v>644</v>
      </c>
      <c r="M366" s="258">
        <f>'City 24'!$M$10</f>
        <v>0</v>
      </c>
      <c r="O366" s="306" t="s">
        <v>645</v>
      </c>
      <c r="Q366" s="258">
        <f>'City 24'!$U$12</f>
        <v>0</v>
      </c>
    </row>
    <row r="367" spans="1:17" ht="5.0999999999999996" customHeight="1" x14ac:dyDescent="0.25">
      <c r="A367" s="96"/>
    </row>
    <row r="368" spans="1:17" ht="20.100000000000001" customHeight="1" x14ac:dyDescent="0.25">
      <c r="A368" s="96"/>
      <c r="B368" s="715" t="s">
        <v>438</v>
      </c>
      <c r="C368" s="715"/>
      <c r="D368" s="731"/>
      <c r="F368" s="715" t="s">
        <v>130</v>
      </c>
      <c r="G368" s="715"/>
      <c r="H368" s="715"/>
      <c r="K368" s="715" t="s">
        <v>438</v>
      </c>
      <c r="L368" s="715"/>
      <c r="M368" s="731"/>
      <c r="O368" s="715" t="s">
        <v>130</v>
      </c>
      <c r="P368" s="715"/>
      <c r="Q368" s="715"/>
    </row>
    <row r="369" spans="1:17" ht="5.0999999999999996" customHeight="1" thickBot="1" x14ac:dyDescent="0.3">
      <c r="A369" s="96"/>
      <c r="B369" s="673"/>
      <c r="C369" s="298"/>
      <c r="D369" s="673"/>
      <c r="F369" s="732"/>
      <c r="G369" s="732"/>
      <c r="H369" s="732"/>
      <c r="K369" s="673"/>
      <c r="L369" s="298"/>
      <c r="M369" s="673"/>
      <c r="O369" s="732"/>
      <c r="P369" s="732"/>
      <c r="Q369" s="732"/>
    </row>
    <row r="370" spans="1:17" ht="20.100000000000001" customHeight="1" thickBot="1" x14ac:dyDescent="0.3">
      <c r="A370" s="96"/>
      <c r="B370" s="670" t="s">
        <v>443</v>
      </c>
      <c r="C370" s="153"/>
      <c r="D370" s="551">
        <f>'City 23'!$D$227</f>
        <v>0</v>
      </c>
      <c r="E370" s="161"/>
      <c r="F370" s="716" t="str">
        <f>'City 23'!$B$184</f>
        <v/>
      </c>
      <c r="G370" s="717"/>
      <c r="H370" s="718"/>
      <c r="K370" s="670" t="s">
        <v>443</v>
      </c>
      <c r="L370" s="153"/>
      <c r="M370" s="551">
        <f>'City 24'!$D$227</f>
        <v>0</v>
      </c>
      <c r="N370" s="161"/>
      <c r="O370" s="716" t="str">
        <f>'City 24'!$B$184</f>
        <v/>
      </c>
      <c r="P370" s="717"/>
      <c r="Q370" s="718"/>
    </row>
    <row r="371" spans="1:17" ht="5.0999999999999996" customHeight="1" thickBot="1" x14ac:dyDescent="0.3">
      <c r="A371" s="96"/>
      <c r="B371" s="153"/>
      <c r="C371" s="153"/>
      <c r="D371" s="230"/>
      <c r="E371" s="63"/>
      <c r="F371" s="733"/>
      <c r="G371" s="733"/>
      <c r="H371" s="733"/>
      <c r="K371" s="153"/>
      <c r="L371" s="153"/>
      <c r="M371" s="230"/>
      <c r="N371" s="63"/>
      <c r="O371" s="733"/>
      <c r="P371" s="733"/>
      <c r="Q371" s="733"/>
    </row>
    <row r="372" spans="1:17" ht="20.100000000000001" customHeight="1" thickBot="1" x14ac:dyDescent="0.3">
      <c r="A372" s="96"/>
      <c r="B372" s="670" t="s">
        <v>175</v>
      </c>
      <c r="C372" s="153"/>
      <c r="D372" s="551">
        <f>'City 23'!$D$228</f>
        <v>0</v>
      </c>
      <c r="E372" s="673"/>
      <c r="F372" s="716" t="str">
        <f>'City 23'!$B$185</f>
        <v/>
      </c>
      <c r="G372" s="717"/>
      <c r="H372" s="718"/>
      <c r="K372" s="670" t="s">
        <v>175</v>
      </c>
      <c r="L372" s="153"/>
      <c r="M372" s="551">
        <f>'City 24'!$D$228</f>
        <v>0</v>
      </c>
      <c r="N372" s="673"/>
      <c r="O372" s="716" t="str">
        <f>'City 24'!$B$185</f>
        <v/>
      </c>
      <c r="P372" s="717"/>
      <c r="Q372" s="718"/>
    </row>
    <row r="373" spans="1:17" ht="5.0999999999999996" customHeight="1" thickBot="1" x14ac:dyDescent="0.3">
      <c r="A373" s="96"/>
      <c r="B373" s="153"/>
      <c r="C373" s="153"/>
      <c r="D373" s="230"/>
      <c r="E373" s="673"/>
      <c r="F373" s="717"/>
      <c r="G373" s="717"/>
      <c r="H373" s="717"/>
      <c r="K373" s="153"/>
      <c r="L373" s="153"/>
      <c r="M373" s="230"/>
      <c r="N373" s="673"/>
      <c r="O373" s="717"/>
      <c r="P373" s="717"/>
      <c r="Q373" s="717"/>
    </row>
    <row r="374" spans="1:17" ht="20.100000000000001" customHeight="1" thickBot="1" x14ac:dyDescent="0.3">
      <c r="A374" s="96"/>
      <c r="B374" s="670" t="s">
        <v>442</v>
      </c>
      <c r="C374" s="153"/>
      <c r="D374" s="551">
        <f>'City 23'!$D$229</f>
        <v>0</v>
      </c>
      <c r="E374" s="673"/>
      <c r="F374" s="716" t="str">
        <f>'City 23'!$B$186</f>
        <v/>
      </c>
      <c r="G374" s="717"/>
      <c r="H374" s="718"/>
      <c r="K374" s="670" t="s">
        <v>442</v>
      </c>
      <c r="L374" s="153"/>
      <c r="M374" s="551">
        <f>'City 24'!$D$229</f>
        <v>0</v>
      </c>
      <c r="N374" s="673"/>
      <c r="O374" s="716" t="str">
        <f>'City 24'!$B$186</f>
        <v/>
      </c>
      <c r="P374" s="717"/>
      <c r="Q374" s="718"/>
    </row>
    <row r="375" spans="1:17" ht="5.0999999999999996" customHeight="1" x14ac:dyDescent="0.25">
      <c r="A375" s="96"/>
      <c r="E375" s="673"/>
      <c r="N375" s="673"/>
    </row>
    <row r="376" spans="1:17" ht="20.100000000000001" customHeight="1" x14ac:dyDescent="0.25">
      <c r="A376" s="96"/>
      <c r="B376" s="667" t="s">
        <v>91</v>
      </c>
      <c r="C376" s="668"/>
      <c r="D376" s="668"/>
      <c r="E376" s="668"/>
      <c r="F376" s="668"/>
      <c r="G376" s="668"/>
      <c r="H376" s="301"/>
      <c r="K376" s="667" t="s">
        <v>91</v>
      </c>
      <c r="L376" s="668"/>
      <c r="M376" s="668"/>
      <c r="N376" s="668"/>
      <c r="O376" s="668"/>
      <c r="P376" s="668"/>
      <c r="Q376" s="301"/>
    </row>
    <row r="377" spans="1:17" ht="5.0999999999999996" customHeight="1" thickBot="1" x14ac:dyDescent="0.3">
      <c r="A377" s="96"/>
      <c r="B377" s="311"/>
      <c r="C377" s="311"/>
      <c r="D377" s="311"/>
      <c r="E377" s="311"/>
      <c r="F377" s="311"/>
      <c r="G377" s="311"/>
      <c r="H377" s="311"/>
      <c r="K377" s="311"/>
      <c r="L377" s="311"/>
      <c r="M377" s="311"/>
      <c r="N377" s="311"/>
      <c r="O377" s="311"/>
      <c r="P377" s="311"/>
      <c r="Q377" s="311"/>
    </row>
    <row r="378" spans="1:17" ht="20.100000000000001" customHeight="1" x14ac:dyDescent="0.25">
      <c r="A378" s="305"/>
      <c r="B378" s="719"/>
      <c r="C378" s="720"/>
      <c r="D378" s="720"/>
      <c r="E378" s="720"/>
      <c r="F378" s="720"/>
      <c r="G378" s="720"/>
      <c r="H378" s="721"/>
      <c r="K378" s="719"/>
      <c r="L378" s="720"/>
      <c r="M378" s="720"/>
      <c r="N378" s="720"/>
      <c r="O378" s="720"/>
      <c r="P378" s="720"/>
      <c r="Q378" s="721"/>
    </row>
    <row r="379" spans="1:17" ht="20.100000000000001" customHeight="1" x14ac:dyDescent="0.25">
      <c r="A379" s="305"/>
      <c r="B379" s="722"/>
      <c r="C379" s="723"/>
      <c r="D379" s="723"/>
      <c r="E379" s="723"/>
      <c r="F379" s="723"/>
      <c r="G379" s="723"/>
      <c r="H379" s="724"/>
      <c r="K379" s="722"/>
      <c r="L379" s="723"/>
      <c r="M379" s="723"/>
      <c r="N379" s="723"/>
      <c r="O379" s="723"/>
      <c r="P379" s="723"/>
      <c r="Q379" s="724"/>
    </row>
    <row r="380" spans="1:17" ht="20.100000000000001" customHeight="1" x14ac:dyDescent="0.25">
      <c r="A380" s="96"/>
      <c r="B380" s="722"/>
      <c r="C380" s="723"/>
      <c r="D380" s="723"/>
      <c r="E380" s="723"/>
      <c r="F380" s="723"/>
      <c r="G380" s="723"/>
      <c r="H380" s="724"/>
      <c r="K380" s="722"/>
      <c r="L380" s="723"/>
      <c r="M380" s="723"/>
      <c r="N380" s="723"/>
      <c r="O380" s="723"/>
      <c r="P380" s="723"/>
      <c r="Q380" s="724"/>
    </row>
    <row r="381" spans="1:17" ht="20.100000000000001" customHeight="1" x14ac:dyDescent="0.25">
      <c r="A381" s="96"/>
      <c r="B381" s="722"/>
      <c r="C381" s="723"/>
      <c r="D381" s="723"/>
      <c r="E381" s="723"/>
      <c r="F381" s="723"/>
      <c r="G381" s="723"/>
      <c r="H381" s="724"/>
      <c r="K381" s="722"/>
      <c r="L381" s="723"/>
      <c r="M381" s="723"/>
      <c r="N381" s="723"/>
      <c r="O381" s="723"/>
      <c r="P381" s="723"/>
      <c r="Q381" s="724"/>
    </row>
    <row r="382" spans="1:17" ht="20.100000000000001" customHeight="1" x14ac:dyDescent="0.25">
      <c r="A382" s="146"/>
      <c r="B382" s="722"/>
      <c r="C382" s="723"/>
      <c r="D382" s="723"/>
      <c r="E382" s="723"/>
      <c r="F382" s="723"/>
      <c r="G382" s="723"/>
      <c r="H382" s="724"/>
      <c r="I382" s="65"/>
      <c r="K382" s="722"/>
      <c r="L382" s="723"/>
      <c r="M382" s="723"/>
      <c r="N382" s="723"/>
      <c r="O382" s="723"/>
      <c r="P382" s="723"/>
      <c r="Q382" s="724"/>
    </row>
    <row r="383" spans="1:17" ht="20.100000000000001" customHeight="1" thickBot="1" x14ac:dyDescent="0.3">
      <c r="A383" s="96"/>
      <c r="B383" s="725"/>
      <c r="C383" s="726"/>
      <c r="D383" s="726"/>
      <c r="E383" s="726"/>
      <c r="F383" s="726"/>
      <c r="G383" s="726"/>
      <c r="H383" s="727"/>
      <c r="K383" s="725"/>
      <c r="L383" s="726"/>
      <c r="M383" s="726"/>
      <c r="N383" s="726"/>
      <c r="O383" s="726"/>
      <c r="P383" s="726"/>
      <c r="Q383" s="727"/>
    </row>
    <row r="384" spans="1:17" ht="5.0999999999999996" customHeight="1" thickBot="1" x14ac:dyDescent="0.3">
      <c r="A384" s="146"/>
      <c r="B384" s="65"/>
      <c r="C384" s="65"/>
      <c r="D384" s="65"/>
      <c r="E384" s="65"/>
      <c r="F384" s="65"/>
      <c r="G384" s="65"/>
      <c r="H384" s="65"/>
      <c r="I384" s="65"/>
    </row>
    <row r="385" spans="1:9" ht="5.0999999999999996" customHeight="1" thickBot="1" x14ac:dyDescent="0.3">
      <c r="A385" s="141"/>
    </row>
    <row r="386" spans="1:9" ht="20.100000000000001" customHeight="1" thickBot="1" x14ac:dyDescent="0.3">
      <c r="A386" s="96"/>
      <c r="B386" s="671" t="s">
        <v>78</v>
      </c>
      <c r="C386" s="62"/>
      <c r="D386" s="728" t="str">
        <f>IF('City 25'!$D$2&lt;&gt;0,'City 25'!$D$2&amp;" - "&amp;'City 25'!$AA$6," ")</f>
        <v xml:space="preserve"> </v>
      </c>
      <c r="E386" s="729"/>
      <c r="F386" s="729"/>
      <c r="G386" s="729"/>
      <c r="H386" s="730"/>
    </row>
    <row r="387" spans="1:9" ht="5.0999999999999996" customHeight="1" thickBot="1" x14ac:dyDescent="0.3">
      <c r="A387" s="146"/>
      <c r="B387" s="62"/>
      <c r="C387" s="62"/>
      <c r="D387" s="63"/>
      <c r="E387" s="298"/>
      <c r="F387" s="62"/>
      <c r="G387" s="62"/>
      <c r="H387" s="298"/>
      <c r="I387" s="65"/>
    </row>
    <row r="388" spans="1:9" ht="20.100000000000001" customHeight="1" thickBot="1" x14ac:dyDescent="0.3">
      <c r="A388" s="96"/>
      <c r="B388" s="672" t="s">
        <v>49</v>
      </c>
      <c r="C388" s="669"/>
      <c r="D388" s="192" t="str">
        <f>IF('City 25'!$D$6&lt;&gt;0,'City 25'!$D$6," ")</f>
        <v xml:space="preserve"> </v>
      </c>
      <c r="E388" s="161"/>
      <c r="F388" s="672" t="s">
        <v>46</v>
      </c>
      <c r="G388" s="669"/>
      <c r="H388" s="192" t="str">
        <f>IF('City 25'!$D$4&lt;&gt;0,'City 25'!$D$4," ")</f>
        <v xml:space="preserve"> </v>
      </c>
    </row>
    <row r="389" spans="1:9" ht="5.0999999999999996" customHeight="1" thickBot="1" x14ac:dyDescent="0.3">
      <c r="A389" s="146"/>
      <c r="B389" s="62"/>
      <c r="C389" s="62"/>
      <c r="D389" s="67"/>
      <c r="E389" s="67"/>
      <c r="F389" s="298"/>
      <c r="G389" s="298"/>
      <c r="H389" s="298"/>
      <c r="I389" s="65"/>
    </row>
    <row r="390" spans="1:9" ht="20.100000000000001" customHeight="1" thickBot="1" x14ac:dyDescent="0.3">
      <c r="A390" s="96"/>
      <c r="B390" s="672" t="s">
        <v>50</v>
      </c>
      <c r="C390" s="669"/>
      <c r="D390" s="192" t="str">
        <f>IF('City 25'!$D$8&lt;&gt;0,'City 25'!$D$8," ")</f>
        <v xml:space="preserve"> </v>
      </c>
      <c r="E390" s="161"/>
      <c r="F390" s="672" t="s">
        <v>85</v>
      </c>
      <c r="G390" s="669"/>
      <c r="H390" s="192">
        <f>IF('City 25'!$U$6&lt;&gt;0,'City 25'!$U$6,0)</f>
        <v>0</v>
      </c>
    </row>
    <row r="391" spans="1:9" ht="5.0999999999999996" customHeight="1" thickBot="1" x14ac:dyDescent="0.3">
      <c r="A391" s="146"/>
      <c r="B391" s="62"/>
      <c r="C391" s="62"/>
      <c r="D391" s="67"/>
      <c r="E391" s="67"/>
      <c r="F391" s="298"/>
      <c r="G391" s="298"/>
      <c r="H391" s="298"/>
      <c r="I391" s="65"/>
    </row>
    <row r="392" spans="1:9" ht="20.100000000000001" customHeight="1" thickBot="1" x14ac:dyDescent="0.3">
      <c r="A392" s="96"/>
      <c r="B392" s="672" t="s">
        <v>51</v>
      </c>
      <c r="C392" s="669"/>
      <c r="D392" s="192" t="str">
        <f>IF('City 25'!$D$10&lt;&gt;0,'City 25'!$D$10," ")</f>
        <v xml:space="preserve"> </v>
      </c>
      <c r="E392" s="161"/>
      <c r="F392" s="672" t="s">
        <v>86</v>
      </c>
      <c r="G392" s="669"/>
      <c r="H392" s="192" t="str">
        <f>IF('City 25'!$U$2&lt;&gt;0,'City 25'!$U$2," ")</f>
        <v/>
      </c>
    </row>
    <row r="393" spans="1:9" ht="5.0999999999999996" customHeight="1" thickBot="1" x14ac:dyDescent="0.3">
      <c r="A393" s="146"/>
      <c r="B393" s="669"/>
      <c r="C393" s="669"/>
      <c r="D393" s="67"/>
      <c r="E393" s="67"/>
      <c r="F393" s="65"/>
      <c r="G393" s="65"/>
      <c r="H393" s="65"/>
      <c r="I393" s="65"/>
    </row>
    <row r="394" spans="1:9" ht="20.100000000000001" customHeight="1" thickBot="1" x14ac:dyDescent="0.3">
      <c r="A394" s="96"/>
      <c r="B394" s="306" t="s">
        <v>640</v>
      </c>
      <c r="D394" s="258">
        <f>'City 25'!$M$4</f>
        <v>0</v>
      </c>
      <c r="E394" s="161"/>
      <c r="F394" s="306" t="s">
        <v>641</v>
      </c>
      <c r="H394" s="258">
        <f>'City 25'!$M$6</f>
        <v>0</v>
      </c>
    </row>
    <row r="395" spans="1:9" ht="5.0999999999999996" customHeight="1" thickBot="1" x14ac:dyDescent="0.3">
      <c r="A395" s="146"/>
      <c r="B395" s="673"/>
      <c r="C395" s="298"/>
      <c r="D395" s="673"/>
      <c r="E395" s="67"/>
      <c r="I395" s="65"/>
    </row>
    <row r="396" spans="1:9" ht="20.100000000000001" customHeight="1" thickBot="1" x14ac:dyDescent="0.3">
      <c r="A396" s="96"/>
      <c r="B396" s="306" t="s">
        <v>642</v>
      </c>
      <c r="D396" s="258">
        <f>'City 25'!$U$10</f>
        <v>0</v>
      </c>
      <c r="F396" s="306" t="s">
        <v>643</v>
      </c>
      <c r="H396" s="258">
        <f>'City 25'!$M$8</f>
        <v>0</v>
      </c>
    </row>
    <row r="397" spans="1:9" ht="5.0999999999999996" customHeight="1" thickBot="1" x14ac:dyDescent="0.3">
      <c r="A397" s="146"/>
      <c r="B397" s="65"/>
      <c r="C397" s="65"/>
      <c r="D397" s="65"/>
      <c r="E397" s="65"/>
      <c r="F397" s="65"/>
      <c r="G397" s="65"/>
      <c r="H397" s="65"/>
      <c r="I397" s="65"/>
    </row>
    <row r="398" spans="1:9" ht="20.100000000000001" customHeight="1" thickBot="1" x14ac:dyDescent="0.3">
      <c r="A398" s="96"/>
      <c r="B398" s="306" t="s">
        <v>644</v>
      </c>
      <c r="D398" s="258">
        <f>'City 25'!$M$10</f>
        <v>0</v>
      </c>
      <c r="F398" s="306" t="s">
        <v>645</v>
      </c>
      <c r="H398" s="258">
        <f>'City 25'!$U$12</f>
        <v>0</v>
      </c>
    </row>
    <row r="399" spans="1:9" ht="5.0999999999999996" customHeight="1" x14ac:dyDescent="0.25">
      <c r="A399" s="96"/>
    </row>
    <row r="400" spans="1:9" ht="20.100000000000001" customHeight="1" x14ac:dyDescent="0.25">
      <c r="A400" s="96"/>
      <c r="B400" s="715" t="s">
        <v>438</v>
      </c>
      <c r="C400" s="715"/>
      <c r="D400" s="731"/>
      <c r="F400" s="715" t="s">
        <v>130</v>
      </c>
      <c r="G400" s="715"/>
      <c r="H400" s="715"/>
    </row>
    <row r="401" spans="1:9" ht="5.0999999999999996" customHeight="1" thickBot="1" x14ac:dyDescent="0.3">
      <c r="A401" s="96"/>
      <c r="B401" s="673"/>
      <c r="C401" s="298"/>
      <c r="D401" s="673"/>
      <c r="F401" s="732"/>
      <c r="G401" s="732"/>
      <c r="H401" s="732"/>
    </row>
    <row r="402" spans="1:9" ht="20.100000000000001" customHeight="1" thickBot="1" x14ac:dyDescent="0.3">
      <c r="A402" s="96"/>
      <c r="B402" s="670" t="s">
        <v>443</v>
      </c>
      <c r="C402" s="153"/>
      <c r="D402" s="551">
        <f>'City 25'!$D$227</f>
        <v>0</v>
      </c>
      <c r="E402" s="161"/>
      <c r="F402" s="716" t="str">
        <f>'City 25'!$B$184</f>
        <v/>
      </c>
      <c r="G402" s="717"/>
      <c r="H402" s="718"/>
    </row>
    <row r="403" spans="1:9" ht="5.0999999999999996" customHeight="1" thickBot="1" x14ac:dyDescent="0.3">
      <c r="A403" s="96"/>
      <c r="B403" s="153"/>
      <c r="C403" s="153"/>
      <c r="D403" s="230"/>
      <c r="E403" s="63"/>
      <c r="F403" s="733"/>
      <c r="G403" s="733"/>
      <c r="H403" s="733"/>
    </row>
    <row r="404" spans="1:9" ht="20.100000000000001" customHeight="1" thickBot="1" x14ac:dyDescent="0.3">
      <c r="A404" s="96"/>
      <c r="B404" s="670" t="s">
        <v>175</v>
      </c>
      <c r="C404" s="153"/>
      <c r="D404" s="551">
        <f>'City 25'!$D$228</f>
        <v>0</v>
      </c>
      <c r="E404" s="673"/>
      <c r="F404" s="716" t="str">
        <f>'City 25'!$B$185</f>
        <v/>
      </c>
      <c r="G404" s="717"/>
      <c r="H404" s="718"/>
    </row>
    <row r="405" spans="1:9" ht="5.0999999999999996" customHeight="1" thickBot="1" x14ac:dyDescent="0.3">
      <c r="A405" s="96"/>
      <c r="B405" s="153"/>
      <c r="C405" s="153"/>
      <c r="D405" s="230"/>
      <c r="E405" s="673"/>
      <c r="F405" s="717"/>
      <c r="G405" s="717"/>
      <c r="H405" s="717"/>
    </row>
    <row r="406" spans="1:9" ht="20.100000000000001" customHeight="1" thickBot="1" x14ac:dyDescent="0.3">
      <c r="A406" s="96"/>
      <c r="B406" s="670" t="s">
        <v>442</v>
      </c>
      <c r="C406" s="153"/>
      <c r="D406" s="551">
        <f>'City 25'!$D$229</f>
        <v>0</v>
      </c>
      <c r="E406" s="673"/>
      <c r="F406" s="716" t="str">
        <f>'City 25'!$B$186</f>
        <v/>
      </c>
      <c r="G406" s="717"/>
      <c r="H406" s="718"/>
    </row>
    <row r="407" spans="1:9" ht="5.0999999999999996" customHeight="1" x14ac:dyDescent="0.25">
      <c r="A407" s="96"/>
      <c r="E407" s="673"/>
    </row>
    <row r="408" spans="1:9" ht="20.100000000000001" customHeight="1" x14ac:dyDescent="0.25">
      <c r="A408" s="96"/>
      <c r="B408" s="667" t="s">
        <v>91</v>
      </c>
      <c r="C408" s="668"/>
      <c r="D408" s="668"/>
      <c r="E408" s="668"/>
      <c r="F408" s="668"/>
      <c r="G408" s="668"/>
      <c r="H408" s="301"/>
    </row>
    <row r="409" spans="1:9" ht="5.0999999999999996" customHeight="1" thickBot="1" x14ac:dyDescent="0.3">
      <c r="A409" s="96"/>
      <c r="B409" s="311"/>
      <c r="C409" s="311"/>
      <c r="D409" s="311"/>
      <c r="E409" s="311"/>
      <c r="F409" s="311"/>
      <c r="G409" s="311"/>
      <c r="H409" s="311"/>
    </row>
    <row r="410" spans="1:9" ht="20.100000000000001" customHeight="1" x14ac:dyDescent="0.25">
      <c r="A410" s="305"/>
      <c r="B410" s="719"/>
      <c r="C410" s="720"/>
      <c r="D410" s="720"/>
      <c r="E410" s="720"/>
      <c r="F410" s="720"/>
      <c r="G410" s="720"/>
      <c r="H410" s="721"/>
    </row>
    <row r="411" spans="1:9" ht="20.100000000000001" customHeight="1" x14ac:dyDescent="0.25">
      <c r="A411" s="305"/>
      <c r="B411" s="722"/>
      <c r="C411" s="723"/>
      <c r="D411" s="723"/>
      <c r="E411" s="723"/>
      <c r="F411" s="723"/>
      <c r="G411" s="723"/>
      <c r="H411" s="724"/>
    </row>
    <row r="412" spans="1:9" ht="20.100000000000001" customHeight="1" x14ac:dyDescent="0.25">
      <c r="A412" s="96"/>
      <c r="B412" s="722"/>
      <c r="C412" s="723"/>
      <c r="D412" s="723"/>
      <c r="E412" s="723"/>
      <c r="F412" s="723"/>
      <c r="G412" s="723"/>
      <c r="H412" s="724"/>
    </row>
    <row r="413" spans="1:9" ht="20.100000000000001" customHeight="1" x14ac:dyDescent="0.25">
      <c r="A413" s="96"/>
      <c r="B413" s="722"/>
      <c r="C413" s="723"/>
      <c r="D413" s="723"/>
      <c r="E413" s="723"/>
      <c r="F413" s="723"/>
      <c r="G413" s="723"/>
      <c r="H413" s="724"/>
    </row>
    <row r="414" spans="1:9" ht="20.100000000000001" customHeight="1" x14ac:dyDescent="0.25">
      <c r="A414" s="146"/>
      <c r="B414" s="722"/>
      <c r="C414" s="723"/>
      <c r="D414" s="723"/>
      <c r="E414" s="723"/>
      <c r="F414" s="723"/>
      <c r="G414" s="723"/>
      <c r="H414" s="724"/>
      <c r="I414" s="65"/>
    </row>
    <row r="415" spans="1:9" ht="20.100000000000001" customHeight="1" thickBot="1" x14ac:dyDescent="0.3">
      <c r="A415" s="96"/>
      <c r="B415" s="725"/>
      <c r="C415" s="726"/>
      <c r="D415" s="726"/>
      <c r="E415" s="726"/>
      <c r="F415" s="726"/>
      <c r="G415" s="726"/>
      <c r="H415" s="727"/>
    </row>
    <row r="416" spans="1:9" ht="20.100000000000001" customHeight="1" x14ac:dyDescent="0.25">
      <c r="A416" s="146"/>
      <c r="B416" s="65"/>
      <c r="C416" s="65"/>
      <c r="D416" s="65"/>
      <c r="E416" s="65"/>
      <c r="F416" s="65"/>
      <c r="G416" s="65"/>
      <c r="H416" s="65"/>
      <c r="I416" s="65"/>
    </row>
  </sheetData>
  <sheetProtection sheet="1" objects="1" scenarios="1" selectLockedCells="1"/>
  <mergeCells count="250">
    <mergeCell ref="O278:Q278"/>
    <mergeCell ref="B314:H319"/>
    <mergeCell ref="D322:H322"/>
    <mergeCell ref="K314:Q319"/>
    <mergeCell ref="M322:Q322"/>
    <mergeCell ref="F339:H339"/>
    <mergeCell ref="F309:H309"/>
    <mergeCell ref="O309:Q309"/>
    <mergeCell ref="F310:H310"/>
    <mergeCell ref="O310:Q310"/>
    <mergeCell ref="B336:D336"/>
    <mergeCell ref="K282:Q287"/>
    <mergeCell ref="K336:M336"/>
    <mergeCell ref="O336:Q336"/>
    <mergeCell ref="O337:Q337"/>
    <mergeCell ref="O338:Q338"/>
    <mergeCell ref="O339:Q339"/>
    <mergeCell ref="D290:H290"/>
    <mergeCell ref="B250:H255"/>
    <mergeCell ref="O246:Q246"/>
    <mergeCell ref="K250:Q255"/>
    <mergeCell ref="D258:H258"/>
    <mergeCell ref="M258:Q258"/>
    <mergeCell ref="O308:Q308"/>
    <mergeCell ref="F305:H305"/>
    <mergeCell ref="O305:Q305"/>
    <mergeCell ref="B304:D304"/>
    <mergeCell ref="F304:H304"/>
    <mergeCell ref="F306:H306"/>
    <mergeCell ref="M290:Q290"/>
    <mergeCell ref="K304:M304"/>
    <mergeCell ref="O304:Q304"/>
    <mergeCell ref="O306:Q306"/>
    <mergeCell ref="F307:H307"/>
    <mergeCell ref="O307:Q307"/>
    <mergeCell ref="B272:D272"/>
    <mergeCell ref="F272:H272"/>
    <mergeCell ref="F273:H273"/>
    <mergeCell ref="F274:H274"/>
    <mergeCell ref="F275:H275"/>
    <mergeCell ref="F276:H276"/>
    <mergeCell ref="F278:H278"/>
    <mergeCell ref="F209:H209"/>
    <mergeCell ref="F210:H210"/>
    <mergeCell ref="F211:H211"/>
    <mergeCell ref="F212:H212"/>
    <mergeCell ref="F244:H244"/>
    <mergeCell ref="F245:H245"/>
    <mergeCell ref="F246:H246"/>
    <mergeCell ref="F213:H213"/>
    <mergeCell ref="F214:H214"/>
    <mergeCell ref="B218:H223"/>
    <mergeCell ref="D226:H226"/>
    <mergeCell ref="B240:D240"/>
    <mergeCell ref="F240:H240"/>
    <mergeCell ref="F241:H241"/>
    <mergeCell ref="F242:H242"/>
    <mergeCell ref="F243:H243"/>
    <mergeCell ref="F182:H182"/>
    <mergeCell ref="B186:H191"/>
    <mergeCell ref="D194:H194"/>
    <mergeCell ref="O181:Q181"/>
    <mergeCell ref="O182:Q182"/>
    <mergeCell ref="K186:Q191"/>
    <mergeCell ref="M194:Q194"/>
    <mergeCell ref="B208:D208"/>
    <mergeCell ref="F208:H208"/>
    <mergeCell ref="F86:H86"/>
    <mergeCell ref="K80:M80"/>
    <mergeCell ref="O80:Q80"/>
    <mergeCell ref="O81:Q81"/>
    <mergeCell ref="O82:Q82"/>
    <mergeCell ref="B90:H95"/>
    <mergeCell ref="F116:H116"/>
    <mergeCell ref="O116:Q116"/>
    <mergeCell ref="F118:H118"/>
    <mergeCell ref="O118:Q118"/>
    <mergeCell ref="D98:H98"/>
    <mergeCell ref="B112:D112"/>
    <mergeCell ref="F112:H112"/>
    <mergeCell ref="F113:H113"/>
    <mergeCell ref="F114:H114"/>
    <mergeCell ref="F115:H115"/>
    <mergeCell ref="F117:H117"/>
    <mergeCell ref="O83:Q83"/>
    <mergeCell ref="O84:Q84"/>
    <mergeCell ref="O85:Q85"/>
    <mergeCell ref="O86:Q86"/>
    <mergeCell ref="K90:Q95"/>
    <mergeCell ref="M98:Q98"/>
    <mergeCell ref="M2:Q2"/>
    <mergeCell ref="O16:Q16"/>
    <mergeCell ref="O17:Q17"/>
    <mergeCell ref="O18:Q18"/>
    <mergeCell ref="K58:Q63"/>
    <mergeCell ref="M66:Q66"/>
    <mergeCell ref="F83:H83"/>
    <mergeCell ref="F84:H84"/>
    <mergeCell ref="F85:H85"/>
    <mergeCell ref="D34:H34"/>
    <mergeCell ref="B48:D48"/>
    <mergeCell ref="F48:H48"/>
    <mergeCell ref="B58:H63"/>
    <mergeCell ref="D66:H66"/>
    <mergeCell ref="B80:D80"/>
    <mergeCell ref="F80:H80"/>
    <mergeCell ref="F81:H81"/>
    <mergeCell ref="F82:H82"/>
    <mergeCell ref="F49:H49"/>
    <mergeCell ref="F50:H50"/>
    <mergeCell ref="F51:H51"/>
    <mergeCell ref="F52:H52"/>
    <mergeCell ref="F53:H53"/>
    <mergeCell ref="F54:H54"/>
    <mergeCell ref="B16:D16"/>
    <mergeCell ref="B26:H31"/>
    <mergeCell ref="F19:H19"/>
    <mergeCell ref="F17:H17"/>
    <mergeCell ref="D2:H2"/>
    <mergeCell ref="F16:H16"/>
    <mergeCell ref="F18:H18"/>
    <mergeCell ref="F20:H20"/>
    <mergeCell ref="F21:H21"/>
    <mergeCell ref="F22:H22"/>
    <mergeCell ref="B122:H127"/>
    <mergeCell ref="D130:H130"/>
    <mergeCell ref="B144:D144"/>
    <mergeCell ref="F144:H144"/>
    <mergeCell ref="B154:H159"/>
    <mergeCell ref="D162:H162"/>
    <mergeCell ref="B176:D176"/>
    <mergeCell ref="F181:H181"/>
    <mergeCell ref="F150:H150"/>
    <mergeCell ref="F180:H180"/>
    <mergeCell ref="F147:H147"/>
    <mergeCell ref="F148:H148"/>
    <mergeCell ref="F149:H149"/>
    <mergeCell ref="F176:H176"/>
    <mergeCell ref="F177:H177"/>
    <mergeCell ref="F178:H178"/>
    <mergeCell ref="F179:H179"/>
    <mergeCell ref="F146:H146"/>
    <mergeCell ref="F145:H145"/>
    <mergeCell ref="F341:H341"/>
    <mergeCell ref="F342:H342"/>
    <mergeCell ref="F338:H338"/>
    <mergeCell ref="F340:H340"/>
    <mergeCell ref="F336:H336"/>
    <mergeCell ref="F337:H337"/>
    <mergeCell ref="F308:H308"/>
    <mergeCell ref="F405:H405"/>
    <mergeCell ref="F406:H406"/>
    <mergeCell ref="F400:H400"/>
    <mergeCell ref="F401:H401"/>
    <mergeCell ref="F402:H402"/>
    <mergeCell ref="F403:H403"/>
    <mergeCell ref="F404:H404"/>
    <mergeCell ref="B346:H351"/>
    <mergeCell ref="D354:H354"/>
    <mergeCell ref="B368:D368"/>
    <mergeCell ref="F368:H368"/>
    <mergeCell ref="F369:H369"/>
    <mergeCell ref="F370:H370"/>
    <mergeCell ref="F371:H371"/>
    <mergeCell ref="F372:H372"/>
    <mergeCell ref="F373:H373"/>
    <mergeCell ref="B410:H415"/>
    <mergeCell ref="K16:M16"/>
    <mergeCell ref="O19:Q19"/>
    <mergeCell ref="O20:Q20"/>
    <mergeCell ref="O21:Q21"/>
    <mergeCell ref="O22:Q22"/>
    <mergeCell ref="K26:Q31"/>
    <mergeCell ref="M34:Q34"/>
    <mergeCell ref="K48:M48"/>
    <mergeCell ref="O48:Q48"/>
    <mergeCell ref="O49:Q49"/>
    <mergeCell ref="O50:Q50"/>
    <mergeCell ref="O51:Q51"/>
    <mergeCell ref="O52:Q52"/>
    <mergeCell ref="O53:Q53"/>
    <mergeCell ref="O54:Q54"/>
    <mergeCell ref="F374:H374"/>
    <mergeCell ref="B378:H383"/>
    <mergeCell ref="D386:H386"/>
    <mergeCell ref="B400:D400"/>
    <mergeCell ref="F277:H277"/>
    <mergeCell ref="B282:H287"/>
    <mergeCell ref="O177:Q177"/>
    <mergeCell ref="O178:Q178"/>
    <mergeCell ref="K176:M176"/>
    <mergeCell ref="O179:Q179"/>
    <mergeCell ref="O180:Q180"/>
    <mergeCell ref="O145:Q145"/>
    <mergeCell ref="O146:Q146"/>
    <mergeCell ref="K112:M112"/>
    <mergeCell ref="O112:Q112"/>
    <mergeCell ref="O113:Q113"/>
    <mergeCell ref="O114:Q114"/>
    <mergeCell ref="O115:Q115"/>
    <mergeCell ref="O117:Q117"/>
    <mergeCell ref="K122:Q127"/>
    <mergeCell ref="M130:Q130"/>
    <mergeCell ref="O214:Q214"/>
    <mergeCell ref="K218:Q223"/>
    <mergeCell ref="M226:Q226"/>
    <mergeCell ref="K240:M240"/>
    <mergeCell ref="O240:Q240"/>
    <mergeCell ref="O241:Q241"/>
    <mergeCell ref="O242:Q242"/>
    <mergeCell ref="O243:Q243"/>
    <mergeCell ref="K144:M144"/>
    <mergeCell ref="O144:Q144"/>
    <mergeCell ref="K208:M208"/>
    <mergeCell ref="O208:Q208"/>
    <mergeCell ref="O209:Q209"/>
    <mergeCell ref="O210:Q210"/>
    <mergeCell ref="O211:Q211"/>
    <mergeCell ref="O212:Q212"/>
    <mergeCell ref="O213:Q213"/>
    <mergeCell ref="O150:Q150"/>
    <mergeCell ref="O147:Q147"/>
    <mergeCell ref="O148:Q148"/>
    <mergeCell ref="O149:Q149"/>
    <mergeCell ref="K154:Q159"/>
    <mergeCell ref="M162:Q162"/>
    <mergeCell ref="O176:Q176"/>
    <mergeCell ref="O244:Q244"/>
    <mergeCell ref="O245:Q245"/>
    <mergeCell ref="K272:M272"/>
    <mergeCell ref="O272:Q272"/>
    <mergeCell ref="O273:Q273"/>
    <mergeCell ref="O274:Q274"/>
    <mergeCell ref="O275:Q275"/>
    <mergeCell ref="O276:Q276"/>
    <mergeCell ref="O277:Q277"/>
    <mergeCell ref="O340:Q340"/>
    <mergeCell ref="O341:Q341"/>
    <mergeCell ref="O342:Q342"/>
    <mergeCell ref="O374:Q374"/>
    <mergeCell ref="K378:Q383"/>
    <mergeCell ref="K346:Q351"/>
    <mergeCell ref="M354:Q354"/>
    <mergeCell ref="K368:M368"/>
    <mergeCell ref="O368:Q368"/>
    <mergeCell ref="O369:Q369"/>
    <mergeCell ref="O370:Q370"/>
    <mergeCell ref="O371:Q371"/>
    <mergeCell ref="O372:Q372"/>
    <mergeCell ref="O373:Q373"/>
  </mergeCells>
  <printOptions horizontalCentered="1" verticalCentered="1"/>
  <pageMargins left="0.70866141732283472" right="0.70866141732283472" top="0.74803149606299213" bottom="0.74803149606299213" header="0.31496062992125984" footer="0.31496062992125984"/>
  <pageSetup paperSize="9" scale="97" orientation="landscape" r:id="rId1"/>
  <headerFooter>
    <oddHeader>&amp;CKingdom City Breakdown</oddHeader>
    <oddFooter>&amp;LAdrian&amp;CPage &amp;P&amp;R&amp;D</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tabColor theme="7" tint="0.39997558519241921"/>
    <pageSetUpPr fitToPage="1"/>
  </sheetPr>
  <dimension ref="A1:F19"/>
  <sheetViews>
    <sheetView topLeftCell="A9" zoomScale="85" zoomScaleNormal="85" workbookViewId="0">
      <selection activeCell="E18" sqref="E18"/>
    </sheetView>
  </sheetViews>
  <sheetFormatPr defaultColWidth="9.140625" defaultRowHeight="15" x14ac:dyDescent="0.25"/>
  <cols>
    <col min="1" max="1" width="16.7109375" style="314" bestFit="1" customWidth="1"/>
    <col min="2" max="2" width="2.28515625" style="314" customWidth="1"/>
    <col min="3" max="3" width="38.7109375" style="314" bestFit="1" customWidth="1"/>
    <col min="4" max="4" width="9.42578125" style="314" bestFit="1" customWidth="1"/>
    <col min="5" max="5" width="105.42578125" style="314" bestFit="1" customWidth="1"/>
    <col min="6" max="6" width="67" style="314" customWidth="1"/>
    <col min="7" max="16384" width="9.140625" style="314"/>
  </cols>
  <sheetData>
    <row r="1" spans="1:6" x14ac:dyDescent="0.25">
      <c r="A1" s="313" t="s">
        <v>668</v>
      </c>
      <c r="C1" s="315" t="s">
        <v>669</v>
      </c>
      <c r="D1" s="315" t="s">
        <v>670</v>
      </c>
      <c r="E1" s="315" t="s">
        <v>671</v>
      </c>
      <c r="F1" s="315" t="s">
        <v>672</v>
      </c>
    </row>
    <row r="2" spans="1:6" ht="30" x14ac:dyDescent="0.25">
      <c r="A2" s="316" t="s">
        <v>673</v>
      </c>
      <c r="C2" s="314" t="s">
        <v>674</v>
      </c>
      <c r="D2" s="314" t="s">
        <v>51</v>
      </c>
      <c r="E2" s="317" t="s">
        <v>675</v>
      </c>
      <c r="F2" s="317" t="s">
        <v>676</v>
      </c>
    </row>
    <row r="3" spans="1:6" ht="30" x14ac:dyDescent="0.25">
      <c r="A3" s="316" t="s">
        <v>677</v>
      </c>
      <c r="C3" s="314" t="s">
        <v>678</v>
      </c>
      <c r="E3" s="317" t="s">
        <v>679</v>
      </c>
      <c r="F3" s="317" t="s">
        <v>680</v>
      </c>
    </row>
    <row r="4" spans="1:6" ht="30" x14ac:dyDescent="0.25">
      <c r="A4" s="316" t="s">
        <v>681</v>
      </c>
      <c r="C4" s="314" t="s">
        <v>682</v>
      </c>
      <c r="E4" s="317" t="s">
        <v>683</v>
      </c>
    </row>
    <row r="5" spans="1:6" ht="45" x14ac:dyDescent="0.25">
      <c r="A5" s="316" t="s">
        <v>684</v>
      </c>
      <c r="C5" s="314" t="s">
        <v>685</v>
      </c>
      <c r="E5" s="317" t="s">
        <v>686</v>
      </c>
      <c r="F5" s="317" t="s">
        <v>764</v>
      </c>
    </row>
    <row r="6" spans="1:6" x14ac:dyDescent="0.25">
      <c r="C6" s="318" t="s">
        <v>687</v>
      </c>
      <c r="D6" s="318" t="s">
        <v>670</v>
      </c>
      <c r="E6" s="318" t="s">
        <v>671</v>
      </c>
      <c r="F6" s="318" t="s">
        <v>672</v>
      </c>
    </row>
    <row r="7" spans="1:6" ht="30" x14ac:dyDescent="0.25">
      <c r="C7" s="314" t="s">
        <v>688</v>
      </c>
      <c r="E7" s="317" t="s">
        <v>689</v>
      </c>
      <c r="F7" s="317"/>
    </row>
    <row r="8" spans="1:6" ht="75" x14ac:dyDescent="0.25">
      <c r="C8" s="314" t="s">
        <v>690</v>
      </c>
      <c r="E8" s="317" t="s">
        <v>691</v>
      </c>
      <c r="F8" s="317" t="s">
        <v>692</v>
      </c>
    </row>
    <row r="9" spans="1:6" ht="30" x14ac:dyDescent="0.25">
      <c r="C9" s="314" t="s">
        <v>693</v>
      </c>
      <c r="E9" s="317" t="s">
        <v>694</v>
      </c>
    </row>
    <row r="10" spans="1:6" ht="30" x14ac:dyDescent="0.25">
      <c r="C10" s="314" t="s">
        <v>695</v>
      </c>
      <c r="E10" s="317" t="s">
        <v>696</v>
      </c>
      <c r="F10" s="317"/>
    </row>
    <row r="11" spans="1:6" x14ac:dyDescent="0.25">
      <c r="C11" s="314" t="s">
        <v>697</v>
      </c>
      <c r="E11" s="317" t="s">
        <v>698</v>
      </c>
    </row>
    <row r="12" spans="1:6" x14ac:dyDescent="0.25">
      <c r="C12" s="314" t="s">
        <v>699</v>
      </c>
      <c r="E12" s="317" t="s">
        <v>700</v>
      </c>
    </row>
    <row r="13" spans="1:6" x14ac:dyDescent="0.25">
      <c r="C13" s="319" t="s">
        <v>701</v>
      </c>
      <c r="D13" s="319" t="s">
        <v>670</v>
      </c>
      <c r="E13" s="319" t="s">
        <v>671</v>
      </c>
      <c r="F13" s="319" t="s">
        <v>672</v>
      </c>
    </row>
    <row r="14" spans="1:6" ht="30" x14ac:dyDescent="0.25">
      <c r="C14" s="314" t="s">
        <v>702</v>
      </c>
      <c r="E14" s="317" t="s">
        <v>703</v>
      </c>
      <c r="F14" s="317"/>
    </row>
    <row r="15" spans="1:6" ht="75" x14ac:dyDescent="0.25">
      <c r="C15" s="314" t="s">
        <v>704</v>
      </c>
      <c r="E15" s="317" t="s">
        <v>705</v>
      </c>
      <c r="F15" s="317"/>
    </row>
    <row r="16" spans="1:6" ht="90" x14ac:dyDescent="0.25">
      <c r="C16" s="314" t="s">
        <v>706</v>
      </c>
      <c r="E16" s="317" t="s">
        <v>707</v>
      </c>
    </row>
    <row r="17" spans="3:6" ht="45" customHeight="1" x14ac:dyDescent="0.25">
      <c r="C17" s="314" t="s">
        <v>708</v>
      </c>
      <c r="D17" s="314" t="s">
        <v>49</v>
      </c>
      <c r="E17" s="317" t="s">
        <v>1272</v>
      </c>
      <c r="F17" s="317"/>
    </row>
    <row r="18" spans="3:6" x14ac:dyDescent="0.25">
      <c r="C18" s="320" t="s">
        <v>709</v>
      </c>
      <c r="D18" s="320" t="s">
        <v>670</v>
      </c>
      <c r="E18" s="320" t="s">
        <v>671</v>
      </c>
      <c r="F18" s="320" t="s">
        <v>672</v>
      </c>
    </row>
    <row r="19" spans="3:6" ht="30" x14ac:dyDescent="0.25">
      <c r="C19" s="314" t="s">
        <v>710</v>
      </c>
      <c r="D19" s="314" t="s">
        <v>711</v>
      </c>
      <c r="E19" s="317" t="s">
        <v>712</v>
      </c>
      <c r="F19" s="317"/>
    </row>
  </sheetData>
  <pageMargins left="0.7" right="0.7" top="0.75" bottom="0.75" header="0.3" footer="0.3"/>
  <pageSetup scale="51" orientation="landscape" r:id="rId1"/>
  <legacyDrawing r:id="rId2"/>
  <tableParts count="4">
    <tablePart r:id="rId3"/>
    <tablePart r:id="rId4"/>
    <tablePart r:id="rId5"/>
    <tablePart r:id="rId6"/>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tabColor theme="7" tint="0.39997558519241921"/>
  </sheetPr>
  <dimension ref="B1:O37"/>
  <sheetViews>
    <sheetView zoomScaleNormal="100" workbookViewId="0">
      <selection activeCell="B1" sqref="B1"/>
    </sheetView>
  </sheetViews>
  <sheetFormatPr defaultColWidth="9.140625" defaultRowHeight="12.75" x14ac:dyDescent="0.2"/>
  <cols>
    <col min="1" max="1" width="1.5703125" style="321" customWidth="1"/>
    <col min="2" max="2" width="11.42578125" style="321" customWidth="1"/>
    <col min="3" max="3" width="43.28515625" style="321" bestFit="1" customWidth="1"/>
    <col min="4" max="4" width="5.28515625" style="321" customWidth="1"/>
    <col min="5" max="5" width="7.28515625" style="321" customWidth="1"/>
    <col min="6" max="6" width="21.140625" style="321" customWidth="1"/>
    <col min="7" max="7" width="5.28515625" style="322" customWidth="1"/>
    <col min="8" max="8" width="10.5703125" style="321" customWidth="1"/>
    <col min="9" max="9" width="21.140625" style="321" customWidth="1"/>
    <col min="10" max="10" width="1.5703125" style="321" customWidth="1"/>
    <col min="11" max="11" width="7.28515625" style="321" customWidth="1"/>
    <col min="12" max="12" width="21.140625" style="321" customWidth="1"/>
    <col min="13" max="13" width="1.5703125" style="321" customWidth="1"/>
    <col min="14" max="14" width="7.28515625" style="321" customWidth="1"/>
    <col min="15" max="15" width="21.140625" style="321" customWidth="1"/>
    <col min="16" max="16384" width="9.140625" style="321"/>
  </cols>
  <sheetData>
    <row r="1" spans="2:12" ht="13.5" thickBot="1" x14ac:dyDescent="0.25"/>
    <row r="2" spans="2:12" ht="15.75" thickBot="1" x14ac:dyDescent="0.25">
      <c r="B2" s="622" t="s">
        <v>713</v>
      </c>
      <c r="C2" s="623" t="s">
        <v>1786</v>
      </c>
      <c r="E2" s="734" t="s">
        <v>715</v>
      </c>
      <c r="F2" s="735"/>
      <c r="H2" s="734" t="s">
        <v>716</v>
      </c>
      <c r="I2" s="735"/>
    </row>
    <row r="3" spans="2:12" ht="30" x14ac:dyDescent="0.2">
      <c r="B3" s="643" t="s">
        <v>1788</v>
      </c>
      <c r="C3" s="624" t="s">
        <v>1787</v>
      </c>
      <c r="E3" s="632" t="s">
        <v>713</v>
      </c>
      <c r="F3" s="633" t="s">
        <v>714</v>
      </c>
      <c r="H3" s="632" t="s">
        <v>1830</v>
      </c>
      <c r="I3" s="633" t="s">
        <v>714</v>
      </c>
    </row>
    <row r="4" spans="2:12" ht="15.75" thickBot="1" x14ac:dyDescent="0.3">
      <c r="B4" s="644" t="s">
        <v>1789</v>
      </c>
      <c r="C4" s="625" t="s">
        <v>1790</v>
      </c>
      <c r="E4" s="641" t="s">
        <v>1802</v>
      </c>
      <c r="F4" s="630" t="s">
        <v>726</v>
      </c>
      <c r="G4" s="327"/>
      <c r="H4" s="640" t="s">
        <v>1813</v>
      </c>
      <c r="I4" s="634" t="s">
        <v>1814</v>
      </c>
      <c r="L4"/>
    </row>
    <row r="5" spans="2:12" ht="15" x14ac:dyDescent="0.25">
      <c r="B5" s="336"/>
      <c r="C5"/>
      <c r="E5" s="641" t="s">
        <v>1803</v>
      </c>
      <c r="F5" s="630" t="s">
        <v>725</v>
      </c>
      <c r="H5" s="641" t="s">
        <v>1815</v>
      </c>
      <c r="I5" s="630" t="s">
        <v>722</v>
      </c>
      <c r="L5"/>
    </row>
    <row r="6" spans="2:12" ht="15.75" thickBot="1" x14ac:dyDescent="0.3">
      <c r="B6" s="336"/>
      <c r="C6"/>
      <c r="E6" s="641" t="s">
        <v>1804</v>
      </c>
      <c r="F6" s="630" t="s">
        <v>721</v>
      </c>
      <c r="H6" s="641" t="s">
        <v>1816</v>
      </c>
      <c r="I6" s="630" t="s">
        <v>720</v>
      </c>
      <c r="L6"/>
    </row>
    <row r="7" spans="2:12" ht="15" x14ac:dyDescent="0.25">
      <c r="B7" s="645" t="s">
        <v>1800</v>
      </c>
      <c r="C7" s="626" t="s">
        <v>1791</v>
      </c>
      <c r="E7" s="640" t="s">
        <v>1805</v>
      </c>
      <c r="F7" s="630" t="s">
        <v>552</v>
      </c>
      <c r="H7" s="641" t="s">
        <v>1817</v>
      </c>
      <c r="I7" s="630" t="s">
        <v>724</v>
      </c>
      <c r="L7"/>
    </row>
    <row r="8" spans="2:12" ht="17.25" x14ac:dyDescent="0.25">
      <c r="B8" s="646" t="s">
        <v>1792</v>
      </c>
      <c r="C8" s="627" t="s">
        <v>1793</v>
      </c>
      <c r="E8" s="640" t="s">
        <v>1806</v>
      </c>
      <c r="F8" s="630" t="s">
        <v>730</v>
      </c>
      <c r="H8" s="641" t="s">
        <v>1818</v>
      </c>
      <c r="I8" s="630" t="s">
        <v>377</v>
      </c>
      <c r="L8"/>
    </row>
    <row r="9" spans="2:12" ht="15" x14ac:dyDescent="0.25">
      <c r="B9" s="647" t="s">
        <v>1788</v>
      </c>
      <c r="C9" s="627" t="s">
        <v>1794</v>
      </c>
      <c r="E9" s="640" t="s">
        <v>1807</v>
      </c>
      <c r="F9" s="630" t="s">
        <v>733</v>
      </c>
      <c r="H9" s="640" t="s">
        <v>1819</v>
      </c>
      <c r="I9" s="630" t="s">
        <v>732</v>
      </c>
      <c r="L9"/>
    </row>
    <row r="10" spans="2:12" ht="15" x14ac:dyDescent="0.25">
      <c r="B10" s="647" t="s">
        <v>1789</v>
      </c>
      <c r="C10" s="627" t="s">
        <v>1795</v>
      </c>
      <c r="E10" s="640" t="s">
        <v>1808</v>
      </c>
      <c r="F10" s="630" t="s">
        <v>723</v>
      </c>
      <c r="H10" s="640" t="s">
        <v>1820</v>
      </c>
      <c r="I10" s="630" t="s">
        <v>379</v>
      </c>
      <c r="L10"/>
    </row>
    <row r="11" spans="2:12" ht="18" thickBot="1" x14ac:dyDescent="0.3">
      <c r="B11" s="648" t="s">
        <v>1796</v>
      </c>
      <c r="C11" s="628" t="s">
        <v>1797</v>
      </c>
      <c r="E11" s="640" t="s">
        <v>1809</v>
      </c>
      <c r="F11" s="630" t="s">
        <v>731</v>
      </c>
      <c r="H11" s="640" t="s">
        <v>1821</v>
      </c>
      <c r="I11" s="630" t="s">
        <v>376</v>
      </c>
      <c r="L11"/>
    </row>
    <row r="12" spans="2:12" ht="15" x14ac:dyDescent="0.25">
      <c r="B12"/>
      <c r="C12"/>
      <c r="E12" s="640" t="s">
        <v>1810</v>
      </c>
      <c r="F12" s="630" t="s">
        <v>719</v>
      </c>
      <c r="H12" s="640" t="s">
        <v>1822</v>
      </c>
      <c r="I12" s="630" t="s">
        <v>760</v>
      </c>
      <c r="L12"/>
    </row>
    <row r="13" spans="2:12" ht="25.5" x14ac:dyDescent="0.2">
      <c r="C13" s="322" t="s">
        <v>1801</v>
      </c>
      <c r="E13" s="640" t="s">
        <v>1811</v>
      </c>
      <c r="F13" s="630" t="s">
        <v>717</v>
      </c>
      <c r="H13" s="640" t="s">
        <v>1823</v>
      </c>
      <c r="I13" s="630" t="s">
        <v>729</v>
      </c>
    </row>
    <row r="14" spans="2:12" ht="39" thickBot="1" x14ac:dyDescent="0.25">
      <c r="C14" s="322" t="s">
        <v>1799</v>
      </c>
      <c r="E14" s="642" t="s">
        <v>1812</v>
      </c>
      <c r="F14" s="631" t="s">
        <v>728</v>
      </c>
      <c r="H14" s="640" t="s">
        <v>1824</v>
      </c>
      <c r="I14" s="630" t="s">
        <v>743</v>
      </c>
    </row>
    <row r="15" spans="2:12" ht="45" x14ac:dyDescent="0.35">
      <c r="C15" s="629" t="s">
        <v>1798</v>
      </c>
      <c r="E15"/>
      <c r="F15"/>
      <c r="H15" s="638" t="s">
        <v>1825</v>
      </c>
      <c r="I15" s="630" t="s">
        <v>65</v>
      </c>
    </row>
    <row r="16" spans="2:12" ht="15" x14ac:dyDescent="0.35">
      <c r="C16" s="330"/>
      <c r="H16" s="638" t="s">
        <v>1826</v>
      </c>
      <c r="I16" s="630" t="s">
        <v>718</v>
      </c>
    </row>
    <row r="17" spans="3:15" ht="17.25" customHeight="1" x14ac:dyDescent="0.35">
      <c r="C17" s="330"/>
      <c r="H17" s="638" t="s">
        <v>1827</v>
      </c>
      <c r="I17" s="630" t="s">
        <v>727</v>
      </c>
    </row>
    <row r="18" spans="3:15" ht="17.25" customHeight="1" thickBot="1" x14ac:dyDescent="0.4">
      <c r="C18" s="330"/>
      <c r="H18" s="639" t="s">
        <v>1828</v>
      </c>
      <c r="I18" s="635" t="s">
        <v>1829</v>
      </c>
    </row>
    <row r="19" spans="3:15" ht="54.75" customHeight="1" x14ac:dyDescent="0.2">
      <c r="L19" s="736" t="s">
        <v>1831</v>
      </c>
      <c r="M19" s="736"/>
      <c r="N19" s="736"/>
      <c r="O19" s="736"/>
    </row>
    <row r="20" spans="3:15" ht="13.5" thickBot="1" x14ac:dyDescent="0.25"/>
    <row r="21" spans="3:15" ht="13.5" thickBot="1" x14ac:dyDescent="0.25">
      <c r="E21" s="734" t="s">
        <v>734</v>
      </c>
      <c r="F21" s="735"/>
      <c r="G21" s="321"/>
      <c r="H21" s="734" t="s">
        <v>735</v>
      </c>
      <c r="I21" s="735"/>
    </row>
    <row r="22" spans="3:15" ht="30" x14ac:dyDescent="0.2">
      <c r="E22" s="325" t="s">
        <v>713</v>
      </c>
      <c r="F22" s="326" t="s">
        <v>714</v>
      </c>
      <c r="G22" s="321"/>
      <c r="H22" s="653" t="s">
        <v>1830</v>
      </c>
      <c r="I22" s="654" t="s">
        <v>714</v>
      </c>
    </row>
    <row r="23" spans="3:15" ht="15.75" x14ac:dyDescent="0.3">
      <c r="C23"/>
      <c r="E23" s="323" t="s">
        <v>736</v>
      </c>
      <c r="F23" s="324" t="s">
        <v>737</v>
      </c>
      <c r="G23" s="321"/>
      <c r="H23" s="649" t="s">
        <v>1813</v>
      </c>
      <c r="I23" s="650" t="s">
        <v>1814</v>
      </c>
      <c r="L23"/>
    </row>
    <row r="24" spans="3:15" ht="15.75" x14ac:dyDescent="0.3">
      <c r="C24"/>
      <c r="E24" s="323" t="s">
        <v>739</v>
      </c>
      <c r="F24" s="324" t="s">
        <v>745</v>
      </c>
      <c r="G24" s="321"/>
      <c r="H24" s="651" t="s">
        <v>1815</v>
      </c>
      <c r="I24" s="650" t="s">
        <v>738</v>
      </c>
      <c r="L24"/>
    </row>
    <row r="25" spans="3:15" ht="15.75" x14ac:dyDescent="0.3">
      <c r="C25"/>
      <c r="E25" s="323" t="s">
        <v>741</v>
      </c>
      <c r="F25" s="324" t="s">
        <v>748</v>
      </c>
      <c r="G25" s="321"/>
      <c r="H25" s="651" t="s">
        <v>1816</v>
      </c>
      <c r="I25" s="650" t="s">
        <v>380</v>
      </c>
      <c r="L25"/>
    </row>
    <row r="26" spans="3:15" ht="15.75" x14ac:dyDescent="0.3">
      <c r="C26"/>
      <c r="E26" s="323" t="s">
        <v>744</v>
      </c>
      <c r="F26" s="324" t="s">
        <v>752</v>
      </c>
      <c r="G26" s="321"/>
      <c r="H26" s="651" t="s">
        <v>1833</v>
      </c>
      <c r="I26" s="650" t="s">
        <v>740</v>
      </c>
      <c r="L26"/>
    </row>
    <row r="27" spans="3:15" ht="15.75" x14ac:dyDescent="0.3">
      <c r="C27"/>
      <c r="E27" s="323" t="s">
        <v>747</v>
      </c>
      <c r="F27" s="324" t="s">
        <v>757</v>
      </c>
      <c r="G27" s="321"/>
      <c r="H27" s="651" t="s">
        <v>1834</v>
      </c>
      <c r="I27" s="650" t="s">
        <v>377</v>
      </c>
      <c r="L27"/>
    </row>
    <row r="28" spans="3:15" ht="15.75" x14ac:dyDescent="0.3">
      <c r="C28"/>
      <c r="E28" s="323" t="s">
        <v>749</v>
      </c>
      <c r="F28" s="324" t="s">
        <v>742</v>
      </c>
      <c r="G28" s="321"/>
      <c r="H28" s="651" t="s">
        <v>1835</v>
      </c>
      <c r="I28" s="650" t="s">
        <v>761</v>
      </c>
      <c r="L28"/>
    </row>
    <row r="29" spans="3:15" ht="15.75" x14ac:dyDescent="0.3">
      <c r="C29"/>
      <c r="E29" s="323" t="s">
        <v>751</v>
      </c>
      <c r="F29" s="324" t="s">
        <v>552</v>
      </c>
      <c r="G29" s="321"/>
      <c r="H29" s="651" t="s">
        <v>1836</v>
      </c>
      <c r="I29" s="650" t="s">
        <v>746</v>
      </c>
      <c r="L29"/>
    </row>
    <row r="30" spans="3:15" ht="15.75" x14ac:dyDescent="0.3">
      <c r="C30"/>
      <c r="E30" s="323" t="s">
        <v>754</v>
      </c>
      <c r="F30" s="324" t="s">
        <v>750</v>
      </c>
      <c r="G30" s="321"/>
      <c r="H30" s="651" t="s">
        <v>1837</v>
      </c>
      <c r="I30" s="650" t="s">
        <v>378</v>
      </c>
      <c r="L30"/>
    </row>
    <row r="31" spans="3:15" ht="15.75" x14ac:dyDescent="0.3">
      <c r="C31"/>
      <c r="E31" s="323" t="s">
        <v>756</v>
      </c>
      <c r="F31" s="324" t="s">
        <v>755</v>
      </c>
      <c r="G31" s="321"/>
      <c r="H31" s="651" t="s">
        <v>1838</v>
      </c>
      <c r="I31" s="650" t="s">
        <v>376</v>
      </c>
      <c r="L31"/>
    </row>
    <row r="32" spans="3:15" ht="16.5" thickBot="1" x14ac:dyDescent="0.35">
      <c r="C32"/>
      <c r="E32" s="328" t="s">
        <v>758</v>
      </c>
      <c r="F32" s="329" t="s">
        <v>759</v>
      </c>
      <c r="G32" s="321"/>
      <c r="H32" s="649" t="s">
        <v>1839</v>
      </c>
      <c r="I32" s="650" t="s">
        <v>743</v>
      </c>
      <c r="L32"/>
    </row>
    <row r="33" spans="7:12" ht="15.75" x14ac:dyDescent="0.3">
      <c r="G33"/>
      <c r="H33" s="649" t="s">
        <v>1840</v>
      </c>
      <c r="I33" s="650" t="s">
        <v>760</v>
      </c>
      <c r="L33"/>
    </row>
    <row r="34" spans="7:12" ht="15.75" x14ac:dyDescent="0.3">
      <c r="G34" s="321"/>
      <c r="H34" s="649" t="s">
        <v>1841</v>
      </c>
      <c r="I34" s="650" t="s">
        <v>729</v>
      </c>
      <c r="L34"/>
    </row>
    <row r="35" spans="7:12" ht="15.75" x14ac:dyDescent="0.3">
      <c r="G35" s="321"/>
      <c r="H35" s="649" t="s">
        <v>1826</v>
      </c>
      <c r="I35" s="650" t="s">
        <v>65</v>
      </c>
      <c r="L35"/>
    </row>
    <row r="36" spans="7:12" ht="15" x14ac:dyDescent="0.3">
      <c r="H36" s="636" t="s">
        <v>1827</v>
      </c>
      <c r="I36" s="650" t="s">
        <v>753</v>
      </c>
    </row>
    <row r="37" spans="7:12" ht="15.75" thickBot="1" x14ac:dyDescent="0.25">
      <c r="H37" s="637" t="s">
        <v>1842</v>
      </c>
      <c r="I37" s="652" t="s">
        <v>1832</v>
      </c>
    </row>
  </sheetData>
  <mergeCells count="5">
    <mergeCell ref="E2:F2"/>
    <mergeCell ref="H2:I2"/>
    <mergeCell ref="E21:F21"/>
    <mergeCell ref="H21:I21"/>
    <mergeCell ref="L19:O19"/>
  </mergeCells>
  <pageMargins left="0.7" right="0.7" top="0.75" bottom="0.75" header="0.3" footer="0.3"/>
  <ignoredErrors>
    <ignoredError sqref="B3 E5 H6 B9 H25" twoDigitTextYear="1"/>
  </ignoredErrors>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7" tint="0.39997558519241921"/>
  </sheetPr>
  <dimension ref="A1"/>
  <sheetViews>
    <sheetView zoomScaleNormal="100" workbookViewId="0">
      <selection activeCell="D34" sqref="D34"/>
    </sheetView>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W96"/>
  <sheetViews>
    <sheetView topLeftCell="A46" zoomScaleNormal="100" workbookViewId="0">
      <selection activeCell="A53" sqref="A53"/>
    </sheetView>
  </sheetViews>
  <sheetFormatPr defaultColWidth="8.85546875" defaultRowHeight="15" x14ac:dyDescent="0.25"/>
  <cols>
    <col min="1" max="1" width="17.7109375" style="419" bestFit="1" customWidth="1"/>
    <col min="2" max="2" width="8.28515625" style="419" customWidth="1"/>
    <col min="3" max="3" width="10.42578125" style="419" customWidth="1"/>
    <col min="4" max="4" width="8.28515625" style="419" customWidth="1"/>
    <col min="5" max="5" width="8.7109375" style="419" customWidth="1"/>
    <col min="6" max="7" width="8.28515625" style="419" customWidth="1"/>
    <col min="8" max="8" width="9.7109375" style="419" customWidth="1"/>
    <col min="9" max="9" width="8.28515625" style="419" customWidth="1"/>
    <col min="10" max="10" width="9" style="419" customWidth="1"/>
    <col min="11" max="14" width="8.28515625" style="419" customWidth="1"/>
    <col min="15" max="15" width="10.28515625" style="419" customWidth="1"/>
    <col min="16" max="16" width="6" style="419" customWidth="1"/>
    <col min="17" max="17" width="13.42578125" style="419" customWidth="1"/>
    <col min="18" max="18" width="5" style="419" customWidth="1"/>
    <col min="19" max="19" width="5.42578125" style="419" customWidth="1"/>
    <col min="20" max="20" width="7.5703125" style="419" customWidth="1"/>
    <col min="21" max="21" width="35" style="419" customWidth="1"/>
    <col min="22" max="22" width="13.140625" style="419" customWidth="1"/>
    <col min="23" max="23" width="11.7109375" style="419" customWidth="1"/>
    <col min="24" max="24" width="34.85546875" style="419" customWidth="1"/>
    <col min="25" max="25" width="46" style="419" customWidth="1"/>
    <col min="26" max="26" width="37.7109375" style="419" customWidth="1"/>
    <col min="27" max="27" width="118.42578125" style="419" customWidth="1"/>
    <col min="28" max="29" width="8.85546875" style="336" customWidth="1"/>
    <col min="30" max="30" width="10.85546875" style="336" customWidth="1"/>
    <col min="31" max="46" width="8.85546875" style="336" customWidth="1"/>
    <col min="50" max="16384" width="8.85546875" style="336"/>
  </cols>
  <sheetData>
    <row r="1" spans="1:49" s="74" customFormat="1" ht="28.15" customHeight="1" x14ac:dyDescent="0.25">
      <c r="A1" s="416" t="s">
        <v>365</v>
      </c>
      <c r="B1" s="416" t="s">
        <v>909</v>
      </c>
      <c r="C1" s="416" t="s">
        <v>46</v>
      </c>
      <c r="D1" s="416" t="s">
        <v>910</v>
      </c>
      <c r="E1" s="416" t="s">
        <v>49</v>
      </c>
      <c r="F1" s="416" t="s">
        <v>50</v>
      </c>
      <c r="G1" s="416" t="s">
        <v>51</v>
      </c>
      <c r="H1" s="416" t="s">
        <v>1203</v>
      </c>
      <c r="I1" s="416" t="s">
        <v>1204</v>
      </c>
      <c r="J1" s="416" t="s">
        <v>1205</v>
      </c>
      <c r="K1" s="416" t="s">
        <v>57</v>
      </c>
      <c r="L1" s="416" t="s">
        <v>1206</v>
      </c>
      <c r="M1" s="416" t="s">
        <v>629</v>
      </c>
      <c r="N1" s="416" t="s">
        <v>911</v>
      </c>
      <c r="O1" s="416" t="s">
        <v>640</v>
      </c>
      <c r="P1" s="416" t="s">
        <v>641</v>
      </c>
      <c r="Q1" s="416" t="s">
        <v>642</v>
      </c>
      <c r="R1" s="416" t="s">
        <v>643</v>
      </c>
      <c r="S1" s="416" t="s">
        <v>644</v>
      </c>
      <c r="T1" s="416" t="s">
        <v>645</v>
      </c>
      <c r="U1" s="416" t="s">
        <v>912</v>
      </c>
      <c r="V1" s="416" t="s">
        <v>913</v>
      </c>
      <c r="W1" s="416" t="s">
        <v>914</v>
      </c>
      <c r="X1" s="416" t="s">
        <v>915</v>
      </c>
      <c r="Y1" s="416" t="s">
        <v>916</v>
      </c>
      <c r="Z1" s="416" t="s">
        <v>371</v>
      </c>
      <c r="AA1" s="416" t="s">
        <v>868</v>
      </c>
      <c r="AB1" s="602" t="s">
        <v>1669</v>
      </c>
      <c r="AC1" s="602" t="s">
        <v>85</v>
      </c>
      <c r="AD1" s="602" t="s">
        <v>86</v>
      </c>
      <c r="AE1" s="602" t="s">
        <v>1670</v>
      </c>
      <c r="AF1" s="603" t="s">
        <v>408</v>
      </c>
      <c r="AG1" s="603" t="s">
        <v>409</v>
      </c>
      <c r="AH1" s="603" t="s">
        <v>410</v>
      </c>
      <c r="AI1" s="603" t="s">
        <v>411</v>
      </c>
      <c r="AJ1" s="603" t="s">
        <v>412</v>
      </c>
      <c r="AK1" s="603" t="s">
        <v>413</v>
      </c>
      <c r="AL1" s="603" t="s">
        <v>414</v>
      </c>
      <c r="AM1" s="603" t="s">
        <v>415</v>
      </c>
      <c r="AN1" s="603" t="s">
        <v>416</v>
      </c>
      <c r="AO1" s="603" t="s">
        <v>417</v>
      </c>
      <c r="AP1" s="603" t="s">
        <v>418</v>
      </c>
      <c r="AQ1" s="603" t="s">
        <v>419</v>
      </c>
      <c r="AR1" s="603" t="s">
        <v>420</v>
      </c>
      <c r="AS1" s="603" t="s">
        <v>421</v>
      </c>
      <c r="AT1" s="603" t="s">
        <v>422</v>
      </c>
    </row>
    <row r="2" spans="1:49" ht="30" x14ac:dyDescent="0.25">
      <c r="A2" s="469" t="s">
        <v>0</v>
      </c>
      <c r="B2" s="465">
        <v>52</v>
      </c>
      <c r="C2" s="465">
        <v>100</v>
      </c>
      <c r="D2" s="465">
        <v>2</v>
      </c>
      <c r="E2" s="465">
        <v>2</v>
      </c>
      <c r="F2" s="465">
        <v>2</v>
      </c>
      <c r="G2" s="465">
        <v>0</v>
      </c>
      <c r="H2" s="501">
        <f>Table14[[#This Row],[Economy]]/Table14[[#This Row],[BP Cost]]</f>
        <v>3.8461538461538464E-2</v>
      </c>
      <c r="I2" s="501">
        <f>Table14[[#This Row],[Loyalty]]/Table14[[#This Row],[BP Cost]]</f>
        <v>3.8461538461538464E-2</v>
      </c>
      <c r="J2" s="501">
        <f>Table14[[#This Row],[Stability]]/Table14[[#This Row],[BP Cost]]</f>
        <v>0</v>
      </c>
      <c r="K2" s="465">
        <v>0</v>
      </c>
      <c r="L2" s="501">
        <f>Table14[[#This Row],[Unrest]]/Table14[[#This Row],[BP Cost]]</f>
        <v>0</v>
      </c>
      <c r="M2" s="465">
        <v>1</v>
      </c>
      <c r="N2" s="465">
        <v>0</v>
      </c>
      <c r="O2" s="465">
        <v>0</v>
      </c>
      <c r="P2" s="465">
        <v>0</v>
      </c>
      <c r="Q2" s="465">
        <v>1</v>
      </c>
      <c r="R2" s="465">
        <v>0</v>
      </c>
      <c r="S2" s="465">
        <v>2</v>
      </c>
      <c r="T2" s="465">
        <v>2</v>
      </c>
      <c r="U2" s="417" t="s">
        <v>917</v>
      </c>
      <c r="V2" s="417" t="s">
        <v>20</v>
      </c>
      <c r="W2" s="417" t="s">
        <v>352</v>
      </c>
      <c r="X2" s="417"/>
      <c r="Y2" s="417"/>
      <c r="Z2" s="417" t="s">
        <v>1132</v>
      </c>
      <c r="AA2" s="417" t="s">
        <v>918</v>
      </c>
      <c r="AB2" s="597"/>
      <c r="AC2" s="598"/>
      <c r="AD2" s="598"/>
      <c r="AE2" s="599"/>
      <c r="AF2" s="598">
        <v>3</v>
      </c>
      <c r="AG2" s="598">
        <v>2</v>
      </c>
      <c r="AH2" s="598"/>
      <c r="AI2" s="598"/>
      <c r="AJ2" s="598"/>
      <c r="AK2" s="598"/>
      <c r="AL2" s="598"/>
      <c r="AM2" s="598"/>
      <c r="AN2" s="598"/>
      <c r="AO2" s="598"/>
      <c r="AP2" s="598"/>
      <c r="AQ2" s="598"/>
      <c r="AR2" s="598"/>
      <c r="AS2" s="598"/>
      <c r="AT2" s="598"/>
    </row>
    <row r="3" spans="1:49" s="585" customFormat="1" ht="30" x14ac:dyDescent="0.25">
      <c r="A3" s="581" t="s">
        <v>1212</v>
      </c>
      <c r="B3" s="582">
        <v>18</v>
      </c>
      <c r="C3" s="582">
        <v>10</v>
      </c>
      <c r="D3" s="582">
        <v>1</v>
      </c>
      <c r="E3" s="582">
        <v>0</v>
      </c>
      <c r="F3" s="582">
        <v>0</v>
      </c>
      <c r="G3" s="582">
        <v>2</v>
      </c>
      <c r="H3" s="583">
        <f>Table14[[#This Row],[Economy]]/Table14[[#This Row],[BP Cost]]</f>
        <v>0</v>
      </c>
      <c r="I3" s="583">
        <f>Table14[[#This Row],[Loyalty]]/Table14[[#This Row],[BP Cost]]</f>
        <v>0</v>
      </c>
      <c r="J3" s="583">
        <f>Table14[[#This Row],[Stability]]/Table14[[#This Row],[BP Cost]]</f>
        <v>0.1111111111111111</v>
      </c>
      <c r="K3" s="582">
        <v>-1</v>
      </c>
      <c r="L3" s="583">
        <f>Table14[[#This Row],[Unrest]]/Table14[[#This Row],[BP Cost]]</f>
        <v>-5.5555555555555552E-2</v>
      </c>
      <c r="M3" s="582">
        <v>0</v>
      </c>
      <c r="N3" s="582">
        <v>0</v>
      </c>
      <c r="O3" s="582">
        <v>0</v>
      </c>
      <c r="P3" s="582">
        <v>0</v>
      </c>
      <c r="Q3" s="582">
        <v>0</v>
      </c>
      <c r="R3" s="582">
        <v>0</v>
      </c>
      <c r="S3" s="582">
        <v>0</v>
      </c>
      <c r="T3" s="582">
        <v>0</v>
      </c>
      <c r="U3" s="584"/>
      <c r="V3" s="584"/>
      <c r="W3" s="584"/>
      <c r="X3" s="584"/>
      <c r="Y3" s="591" t="s">
        <v>1213</v>
      </c>
      <c r="Z3" s="584"/>
      <c r="AA3" s="584"/>
      <c r="AB3" s="595"/>
      <c r="AC3" s="596">
        <v>1</v>
      </c>
      <c r="AD3" s="596"/>
      <c r="AE3" s="596"/>
      <c r="AF3" s="596"/>
      <c r="AG3" s="596"/>
      <c r="AH3" s="596"/>
      <c r="AI3" s="596"/>
      <c r="AJ3" s="596"/>
      <c r="AK3" s="596"/>
      <c r="AL3" s="596"/>
      <c r="AM3" s="596"/>
      <c r="AN3" s="596"/>
      <c r="AO3" s="596"/>
      <c r="AP3" s="596"/>
      <c r="AQ3" s="596"/>
      <c r="AR3" s="596"/>
      <c r="AS3" s="596"/>
      <c r="AT3" s="596"/>
      <c r="AU3" s="586"/>
      <c r="AV3" s="586"/>
      <c r="AW3" s="586"/>
    </row>
    <row r="4" spans="1:49" x14ac:dyDescent="0.25">
      <c r="A4" s="470" t="s">
        <v>1</v>
      </c>
      <c r="B4" s="466">
        <v>18</v>
      </c>
      <c r="C4" s="466">
        <v>10</v>
      </c>
      <c r="D4" s="466">
        <v>1</v>
      </c>
      <c r="E4" s="466">
        <v>1</v>
      </c>
      <c r="F4" s="466">
        <v>0</v>
      </c>
      <c r="G4" s="466">
        <v>0</v>
      </c>
      <c r="H4" s="502">
        <f>Table14[[#This Row],[Economy]]/Table14[[#This Row],[BP Cost]]</f>
        <v>5.5555555555555552E-2</v>
      </c>
      <c r="I4" s="502">
        <f>Table14[[#This Row],[Loyalty]]/Table14[[#This Row],[BP Cost]]</f>
        <v>0</v>
      </c>
      <c r="J4" s="502">
        <f>Table14[[#This Row],[Stability]]/Table14[[#This Row],[BP Cost]]</f>
        <v>0</v>
      </c>
      <c r="K4" s="466">
        <v>0</v>
      </c>
      <c r="L4" s="502">
        <f>Table14[[#This Row],[Unrest]]/Table14[[#This Row],[BP Cost]]</f>
        <v>0</v>
      </c>
      <c r="M4" s="466">
        <v>0</v>
      </c>
      <c r="N4" s="466">
        <v>0</v>
      </c>
      <c r="O4" s="466">
        <v>0</v>
      </c>
      <c r="P4" s="466">
        <v>0</v>
      </c>
      <c r="Q4" s="466">
        <v>0</v>
      </c>
      <c r="R4" s="466">
        <v>0</v>
      </c>
      <c r="S4" s="466">
        <v>0</v>
      </c>
      <c r="T4" s="466">
        <v>0</v>
      </c>
      <c r="U4" s="418"/>
      <c r="V4" s="418"/>
      <c r="W4" s="418"/>
      <c r="X4" s="418" t="s">
        <v>919</v>
      </c>
      <c r="Y4" s="418" t="s">
        <v>1183</v>
      </c>
      <c r="Z4" s="418" t="s">
        <v>920</v>
      </c>
      <c r="AA4" s="418" t="s">
        <v>921</v>
      </c>
      <c r="AB4" s="592"/>
      <c r="AC4" s="593"/>
      <c r="AD4" s="593">
        <v>1000</v>
      </c>
      <c r="AE4" s="594"/>
      <c r="AF4" s="593"/>
      <c r="AG4" s="593"/>
      <c r="AH4" s="593">
        <v>1</v>
      </c>
      <c r="AI4" s="593"/>
      <c r="AJ4" s="593"/>
      <c r="AK4" s="593"/>
      <c r="AL4" s="593"/>
      <c r="AM4" s="593"/>
      <c r="AN4" s="593"/>
      <c r="AO4" s="593"/>
      <c r="AP4" s="593"/>
      <c r="AQ4" s="593"/>
      <c r="AR4" s="593"/>
      <c r="AS4" s="593"/>
      <c r="AT4" s="593"/>
    </row>
    <row r="5" spans="1:49" ht="30" x14ac:dyDescent="0.25">
      <c r="A5" s="470" t="s">
        <v>1773</v>
      </c>
      <c r="B5" s="466">
        <v>5</v>
      </c>
      <c r="C5" s="466">
        <v>0</v>
      </c>
      <c r="D5" s="466">
        <v>0</v>
      </c>
      <c r="E5" s="466">
        <v>1</v>
      </c>
      <c r="F5" s="466">
        <v>-1</v>
      </c>
      <c r="G5" s="466">
        <v>0</v>
      </c>
      <c r="H5" s="502">
        <f>Table14[[#This Row],[Economy]]/Table14[[#This Row],[BP Cost]]</f>
        <v>0.2</v>
      </c>
      <c r="I5" s="502">
        <f>Table14[[#This Row],[Loyalty]]/Table14[[#This Row],[BP Cost]]</f>
        <v>-0.2</v>
      </c>
      <c r="J5" s="502">
        <f>Table14[[#This Row],[Stability]]/Table14[[#This Row],[BP Cost]]</f>
        <v>0</v>
      </c>
      <c r="K5" s="466">
        <v>0</v>
      </c>
      <c r="L5" s="502">
        <f>Table14[[#This Row],[Unrest]]/Table14[[#This Row],[BP Cost]]</f>
        <v>0</v>
      </c>
      <c r="M5" s="466">
        <v>1</v>
      </c>
      <c r="N5" s="466">
        <v>0</v>
      </c>
      <c r="O5" s="466">
        <v>0</v>
      </c>
      <c r="P5" s="466">
        <v>0</v>
      </c>
      <c r="Q5" s="466">
        <v>1</v>
      </c>
      <c r="R5" s="466">
        <v>0</v>
      </c>
      <c r="S5" s="466">
        <v>0</v>
      </c>
      <c r="T5" s="466">
        <v>0</v>
      </c>
      <c r="U5" s="418"/>
      <c r="V5" s="418"/>
      <c r="W5" s="418"/>
      <c r="X5" s="418"/>
      <c r="Y5" s="418" t="s">
        <v>1774</v>
      </c>
      <c r="Z5" s="418"/>
      <c r="AA5" s="418"/>
      <c r="AB5" s="592"/>
      <c r="AC5" s="593">
        <v>0</v>
      </c>
      <c r="AD5" s="593"/>
      <c r="AE5" s="594"/>
      <c r="AF5" s="593"/>
      <c r="AG5" s="593"/>
      <c r="AH5" s="593"/>
      <c r="AI5" s="593"/>
      <c r="AJ5" s="593"/>
      <c r="AK5" s="593"/>
      <c r="AL5" s="593"/>
      <c r="AM5" s="593"/>
      <c r="AN5" s="593"/>
      <c r="AO5" s="593"/>
      <c r="AP5" s="593"/>
      <c r="AQ5" s="593"/>
      <c r="AR5" s="593"/>
      <c r="AS5" s="593"/>
      <c r="AT5" s="593"/>
    </row>
    <row r="6" spans="1:49" s="585" customFormat="1" ht="30" x14ac:dyDescent="0.25">
      <c r="A6" s="581" t="s">
        <v>2</v>
      </c>
      <c r="B6" s="582">
        <v>40</v>
      </c>
      <c r="C6" s="582">
        <v>100</v>
      </c>
      <c r="D6" s="582">
        <v>4</v>
      </c>
      <c r="E6" s="582">
        <v>0</v>
      </c>
      <c r="F6" s="582">
        <v>0</v>
      </c>
      <c r="G6" s="582">
        <v>4</v>
      </c>
      <c r="H6" s="583">
        <f>Table14[[#This Row],[Economy]]/Table14[[#This Row],[BP Cost]]</f>
        <v>0</v>
      </c>
      <c r="I6" s="583">
        <f>Table14[[#This Row],[Loyalty]]/Table14[[#This Row],[BP Cost]]</f>
        <v>0</v>
      </c>
      <c r="J6" s="583">
        <f>Table14[[#This Row],[Stability]]/Table14[[#This Row],[BP Cost]]</f>
        <v>0.1</v>
      </c>
      <c r="K6" s="582">
        <v>0</v>
      </c>
      <c r="L6" s="583">
        <f>Table14[[#This Row],[Unrest]]/Table14[[#This Row],[BP Cost]]</f>
        <v>0</v>
      </c>
      <c r="M6" s="582">
        <v>1</v>
      </c>
      <c r="N6" s="582">
        <v>0</v>
      </c>
      <c r="O6" s="582">
        <v>0</v>
      </c>
      <c r="P6" s="582">
        <v>1</v>
      </c>
      <c r="Q6" s="582">
        <v>0</v>
      </c>
      <c r="R6" s="582">
        <v>0</v>
      </c>
      <c r="S6" s="582">
        <v>0</v>
      </c>
      <c r="T6" s="582">
        <v>0</v>
      </c>
      <c r="U6" s="584" t="s">
        <v>922</v>
      </c>
      <c r="V6" s="584" t="s">
        <v>38</v>
      </c>
      <c r="W6" s="584"/>
      <c r="X6" s="584" t="s">
        <v>923</v>
      </c>
      <c r="Y6" s="584"/>
      <c r="Z6" s="584"/>
      <c r="AA6" s="584" t="s">
        <v>924</v>
      </c>
      <c r="AB6" s="595"/>
      <c r="AC6" s="596"/>
      <c r="AD6" s="596"/>
      <c r="AE6" s="596"/>
      <c r="AF6" s="596"/>
      <c r="AG6" s="596"/>
      <c r="AH6" s="596"/>
      <c r="AI6" s="596"/>
      <c r="AJ6" s="596"/>
      <c r="AK6" s="596"/>
      <c r="AL6" s="596"/>
      <c r="AM6" s="596"/>
      <c r="AN6" s="596"/>
      <c r="AO6" s="596"/>
      <c r="AP6" s="596"/>
      <c r="AQ6" s="596"/>
      <c r="AR6" s="596"/>
      <c r="AS6" s="596"/>
      <c r="AT6" s="596"/>
      <c r="AU6" s="586"/>
      <c r="AV6" s="586"/>
      <c r="AW6" s="586"/>
    </row>
    <row r="7" spans="1:49" ht="75" x14ac:dyDescent="0.25">
      <c r="A7" s="469" t="s">
        <v>1214</v>
      </c>
      <c r="B7" s="465">
        <v>30</v>
      </c>
      <c r="C7" s="465">
        <v>50</v>
      </c>
      <c r="D7" s="465">
        <v>2</v>
      </c>
      <c r="E7" s="465">
        <v>2</v>
      </c>
      <c r="F7" s="465">
        <v>0</v>
      </c>
      <c r="G7" s="465">
        <v>1</v>
      </c>
      <c r="H7" s="501">
        <f>Table14[[#This Row],[Economy]]/Table14[[#This Row],[BP Cost]]</f>
        <v>6.6666666666666666E-2</v>
      </c>
      <c r="I7" s="501">
        <f>Table14[[#This Row],[Loyalty]]/Table14[[#This Row],[BP Cost]]</f>
        <v>0</v>
      </c>
      <c r="J7" s="501">
        <f>Table14[[#This Row],[Stability]]/Table14[[#This Row],[BP Cost]]</f>
        <v>3.3333333333333333E-2</v>
      </c>
      <c r="K7" s="465">
        <v>0</v>
      </c>
      <c r="L7" s="501">
        <f>Table14[[#This Row],[Unrest]]/Table14[[#This Row],[BP Cost]]</f>
        <v>0</v>
      </c>
      <c r="M7" s="465">
        <v>1</v>
      </c>
      <c r="N7" s="465">
        <v>0</v>
      </c>
      <c r="O7" s="465">
        <v>1</v>
      </c>
      <c r="P7" s="465">
        <v>0</v>
      </c>
      <c r="Q7" s="465">
        <v>0</v>
      </c>
      <c r="R7" s="465">
        <v>1</v>
      </c>
      <c r="S7" s="465">
        <v>0</v>
      </c>
      <c r="T7" s="465">
        <v>2</v>
      </c>
      <c r="U7" s="417"/>
      <c r="V7" s="417"/>
      <c r="W7" s="417"/>
      <c r="X7" s="417" t="s">
        <v>923</v>
      </c>
      <c r="Y7" s="417" t="s">
        <v>1215</v>
      </c>
      <c r="Z7" s="417"/>
      <c r="AA7" s="417"/>
      <c r="AB7" s="592"/>
      <c r="AC7" s="593"/>
      <c r="AD7" s="593"/>
      <c r="AE7" s="594"/>
      <c r="AF7" s="593"/>
      <c r="AG7" s="593"/>
      <c r="AH7" s="593"/>
      <c r="AI7" s="593"/>
      <c r="AJ7" s="593"/>
      <c r="AK7" s="593"/>
      <c r="AL7" s="593"/>
      <c r="AM7" s="593"/>
      <c r="AN7" s="593"/>
      <c r="AO7" s="593"/>
      <c r="AP7" s="593"/>
      <c r="AQ7" s="593"/>
      <c r="AR7" s="593"/>
      <c r="AS7" s="593"/>
      <c r="AT7" s="593"/>
    </row>
    <row r="8" spans="1:49" x14ac:dyDescent="0.25">
      <c r="A8" s="470" t="s">
        <v>329</v>
      </c>
      <c r="B8" s="466">
        <v>28</v>
      </c>
      <c r="C8" s="466">
        <v>10</v>
      </c>
      <c r="D8" s="466">
        <v>1</v>
      </c>
      <c r="E8" s="466">
        <v>4</v>
      </c>
      <c r="F8" s="466">
        <v>0</v>
      </c>
      <c r="G8" s="466">
        <v>0</v>
      </c>
      <c r="H8" s="502">
        <f>Table14[[#This Row],[Economy]]/Table14[[#This Row],[BP Cost]]</f>
        <v>0.14285714285714285</v>
      </c>
      <c r="I8" s="502">
        <f>Table14[[#This Row],[Loyalty]]/Table14[[#This Row],[BP Cost]]</f>
        <v>0</v>
      </c>
      <c r="J8" s="502">
        <f>Table14[[#This Row],[Stability]]/Table14[[#This Row],[BP Cost]]</f>
        <v>0</v>
      </c>
      <c r="K8" s="466">
        <v>0</v>
      </c>
      <c r="L8" s="502">
        <f>Table14[[#This Row],[Unrest]]/Table14[[#This Row],[BP Cost]]</f>
        <v>0</v>
      </c>
      <c r="M8" s="466">
        <v>0</v>
      </c>
      <c r="N8" s="466">
        <v>0</v>
      </c>
      <c r="O8" s="466">
        <v>0</v>
      </c>
      <c r="P8" s="466">
        <v>0</v>
      </c>
      <c r="Q8" s="466">
        <v>0</v>
      </c>
      <c r="R8" s="466">
        <v>0</v>
      </c>
      <c r="S8" s="466">
        <v>0</v>
      </c>
      <c r="T8" s="466">
        <v>0</v>
      </c>
      <c r="U8" s="418"/>
      <c r="V8" s="418"/>
      <c r="W8" s="418"/>
      <c r="X8" s="418"/>
      <c r="Y8" s="418" t="s">
        <v>932</v>
      </c>
      <c r="Z8" s="418"/>
      <c r="AA8" s="418" t="s">
        <v>925</v>
      </c>
      <c r="AB8" s="592"/>
      <c r="AC8" s="593"/>
      <c r="AD8" s="593">
        <v>2000</v>
      </c>
      <c r="AE8" s="594"/>
      <c r="AF8" s="593"/>
      <c r="AG8" s="593"/>
      <c r="AH8" s="593"/>
      <c r="AI8" s="593"/>
      <c r="AJ8" s="593"/>
      <c r="AK8" s="593"/>
      <c r="AL8" s="593"/>
      <c r="AM8" s="593"/>
      <c r="AN8" s="593"/>
      <c r="AO8" s="593"/>
      <c r="AP8" s="593"/>
      <c r="AQ8" s="593"/>
      <c r="AR8" s="593"/>
      <c r="AS8" s="593"/>
      <c r="AT8" s="593"/>
    </row>
    <row r="9" spans="1:49" x14ac:dyDescent="0.25">
      <c r="A9" s="469" t="s">
        <v>330</v>
      </c>
      <c r="B9" s="465">
        <v>40</v>
      </c>
      <c r="C9" s="465">
        <v>50</v>
      </c>
      <c r="D9" s="465">
        <v>2</v>
      </c>
      <c r="E9" s="465">
        <v>1</v>
      </c>
      <c r="F9" s="465">
        <v>3</v>
      </c>
      <c r="G9" s="465">
        <v>1</v>
      </c>
      <c r="H9" s="501">
        <f>Table14[[#This Row],[Economy]]/Table14[[#This Row],[BP Cost]]</f>
        <v>2.5000000000000001E-2</v>
      </c>
      <c r="I9" s="501">
        <f>Table14[[#This Row],[Loyalty]]/Table14[[#This Row],[BP Cost]]</f>
        <v>7.4999999999999997E-2</v>
      </c>
      <c r="J9" s="501">
        <f>Table14[[#This Row],[Stability]]/Table14[[#This Row],[BP Cost]]</f>
        <v>2.5000000000000001E-2</v>
      </c>
      <c r="K9" s="465">
        <v>0</v>
      </c>
      <c r="L9" s="501">
        <f>Table14[[#This Row],[Unrest]]/Table14[[#This Row],[BP Cost]]</f>
        <v>0</v>
      </c>
      <c r="M9" s="465">
        <v>1</v>
      </c>
      <c r="N9" s="465">
        <v>0</v>
      </c>
      <c r="O9" s="465">
        <v>0</v>
      </c>
      <c r="P9" s="465">
        <v>0</v>
      </c>
      <c r="Q9" s="465">
        <v>0</v>
      </c>
      <c r="R9" s="465">
        <v>0</v>
      </c>
      <c r="S9" s="465">
        <v>0</v>
      </c>
      <c r="T9" s="465">
        <v>0</v>
      </c>
      <c r="U9" s="417" t="s">
        <v>926</v>
      </c>
      <c r="V9" s="417"/>
      <c r="W9" s="417"/>
      <c r="X9" s="417"/>
      <c r="Y9" s="417"/>
      <c r="Z9" s="417" t="s">
        <v>927</v>
      </c>
      <c r="AA9" s="417" t="s">
        <v>928</v>
      </c>
      <c r="AB9" s="592"/>
      <c r="AC9" s="593"/>
      <c r="AD9" s="593"/>
      <c r="AE9" s="594"/>
      <c r="AF9" s="593">
        <v>2</v>
      </c>
      <c r="AG9" s="593"/>
      <c r="AH9" s="593"/>
      <c r="AI9" s="593"/>
      <c r="AJ9" s="593"/>
      <c r="AK9" s="593"/>
      <c r="AL9" s="593"/>
      <c r="AM9" s="593"/>
      <c r="AN9" s="593"/>
      <c r="AO9" s="593"/>
      <c r="AP9" s="593"/>
      <c r="AQ9" s="593"/>
      <c r="AR9" s="593"/>
      <c r="AS9" s="593"/>
      <c r="AT9" s="593"/>
    </row>
    <row r="10" spans="1:49" x14ac:dyDescent="0.25">
      <c r="A10" s="470" t="s">
        <v>3</v>
      </c>
      <c r="B10" s="466">
        <v>6</v>
      </c>
      <c r="C10" s="466">
        <v>20</v>
      </c>
      <c r="D10" s="466">
        <v>1</v>
      </c>
      <c r="E10" s="466">
        <v>0</v>
      </c>
      <c r="F10" s="466">
        <v>0</v>
      </c>
      <c r="G10" s="466">
        <v>0</v>
      </c>
      <c r="H10" s="502">
        <f>Table14[[#This Row],[Economy]]/Table14[[#This Row],[BP Cost]]</f>
        <v>0</v>
      </c>
      <c r="I10" s="502">
        <f>Table14[[#This Row],[Loyalty]]/Table14[[#This Row],[BP Cost]]</f>
        <v>0</v>
      </c>
      <c r="J10" s="502">
        <f>Table14[[#This Row],[Stability]]/Table14[[#This Row],[BP Cost]]</f>
        <v>0</v>
      </c>
      <c r="K10" s="466">
        <v>-1</v>
      </c>
      <c r="L10" s="502">
        <f>Table14[[#This Row],[Unrest]]/Table14[[#This Row],[BP Cost]]</f>
        <v>-0.16666666666666666</v>
      </c>
      <c r="M10" s="466">
        <v>0</v>
      </c>
      <c r="N10" s="466">
        <v>0</v>
      </c>
      <c r="O10" s="466">
        <v>0</v>
      </c>
      <c r="P10" s="466">
        <v>0</v>
      </c>
      <c r="Q10" s="466">
        <v>0</v>
      </c>
      <c r="R10" s="466">
        <v>1</v>
      </c>
      <c r="S10" s="466">
        <v>0</v>
      </c>
      <c r="T10" s="466">
        <v>0</v>
      </c>
      <c r="U10" s="418"/>
      <c r="V10" s="418"/>
      <c r="W10" s="418" t="s">
        <v>337</v>
      </c>
      <c r="X10" s="418"/>
      <c r="Y10" s="418" t="s">
        <v>929</v>
      </c>
      <c r="Z10" s="418"/>
      <c r="AA10" s="418" t="s">
        <v>930</v>
      </c>
      <c r="AB10" s="592"/>
      <c r="AC10" s="593">
        <v>2</v>
      </c>
      <c r="AD10" s="593"/>
      <c r="AE10" s="594"/>
      <c r="AF10" s="593"/>
      <c r="AG10" s="593"/>
      <c r="AH10" s="593"/>
      <c r="AI10" s="593"/>
      <c r="AJ10" s="593"/>
      <c r="AK10" s="593"/>
      <c r="AL10" s="593"/>
      <c r="AM10" s="593"/>
      <c r="AN10" s="593"/>
      <c r="AO10" s="593"/>
      <c r="AP10" s="593"/>
      <c r="AQ10" s="593"/>
      <c r="AR10" s="593"/>
      <c r="AS10" s="593"/>
      <c r="AT10" s="593"/>
    </row>
    <row r="11" spans="1:49" ht="45" x14ac:dyDescent="0.25">
      <c r="A11" s="470" t="s">
        <v>1216</v>
      </c>
      <c r="B11" s="466">
        <v>4</v>
      </c>
      <c r="C11" s="466">
        <v>20</v>
      </c>
      <c r="D11" s="466">
        <v>1</v>
      </c>
      <c r="E11" s="466">
        <v>1</v>
      </c>
      <c r="F11" s="466">
        <v>0</v>
      </c>
      <c r="G11" s="466">
        <v>1</v>
      </c>
      <c r="H11" s="502">
        <f>Table14[[#This Row],[Economy]]/Table14[[#This Row],[BP Cost]]</f>
        <v>0.25</v>
      </c>
      <c r="I11" s="502">
        <f>Table14[[#This Row],[Loyalty]]/Table14[[#This Row],[BP Cost]]</f>
        <v>0</v>
      </c>
      <c r="J11" s="502">
        <f>Table14[[#This Row],[Stability]]/Table14[[#This Row],[BP Cost]]</f>
        <v>0.25</v>
      </c>
      <c r="K11" s="466">
        <v>0</v>
      </c>
      <c r="L11" s="502">
        <f>Table14[[#This Row],[Unrest]]/Table14[[#This Row],[BP Cost]]</f>
        <v>0</v>
      </c>
      <c r="M11" s="466"/>
      <c r="N11" s="466"/>
      <c r="O11" s="466"/>
      <c r="P11" s="466"/>
      <c r="Q11" s="466"/>
      <c r="R11" s="466"/>
      <c r="S11" s="466"/>
      <c r="T11" s="466"/>
      <c r="U11" s="418"/>
      <c r="V11" s="418"/>
      <c r="W11" s="418"/>
      <c r="X11" s="418" t="s">
        <v>1217</v>
      </c>
      <c r="Y11" s="418"/>
      <c r="Z11" s="418"/>
      <c r="AA11" s="418"/>
      <c r="AB11" s="592"/>
      <c r="AC11" s="593"/>
      <c r="AD11" s="593"/>
      <c r="AE11" s="594"/>
      <c r="AF11" s="593"/>
      <c r="AG11" s="593"/>
      <c r="AH11" s="593"/>
      <c r="AI11" s="593"/>
      <c r="AJ11" s="593"/>
      <c r="AK11" s="593"/>
      <c r="AL11" s="593"/>
      <c r="AM11" s="593"/>
      <c r="AN11" s="593"/>
      <c r="AO11" s="593"/>
      <c r="AP11" s="593"/>
      <c r="AQ11" s="593"/>
      <c r="AR11" s="593"/>
      <c r="AS11" s="593"/>
      <c r="AT11" s="593"/>
    </row>
    <row r="12" spans="1:49" s="585" customFormat="1" ht="30" x14ac:dyDescent="0.25">
      <c r="A12" s="581" t="s">
        <v>4</v>
      </c>
      <c r="B12" s="582">
        <v>50</v>
      </c>
      <c r="C12" s="582">
        <v>20</v>
      </c>
      <c r="D12" s="582">
        <v>1</v>
      </c>
      <c r="E12" s="582">
        <v>2</v>
      </c>
      <c r="F12" s="582">
        <v>0</v>
      </c>
      <c r="G12" s="582">
        <v>1</v>
      </c>
      <c r="H12" s="583">
        <f>Table14[[#This Row],[Economy]]/Table14[[#This Row],[BP Cost]]</f>
        <v>0.04</v>
      </c>
      <c r="I12" s="583">
        <f>Table14[[#This Row],[Loyalty]]/Table14[[#This Row],[BP Cost]]</f>
        <v>0</v>
      </c>
      <c r="J12" s="583">
        <f>Table14[[#This Row],[Stability]]/Table14[[#This Row],[BP Cost]]</f>
        <v>0.02</v>
      </c>
      <c r="K12" s="582">
        <v>1</v>
      </c>
      <c r="L12" s="583">
        <f>Table14[[#This Row],[Unrest]]/Table14[[#This Row],[BP Cost]]</f>
        <v>0.02</v>
      </c>
      <c r="M12" s="582">
        <v>0</v>
      </c>
      <c r="N12" s="582">
        <v>0</v>
      </c>
      <c r="O12" s="582">
        <v>2</v>
      </c>
      <c r="P12" s="582">
        <v>2</v>
      </c>
      <c r="Q12" s="582">
        <v>0</v>
      </c>
      <c r="R12" s="582">
        <v>0</v>
      </c>
      <c r="S12" s="582">
        <v>0</v>
      </c>
      <c r="T12" s="582">
        <v>0</v>
      </c>
      <c r="U12" s="584" t="s">
        <v>6</v>
      </c>
      <c r="V12" s="584"/>
      <c r="W12" s="584"/>
      <c r="X12" s="584" t="s">
        <v>931</v>
      </c>
      <c r="Y12" s="584" t="s">
        <v>932</v>
      </c>
      <c r="Z12" s="584" t="s">
        <v>933</v>
      </c>
      <c r="AA12" s="584" t="s">
        <v>934</v>
      </c>
      <c r="AB12" s="595"/>
      <c r="AC12" s="596"/>
      <c r="AD12" s="596">
        <v>2000</v>
      </c>
      <c r="AE12" s="596"/>
      <c r="AF12" s="596"/>
      <c r="AG12" s="596"/>
      <c r="AH12" s="596"/>
      <c r="AI12" s="596"/>
      <c r="AJ12" s="596">
        <v>2</v>
      </c>
      <c r="AK12" s="596">
        <v>1</v>
      </c>
      <c r="AL12" s="596">
        <v>1</v>
      </c>
      <c r="AM12" s="596"/>
      <c r="AN12" s="596"/>
      <c r="AO12" s="596"/>
      <c r="AP12" s="596"/>
      <c r="AQ12" s="596"/>
      <c r="AR12" s="596"/>
      <c r="AS12" s="596"/>
      <c r="AT12" s="596"/>
      <c r="AU12" s="586"/>
      <c r="AV12" s="586"/>
      <c r="AW12" s="586"/>
    </row>
    <row r="13" spans="1:49" ht="30" x14ac:dyDescent="0.25">
      <c r="A13" s="469" t="s">
        <v>1218</v>
      </c>
      <c r="B13" s="465">
        <v>4</v>
      </c>
      <c r="C13" s="465">
        <v>20</v>
      </c>
      <c r="D13" s="465">
        <v>1</v>
      </c>
      <c r="E13" s="465">
        <v>1</v>
      </c>
      <c r="F13" s="465">
        <v>1</v>
      </c>
      <c r="G13" s="465">
        <v>0</v>
      </c>
      <c r="H13" s="501">
        <f>Table14[[#This Row],[Economy]]/Table14[[#This Row],[BP Cost]]</f>
        <v>0.25</v>
      </c>
      <c r="I13" s="501">
        <f>Table14[[#This Row],[Loyalty]]/Table14[[#This Row],[BP Cost]]</f>
        <v>0.25</v>
      </c>
      <c r="J13" s="501">
        <f>Table14[[#This Row],[Stability]]/Table14[[#This Row],[BP Cost]]</f>
        <v>0</v>
      </c>
      <c r="K13" s="465">
        <v>0</v>
      </c>
      <c r="L13" s="501">
        <f>Table14[[#This Row],[Unrest]]/Table14[[#This Row],[BP Cost]]</f>
        <v>0</v>
      </c>
      <c r="M13" s="465">
        <v>0</v>
      </c>
      <c r="N13" s="465">
        <v>0.33333333333333331</v>
      </c>
      <c r="O13" s="465">
        <v>1</v>
      </c>
      <c r="P13" s="465">
        <v>1</v>
      </c>
      <c r="Q13" s="465">
        <v>0</v>
      </c>
      <c r="R13" s="465">
        <v>0</v>
      </c>
      <c r="S13" s="465">
        <v>0</v>
      </c>
      <c r="T13" s="465">
        <v>1</v>
      </c>
      <c r="U13" s="417"/>
      <c r="V13" s="417"/>
      <c r="W13" s="417"/>
      <c r="X13" s="417"/>
      <c r="Y13" s="417" t="s">
        <v>1219</v>
      </c>
      <c r="Z13" s="417"/>
      <c r="AA13" s="417"/>
      <c r="AB13" s="592"/>
      <c r="AC13" s="593"/>
      <c r="AD13" s="593"/>
      <c r="AE13" s="594"/>
      <c r="AF13" s="593"/>
      <c r="AG13" s="593"/>
      <c r="AH13" s="593"/>
      <c r="AI13" s="593"/>
      <c r="AJ13" s="593"/>
      <c r="AK13" s="593"/>
      <c r="AL13" s="593"/>
      <c r="AM13" s="593"/>
      <c r="AN13" s="593"/>
      <c r="AO13" s="593"/>
      <c r="AP13" s="593"/>
      <c r="AQ13" s="593"/>
      <c r="AR13" s="593"/>
      <c r="AS13" s="593"/>
      <c r="AT13" s="593"/>
    </row>
    <row r="14" spans="1:49" x14ac:dyDescent="0.25">
      <c r="A14" s="470" t="s">
        <v>5</v>
      </c>
      <c r="B14" s="466">
        <v>6</v>
      </c>
      <c r="C14" s="466">
        <v>20</v>
      </c>
      <c r="D14" s="466">
        <v>1</v>
      </c>
      <c r="E14" s="466">
        <v>0</v>
      </c>
      <c r="F14" s="466">
        <v>1</v>
      </c>
      <c r="G14" s="466">
        <v>1</v>
      </c>
      <c r="H14" s="502">
        <f>Table14[[#This Row],[Economy]]/Table14[[#This Row],[BP Cost]]</f>
        <v>0</v>
      </c>
      <c r="I14" s="502">
        <f>Table14[[#This Row],[Loyalty]]/Table14[[#This Row],[BP Cost]]</f>
        <v>0.16666666666666666</v>
      </c>
      <c r="J14" s="502">
        <f>Table14[[#This Row],[Stability]]/Table14[[#This Row],[BP Cost]]</f>
        <v>0.16666666666666666</v>
      </c>
      <c r="K14" s="466">
        <v>0</v>
      </c>
      <c r="L14" s="502">
        <f>Table14[[#This Row],[Unrest]]/Table14[[#This Row],[BP Cost]]</f>
        <v>0</v>
      </c>
      <c r="M14" s="466">
        <v>0</v>
      </c>
      <c r="N14" s="466">
        <v>0</v>
      </c>
      <c r="O14" s="466">
        <v>0</v>
      </c>
      <c r="P14" s="466">
        <v>0</v>
      </c>
      <c r="Q14" s="466">
        <v>0</v>
      </c>
      <c r="R14" s="466">
        <v>0</v>
      </c>
      <c r="S14" s="466">
        <v>0</v>
      </c>
      <c r="T14" s="466">
        <v>0</v>
      </c>
      <c r="U14" s="418"/>
      <c r="V14" s="418"/>
      <c r="W14" s="418"/>
      <c r="X14" s="418"/>
      <c r="Y14" s="418"/>
      <c r="Z14" s="418"/>
      <c r="AA14" s="418" t="s">
        <v>935</v>
      </c>
      <c r="AB14" s="592"/>
      <c r="AC14" s="593"/>
      <c r="AD14" s="593"/>
      <c r="AE14" s="594"/>
      <c r="AF14" s="593"/>
      <c r="AG14" s="593"/>
      <c r="AH14" s="593"/>
      <c r="AI14" s="593"/>
      <c r="AJ14" s="593"/>
      <c r="AK14" s="593"/>
      <c r="AL14" s="593"/>
      <c r="AM14" s="593"/>
      <c r="AN14" s="593"/>
      <c r="AO14" s="593"/>
      <c r="AP14" s="593"/>
      <c r="AQ14" s="593"/>
      <c r="AR14" s="593"/>
      <c r="AS14" s="593"/>
      <c r="AT14" s="593"/>
    </row>
    <row r="15" spans="1:49" ht="75" x14ac:dyDescent="0.25">
      <c r="A15" s="470" t="s">
        <v>1220</v>
      </c>
      <c r="B15" s="466">
        <v>16</v>
      </c>
      <c r="C15" s="466">
        <v>50</v>
      </c>
      <c r="D15" s="466">
        <v>2</v>
      </c>
      <c r="E15" s="466">
        <v>1</v>
      </c>
      <c r="F15" s="466">
        <v>0</v>
      </c>
      <c r="G15" s="466">
        <v>1</v>
      </c>
      <c r="H15" s="502">
        <f>Table14[[#This Row],[Economy]]/Table14[[#This Row],[BP Cost]]</f>
        <v>6.25E-2</v>
      </c>
      <c r="I15" s="502">
        <f>Table14[[#This Row],[Loyalty]]/Table14[[#This Row],[BP Cost]]</f>
        <v>0</v>
      </c>
      <c r="J15" s="502">
        <f>Table14[[#This Row],[Stability]]/Table14[[#This Row],[BP Cost]]</f>
        <v>6.25E-2</v>
      </c>
      <c r="K15" s="466">
        <v>0</v>
      </c>
      <c r="L15" s="502">
        <f>Table14[[#This Row],[Unrest]]/Table14[[#This Row],[BP Cost]]</f>
        <v>0</v>
      </c>
      <c r="M15" s="466">
        <v>0</v>
      </c>
      <c r="N15" s="466">
        <v>0</v>
      </c>
      <c r="O15" s="466">
        <v>0</v>
      </c>
      <c r="P15" s="466">
        <v>0</v>
      </c>
      <c r="Q15" s="466">
        <v>1</v>
      </c>
      <c r="R15" s="466">
        <v>0</v>
      </c>
      <c r="S15" s="466">
        <v>0</v>
      </c>
      <c r="T15" s="466">
        <v>0</v>
      </c>
      <c r="U15" s="418"/>
      <c r="V15" s="418"/>
      <c r="W15" s="418"/>
      <c r="X15" s="418"/>
      <c r="Y15" s="418" t="s">
        <v>1221</v>
      </c>
      <c r="Z15" s="418"/>
      <c r="AA15" s="418"/>
      <c r="AB15" s="592"/>
      <c r="AC15" s="593"/>
      <c r="AD15" s="593"/>
      <c r="AE15" s="594"/>
      <c r="AF15" s="593"/>
      <c r="AG15" s="593"/>
      <c r="AH15" s="593"/>
      <c r="AI15" s="593"/>
      <c r="AJ15" s="593"/>
      <c r="AK15" s="593"/>
      <c r="AL15" s="593"/>
      <c r="AM15" s="593"/>
      <c r="AN15" s="593"/>
      <c r="AO15" s="593"/>
      <c r="AP15" s="593"/>
      <c r="AQ15" s="593"/>
      <c r="AR15" s="593"/>
      <c r="AS15" s="593"/>
      <c r="AT15" s="593"/>
    </row>
    <row r="16" spans="1:49" x14ac:dyDescent="0.25">
      <c r="A16" s="469" t="s">
        <v>253</v>
      </c>
      <c r="B16" s="465">
        <v>6</v>
      </c>
      <c r="C16" s="465">
        <v>0</v>
      </c>
      <c r="D16" s="465">
        <v>1</v>
      </c>
      <c r="E16" s="465">
        <v>1</v>
      </c>
      <c r="F16" s="465">
        <v>0</v>
      </c>
      <c r="G16" s="465">
        <v>0</v>
      </c>
      <c r="H16" s="501">
        <f>Table14[[#This Row],[Economy]]/Table14[[#This Row],[BP Cost]]</f>
        <v>0.16666666666666666</v>
      </c>
      <c r="I16" s="501">
        <f>Table14[[#This Row],[Loyalty]]/Table14[[#This Row],[BP Cost]]</f>
        <v>0</v>
      </c>
      <c r="J16" s="501">
        <f>Table14[[#This Row],[Stability]]/Table14[[#This Row],[BP Cost]]</f>
        <v>0</v>
      </c>
      <c r="K16" s="465">
        <v>0</v>
      </c>
      <c r="L16" s="501">
        <f>Table14[[#This Row],[Unrest]]/Table14[[#This Row],[BP Cost]]</f>
        <v>0</v>
      </c>
      <c r="M16" s="465">
        <v>0</v>
      </c>
      <c r="N16" s="465">
        <v>0</v>
      </c>
      <c r="O16" s="465">
        <v>0</v>
      </c>
      <c r="P16" s="465">
        <v>0</v>
      </c>
      <c r="Q16" s="465">
        <v>0</v>
      </c>
      <c r="R16" s="465">
        <v>0</v>
      </c>
      <c r="S16" s="465">
        <v>0</v>
      </c>
      <c r="T16" s="465">
        <v>0</v>
      </c>
      <c r="U16" s="417"/>
      <c r="V16" s="417"/>
      <c r="W16" s="417"/>
      <c r="X16" s="417"/>
      <c r="Y16" s="417" t="s">
        <v>936</v>
      </c>
      <c r="Z16" s="417"/>
      <c r="AA16" s="417" t="s">
        <v>937</v>
      </c>
      <c r="AB16" s="592"/>
      <c r="AC16" s="593"/>
      <c r="AD16" s="593"/>
      <c r="AE16" s="594"/>
      <c r="AF16" s="593"/>
      <c r="AG16" s="593"/>
      <c r="AH16" s="593"/>
      <c r="AI16" s="593"/>
      <c r="AJ16" s="593"/>
      <c r="AK16" s="593"/>
      <c r="AL16" s="593"/>
      <c r="AM16" s="593"/>
      <c r="AN16" s="593"/>
      <c r="AO16" s="593"/>
      <c r="AP16" s="593"/>
      <c r="AQ16" s="593"/>
      <c r="AR16" s="593"/>
      <c r="AS16" s="593"/>
      <c r="AT16" s="593"/>
    </row>
    <row r="17" spans="1:49" s="585" customFormat="1" x14ac:dyDescent="0.25">
      <c r="A17" s="587" t="s">
        <v>331</v>
      </c>
      <c r="B17" s="588">
        <v>10</v>
      </c>
      <c r="C17" s="588">
        <v>20</v>
      </c>
      <c r="D17" s="588">
        <v>2</v>
      </c>
      <c r="E17" s="588">
        <v>1</v>
      </c>
      <c r="F17" s="588">
        <v>-1</v>
      </c>
      <c r="G17" s="588">
        <v>1</v>
      </c>
      <c r="H17" s="589">
        <f>Table14[[#This Row],[Economy]]/Table14[[#This Row],[BP Cost]]</f>
        <v>0.1</v>
      </c>
      <c r="I17" s="589">
        <f>Table14[[#This Row],[Loyalty]]/Table14[[#This Row],[BP Cost]]</f>
        <v>-0.1</v>
      </c>
      <c r="J17" s="589">
        <f>Table14[[#This Row],[Stability]]/Table14[[#This Row],[BP Cost]]</f>
        <v>0.1</v>
      </c>
      <c r="K17" s="588">
        <v>0</v>
      </c>
      <c r="L17" s="589">
        <f>Table14[[#This Row],[Unrest]]/Table14[[#This Row],[BP Cost]]</f>
        <v>0</v>
      </c>
      <c r="M17" s="588">
        <v>0</v>
      </c>
      <c r="N17" s="588">
        <v>0</v>
      </c>
      <c r="O17" s="588">
        <v>1</v>
      </c>
      <c r="P17" s="588">
        <v>0</v>
      </c>
      <c r="Q17" s="588">
        <v>0</v>
      </c>
      <c r="R17" s="588">
        <v>1</v>
      </c>
      <c r="S17" s="588">
        <v>0</v>
      </c>
      <c r="T17" s="588">
        <v>0</v>
      </c>
      <c r="U17" s="590"/>
      <c r="V17" s="590"/>
      <c r="W17" s="590"/>
      <c r="X17" s="590"/>
      <c r="Y17" s="590"/>
      <c r="Z17" s="590"/>
      <c r="AA17" s="590" t="s">
        <v>938</v>
      </c>
      <c r="AB17" s="595"/>
      <c r="AC17" s="596"/>
      <c r="AD17" s="596"/>
      <c r="AE17" s="596"/>
      <c r="AF17" s="596"/>
      <c r="AG17" s="596"/>
      <c r="AH17" s="596"/>
      <c r="AI17" s="596"/>
      <c r="AJ17" s="596"/>
      <c r="AK17" s="596"/>
      <c r="AL17" s="596"/>
      <c r="AM17" s="596"/>
      <c r="AN17" s="596"/>
      <c r="AO17" s="596"/>
      <c r="AP17" s="596"/>
      <c r="AQ17" s="596"/>
      <c r="AR17" s="596"/>
      <c r="AS17" s="596"/>
      <c r="AT17" s="596"/>
      <c r="AU17" s="586"/>
      <c r="AV17" s="586"/>
      <c r="AW17" s="586"/>
    </row>
    <row r="18" spans="1:49" x14ac:dyDescent="0.25">
      <c r="A18" s="469" t="s">
        <v>7</v>
      </c>
      <c r="B18" s="465">
        <v>30</v>
      </c>
      <c r="C18" s="465">
        <v>10</v>
      </c>
      <c r="D18" s="465">
        <v>1</v>
      </c>
      <c r="E18" s="465">
        <v>1</v>
      </c>
      <c r="F18" s="465">
        <v>1</v>
      </c>
      <c r="G18" s="465">
        <v>0</v>
      </c>
      <c r="H18" s="501">
        <f>Table14[[#This Row],[Economy]]/Table14[[#This Row],[BP Cost]]</f>
        <v>3.3333333333333333E-2</v>
      </c>
      <c r="I18" s="501">
        <f>Table14[[#This Row],[Loyalty]]/Table14[[#This Row],[BP Cost]]</f>
        <v>3.3333333333333333E-2</v>
      </c>
      <c r="J18" s="501">
        <f>Table14[[#This Row],[Stability]]/Table14[[#This Row],[BP Cost]]</f>
        <v>0</v>
      </c>
      <c r="K18" s="465">
        <v>0</v>
      </c>
      <c r="L18" s="501">
        <f>Table14[[#This Row],[Unrest]]/Table14[[#This Row],[BP Cost]]</f>
        <v>0</v>
      </c>
      <c r="M18" s="465">
        <v>0</v>
      </c>
      <c r="N18" s="465">
        <v>0</v>
      </c>
      <c r="O18" s="465">
        <v>0</v>
      </c>
      <c r="P18" s="465">
        <v>0</v>
      </c>
      <c r="Q18" s="465">
        <v>0</v>
      </c>
      <c r="R18" s="465">
        <v>0</v>
      </c>
      <c r="S18" s="465">
        <v>0</v>
      </c>
      <c r="T18" s="465">
        <v>0</v>
      </c>
      <c r="U18" s="417"/>
      <c r="V18" s="417"/>
      <c r="W18" s="417"/>
      <c r="X18" s="417"/>
      <c r="Y18" s="417"/>
      <c r="Z18" s="417" t="s">
        <v>939</v>
      </c>
      <c r="AA18" s="417" t="s">
        <v>940</v>
      </c>
      <c r="AB18" s="592"/>
      <c r="AC18" s="593"/>
      <c r="AD18" s="593"/>
      <c r="AE18" s="594"/>
      <c r="AF18" s="593"/>
      <c r="AG18" s="593"/>
      <c r="AH18" s="593"/>
      <c r="AI18" s="593"/>
      <c r="AJ18" s="593">
        <v>3</v>
      </c>
      <c r="AK18" s="593">
        <v>2</v>
      </c>
      <c r="AL18" s="593"/>
      <c r="AM18" s="593"/>
      <c r="AN18" s="593"/>
      <c r="AO18" s="593"/>
      <c r="AP18" s="593"/>
      <c r="AQ18" s="593"/>
      <c r="AR18" s="593"/>
      <c r="AS18" s="593"/>
      <c r="AT18" s="593"/>
    </row>
    <row r="19" spans="1:49" s="585" customFormat="1" x14ac:dyDescent="0.25">
      <c r="A19" s="587" t="s">
        <v>8</v>
      </c>
      <c r="B19" s="588">
        <v>54</v>
      </c>
      <c r="C19" s="588">
        <v>200</v>
      </c>
      <c r="D19" s="588">
        <v>4</v>
      </c>
      <c r="E19" s="588">
        <v>2</v>
      </c>
      <c r="F19" s="588">
        <v>2</v>
      </c>
      <c r="G19" s="588">
        <v>2</v>
      </c>
      <c r="H19" s="589">
        <f>Table14[[#This Row],[Economy]]/Table14[[#This Row],[BP Cost]]</f>
        <v>3.7037037037037035E-2</v>
      </c>
      <c r="I19" s="589">
        <f>Table14[[#This Row],[Loyalty]]/Table14[[#This Row],[BP Cost]]</f>
        <v>3.7037037037037035E-2</v>
      </c>
      <c r="J19" s="589">
        <f>Table14[[#This Row],[Stability]]/Table14[[#This Row],[BP Cost]]</f>
        <v>3.7037037037037035E-2</v>
      </c>
      <c r="K19" s="588">
        <v>-4</v>
      </c>
      <c r="L19" s="589">
        <f>Table14[[#This Row],[Unrest]]/Table14[[#This Row],[BP Cost]]</f>
        <v>-7.407407407407407E-2</v>
      </c>
      <c r="M19" s="588">
        <v>1</v>
      </c>
      <c r="N19" s="588">
        <v>0</v>
      </c>
      <c r="O19" s="588">
        <v>0</v>
      </c>
      <c r="P19" s="588">
        <v>0</v>
      </c>
      <c r="Q19" s="588">
        <v>0</v>
      </c>
      <c r="R19" s="588">
        <v>0</v>
      </c>
      <c r="S19" s="588">
        <v>0</v>
      </c>
      <c r="T19" s="588">
        <v>0</v>
      </c>
      <c r="U19" s="590" t="s">
        <v>941</v>
      </c>
      <c r="V19" s="590"/>
      <c r="W19" s="590"/>
      <c r="X19" s="590" t="s">
        <v>923</v>
      </c>
      <c r="Y19" s="590" t="s">
        <v>942</v>
      </c>
      <c r="Z19" s="590"/>
      <c r="AA19" s="590" t="s">
        <v>943</v>
      </c>
      <c r="AB19" s="595"/>
      <c r="AC19" s="596">
        <v>8</v>
      </c>
      <c r="AD19" s="596"/>
      <c r="AE19" s="596"/>
      <c r="AF19" s="596"/>
      <c r="AG19" s="596"/>
      <c r="AH19" s="596"/>
      <c r="AI19" s="596"/>
      <c r="AJ19" s="596"/>
      <c r="AK19" s="596"/>
      <c r="AL19" s="596"/>
      <c r="AM19" s="596"/>
      <c r="AN19" s="596"/>
      <c r="AO19" s="596"/>
      <c r="AP19" s="596"/>
      <c r="AQ19" s="596"/>
      <c r="AR19" s="596"/>
      <c r="AS19" s="596"/>
      <c r="AT19" s="596"/>
      <c r="AU19" s="586"/>
      <c r="AV19" s="586"/>
      <c r="AW19" s="586"/>
    </row>
    <row r="20" spans="1:49" ht="30" x14ac:dyDescent="0.25">
      <c r="A20" s="469" t="s">
        <v>9</v>
      </c>
      <c r="B20" s="465">
        <v>58</v>
      </c>
      <c r="C20" s="465">
        <v>100</v>
      </c>
      <c r="D20" s="465">
        <v>4</v>
      </c>
      <c r="E20" s="465">
        <v>0</v>
      </c>
      <c r="F20" s="465">
        <v>4</v>
      </c>
      <c r="G20" s="465">
        <v>4</v>
      </c>
      <c r="H20" s="501">
        <f>Table14[[#This Row],[Economy]]/Table14[[#This Row],[BP Cost]]</f>
        <v>0</v>
      </c>
      <c r="I20" s="501">
        <f>Table14[[#This Row],[Loyalty]]/Table14[[#This Row],[BP Cost]]</f>
        <v>6.8965517241379309E-2</v>
      </c>
      <c r="J20" s="501">
        <f>Table14[[#This Row],[Stability]]/Table14[[#This Row],[BP Cost]]</f>
        <v>6.8965517241379309E-2</v>
      </c>
      <c r="K20" s="465">
        <v>-4</v>
      </c>
      <c r="L20" s="501">
        <f>Table14[[#This Row],[Unrest]]/Table14[[#This Row],[BP Cost]]</f>
        <v>-6.8965517241379309E-2</v>
      </c>
      <c r="M20" s="465">
        <v>1</v>
      </c>
      <c r="N20" s="465">
        <v>0</v>
      </c>
      <c r="O20" s="465">
        <v>0</v>
      </c>
      <c r="P20" s="465">
        <v>0</v>
      </c>
      <c r="Q20" s="465">
        <v>0</v>
      </c>
      <c r="R20" s="465">
        <v>2</v>
      </c>
      <c r="S20" s="465">
        <v>0</v>
      </c>
      <c r="T20" s="465">
        <v>0</v>
      </c>
      <c r="U20" s="417" t="s">
        <v>944</v>
      </c>
      <c r="V20" s="417"/>
      <c r="W20" s="417"/>
      <c r="X20" s="417" t="s">
        <v>923</v>
      </c>
      <c r="Y20" s="417" t="s">
        <v>945</v>
      </c>
      <c r="Z20" s="417" t="s">
        <v>946</v>
      </c>
      <c r="AA20" s="417" t="s">
        <v>947</v>
      </c>
      <c r="AB20" s="592"/>
      <c r="AC20" s="593"/>
      <c r="AD20" s="593"/>
      <c r="AE20" s="594"/>
      <c r="AF20" s="593"/>
      <c r="AG20" s="593"/>
      <c r="AH20" s="593">
        <v>3</v>
      </c>
      <c r="AI20" s="593">
        <v>2</v>
      </c>
      <c r="AJ20" s="593"/>
      <c r="AK20" s="593"/>
      <c r="AL20" s="593"/>
      <c r="AM20" s="593"/>
      <c r="AN20" s="593"/>
      <c r="AO20" s="593"/>
      <c r="AP20" s="593"/>
      <c r="AQ20" s="593"/>
      <c r="AR20" s="593"/>
      <c r="AS20" s="593"/>
      <c r="AT20" s="593"/>
    </row>
    <row r="21" spans="1:49" s="585" customFormat="1" ht="30" x14ac:dyDescent="0.25">
      <c r="A21" s="587" t="s">
        <v>332</v>
      </c>
      <c r="B21" s="588">
        <v>6</v>
      </c>
      <c r="C21" s="588">
        <v>0</v>
      </c>
      <c r="D21" s="588">
        <v>1</v>
      </c>
      <c r="E21" s="588">
        <v>0</v>
      </c>
      <c r="F21" s="588">
        <v>0</v>
      </c>
      <c r="G21" s="588">
        <v>1</v>
      </c>
      <c r="H21" s="589">
        <f>Table14[[#This Row],[Economy]]/Table14[[#This Row],[BP Cost]]</f>
        <v>0</v>
      </c>
      <c r="I21" s="589">
        <f>Table14[[#This Row],[Loyalty]]/Table14[[#This Row],[BP Cost]]</f>
        <v>0</v>
      </c>
      <c r="J21" s="589">
        <f>Table14[[#This Row],[Stability]]/Table14[[#This Row],[BP Cost]]</f>
        <v>0.16666666666666666</v>
      </c>
      <c r="K21" s="588">
        <v>0</v>
      </c>
      <c r="L21" s="589">
        <f>Table14[[#This Row],[Unrest]]/Table14[[#This Row],[BP Cost]]</f>
        <v>0</v>
      </c>
      <c r="M21" s="588">
        <v>0</v>
      </c>
      <c r="N21" s="588">
        <v>0</v>
      </c>
      <c r="O21" s="588">
        <v>0</v>
      </c>
      <c r="P21" s="588">
        <v>0</v>
      </c>
      <c r="Q21" s="588">
        <v>0</v>
      </c>
      <c r="R21" s="588">
        <v>0</v>
      </c>
      <c r="S21" s="588">
        <v>0</v>
      </c>
      <c r="T21" s="588">
        <v>0</v>
      </c>
      <c r="U21" s="590"/>
      <c r="V21" s="590"/>
      <c r="W21" s="590"/>
      <c r="X21" s="590" t="s">
        <v>948</v>
      </c>
      <c r="Y21" s="590" t="s">
        <v>949</v>
      </c>
      <c r="Z21" s="590"/>
      <c r="AA21" s="590" t="s">
        <v>950</v>
      </c>
      <c r="AB21" s="595"/>
      <c r="AC21" s="596"/>
      <c r="AD21" s="596"/>
      <c r="AE21" s="596"/>
      <c r="AF21" s="596"/>
      <c r="AG21" s="596"/>
      <c r="AH21" s="596"/>
      <c r="AI21" s="596"/>
      <c r="AJ21" s="596"/>
      <c r="AK21" s="596"/>
      <c r="AL21" s="596"/>
      <c r="AM21" s="596"/>
      <c r="AN21" s="596"/>
      <c r="AO21" s="596"/>
      <c r="AP21" s="596"/>
      <c r="AQ21" s="596"/>
      <c r="AR21" s="596"/>
      <c r="AS21" s="596"/>
      <c r="AT21" s="596"/>
      <c r="AU21" s="586"/>
      <c r="AV21" s="586"/>
      <c r="AW21" s="586"/>
    </row>
    <row r="22" spans="1:49" s="585" customFormat="1" ht="30" x14ac:dyDescent="0.25">
      <c r="A22" s="581" t="s">
        <v>10</v>
      </c>
      <c r="B22" s="582">
        <v>2</v>
      </c>
      <c r="C22" s="582">
        <v>0</v>
      </c>
      <c r="D22" s="582">
        <v>0</v>
      </c>
      <c r="E22" s="582">
        <v>0</v>
      </c>
      <c r="F22" s="582">
        <v>0</v>
      </c>
      <c r="G22" s="582">
        <v>0</v>
      </c>
      <c r="H22" s="583">
        <f>Table14[[#This Row],[Economy]]/Table14[[#This Row],[BP Cost]]</f>
        <v>0</v>
      </c>
      <c r="I22" s="583">
        <f>Table14[[#This Row],[Loyalty]]/Table14[[#This Row],[BP Cost]]</f>
        <v>0</v>
      </c>
      <c r="J22" s="583">
        <f>Table14[[#This Row],[Stability]]/Table14[[#This Row],[BP Cost]]</f>
        <v>0</v>
      </c>
      <c r="K22" s="582">
        <v>-2</v>
      </c>
      <c r="L22" s="583">
        <f>Table14[[#This Row],[Unrest]]/Table14[[#This Row],[BP Cost]]</f>
        <v>-1</v>
      </c>
      <c r="M22" s="582">
        <v>0</v>
      </c>
      <c r="N22" s="582">
        <v>0</v>
      </c>
      <c r="O22" s="582">
        <v>0</v>
      </c>
      <c r="P22" s="582">
        <v>0</v>
      </c>
      <c r="Q22" s="582">
        <v>0</v>
      </c>
      <c r="R22" s="582">
        <v>0</v>
      </c>
      <c r="S22" s="582">
        <v>0</v>
      </c>
      <c r="T22" s="582">
        <v>0</v>
      </c>
      <c r="U22" s="584"/>
      <c r="V22" s="584"/>
      <c r="W22" s="584"/>
      <c r="X22" s="584" t="s">
        <v>951</v>
      </c>
      <c r="Y22" s="584" t="s">
        <v>952</v>
      </c>
      <c r="Z22" s="584"/>
      <c r="AA22" s="584" t="s">
        <v>953</v>
      </c>
      <c r="AB22" s="595"/>
      <c r="AC22" s="596">
        <v>1</v>
      </c>
      <c r="AD22" s="596"/>
      <c r="AE22" s="596"/>
      <c r="AF22" s="596"/>
      <c r="AG22" s="596"/>
      <c r="AH22" s="596"/>
      <c r="AI22" s="596"/>
      <c r="AJ22" s="596"/>
      <c r="AK22" s="596"/>
      <c r="AL22" s="596"/>
      <c r="AM22" s="596"/>
      <c r="AN22" s="596"/>
      <c r="AO22" s="596"/>
      <c r="AP22" s="596"/>
      <c r="AQ22" s="596"/>
      <c r="AR22" s="596"/>
      <c r="AS22" s="596"/>
      <c r="AT22" s="596"/>
      <c r="AU22" s="586"/>
      <c r="AV22" s="586"/>
      <c r="AW22" s="586"/>
    </row>
    <row r="23" spans="1:49" ht="75" x14ac:dyDescent="0.25">
      <c r="A23" s="469" t="s">
        <v>1222</v>
      </c>
      <c r="B23" s="465">
        <v>60</v>
      </c>
      <c r="C23" s="465">
        <v>0</v>
      </c>
      <c r="D23" s="465">
        <v>4</v>
      </c>
      <c r="E23" s="465">
        <v>2</v>
      </c>
      <c r="F23" s="465">
        <v>4</v>
      </c>
      <c r="G23" s="465">
        <v>2</v>
      </c>
      <c r="H23" s="501">
        <f>Table14[[#This Row],[Economy]]/Table14[[#This Row],[BP Cost]]</f>
        <v>3.3333333333333333E-2</v>
      </c>
      <c r="I23" s="501">
        <f>Table14[[#This Row],[Loyalty]]/Table14[[#This Row],[BP Cost]]</f>
        <v>6.6666666666666666E-2</v>
      </c>
      <c r="J23" s="501">
        <f>Table14[[#This Row],[Stability]]/Table14[[#This Row],[BP Cost]]</f>
        <v>3.3333333333333333E-2</v>
      </c>
      <c r="K23" s="465">
        <v>-2</v>
      </c>
      <c r="L23" s="501">
        <f>Table14[[#This Row],[Unrest]]/Table14[[#This Row],[BP Cost]]</f>
        <v>-3.3333333333333333E-2</v>
      </c>
      <c r="M23" s="465">
        <v>1</v>
      </c>
      <c r="N23" s="465">
        <v>0</v>
      </c>
      <c r="O23" s="465">
        <v>0</v>
      </c>
      <c r="P23" s="465">
        <v>0</v>
      </c>
      <c r="Q23" s="465">
        <v>0</v>
      </c>
      <c r="R23" s="465">
        <v>2</v>
      </c>
      <c r="S23" s="465">
        <v>0</v>
      </c>
      <c r="T23" s="465">
        <v>0</v>
      </c>
      <c r="U23" s="417" t="s">
        <v>1223</v>
      </c>
      <c r="V23" s="417"/>
      <c r="W23" s="417"/>
      <c r="X23" s="417" t="s">
        <v>923</v>
      </c>
      <c r="Y23" s="417" t="s">
        <v>1224</v>
      </c>
      <c r="Z23" s="417"/>
      <c r="AA23" s="417"/>
      <c r="AB23" s="592"/>
      <c r="AC23" s="594"/>
      <c r="AD23" s="594"/>
      <c r="AE23" s="594"/>
      <c r="AF23" s="594"/>
      <c r="AG23" s="594"/>
      <c r="AH23" s="594"/>
      <c r="AI23" s="594"/>
      <c r="AJ23" s="594"/>
      <c r="AK23" s="594"/>
      <c r="AL23" s="594"/>
      <c r="AM23" s="594"/>
      <c r="AN23" s="594"/>
      <c r="AO23" s="594"/>
      <c r="AP23" s="594"/>
      <c r="AQ23" s="594"/>
      <c r="AR23" s="594"/>
      <c r="AS23" s="594"/>
      <c r="AT23" s="594"/>
    </row>
    <row r="24" spans="1:49" s="585" customFormat="1" x14ac:dyDescent="0.25">
      <c r="A24" s="581" t="s">
        <v>1225</v>
      </c>
      <c r="B24" s="582">
        <v>16</v>
      </c>
      <c r="C24" s="582">
        <v>20</v>
      </c>
      <c r="D24" s="582">
        <v>1</v>
      </c>
      <c r="E24" s="582">
        <v>0</v>
      </c>
      <c r="F24" s="582">
        <v>2</v>
      </c>
      <c r="G24" s="582">
        <v>0</v>
      </c>
      <c r="H24" s="583">
        <f>Table14[[#This Row],[Economy]]/Table14[[#This Row],[BP Cost]]</f>
        <v>0</v>
      </c>
      <c r="I24" s="583">
        <f>Table14[[#This Row],[Loyalty]]/Table14[[#This Row],[BP Cost]]</f>
        <v>0.125</v>
      </c>
      <c r="J24" s="583">
        <f>Table14[[#This Row],[Stability]]/Table14[[#This Row],[BP Cost]]</f>
        <v>0</v>
      </c>
      <c r="K24" s="582">
        <v>0</v>
      </c>
      <c r="L24" s="583">
        <f>Table14[[#This Row],[Unrest]]/Table14[[#This Row],[BP Cost]]</f>
        <v>0</v>
      </c>
      <c r="M24" s="582">
        <v>0</v>
      </c>
      <c r="N24" s="582">
        <v>0</v>
      </c>
      <c r="O24" s="582">
        <v>-1</v>
      </c>
      <c r="P24" s="582">
        <v>-1</v>
      </c>
      <c r="Q24" s="582">
        <v>0</v>
      </c>
      <c r="R24" s="582">
        <v>2</v>
      </c>
      <c r="S24" s="582">
        <v>0</v>
      </c>
      <c r="T24" s="582">
        <v>0</v>
      </c>
      <c r="U24" s="584" t="s">
        <v>19</v>
      </c>
      <c r="V24" s="584"/>
      <c r="W24" s="584"/>
      <c r="X24" s="584"/>
      <c r="Y24" s="584"/>
      <c r="Z24" s="584"/>
      <c r="AA24" s="584"/>
      <c r="AB24" s="595"/>
      <c r="AC24" s="596"/>
      <c r="AD24" s="596"/>
      <c r="AE24" s="596"/>
      <c r="AF24" s="596"/>
      <c r="AG24" s="596"/>
      <c r="AH24" s="596"/>
      <c r="AI24" s="596"/>
      <c r="AJ24" s="596"/>
      <c r="AK24" s="596"/>
      <c r="AL24" s="596"/>
      <c r="AM24" s="596"/>
      <c r="AN24" s="596"/>
      <c r="AO24" s="596"/>
      <c r="AP24" s="596"/>
      <c r="AQ24" s="596"/>
      <c r="AR24" s="596"/>
      <c r="AS24" s="596"/>
      <c r="AT24" s="596"/>
      <c r="AU24" s="586"/>
      <c r="AV24" s="586"/>
      <c r="AW24" s="586"/>
    </row>
    <row r="25" spans="1:49" ht="30" x14ac:dyDescent="0.25">
      <c r="A25" s="469" t="s">
        <v>1226</v>
      </c>
      <c r="B25" s="465">
        <v>4</v>
      </c>
      <c r="C25" s="465">
        <v>10</v>
      </c>
      <c r="D25" s="465">
        <v>1</v>
      </c>
      <c r="E25" s="465">
        <v>0</v>
      </c>
      <c r="F25" s="465">
        <v>0</v>
      </c>
      <c r="G25" s="465">
        <v>1</v>
      </c>
      <c r="H25" s="501">
        <f>Table14[[#This Row],[Economy]]/Table14[[#This Row],[BP Cost]]</f>
        <v>0</v>
      </c>
      <c r="I25" s="501">
        <f>Table14[[#This Row],[Loyalty]]/Table14[[#This Row],[BP Cost]]</f>
        <v>0</v>
      </c>
      <c r="J25" s="501">
        <f>Table14[[#This Row],[Stability]]/Table14[[#This Row],[BP Cost]]</f>
        <v>0.25</v>
      </c>
      <c r="K25" s="465">
        <v>0</v>
      </c>
      <c r="L25" s="501">
        <f>Table14[[#This Row],[Unrest]]/Table14[[#This Row],[BP Cost]]</f>
        <v>0</v>
      </c>
      <c r="M25" s="465">
        <v>0</v>
      </c>
      <c r="N25" s="465">
        <v>0</v>
      </c>
      <c r="O25" s="465">
        <v>0</v>
      </c>
      <c r="P25" s="465">
        <v>0</v>
      </c>
      <c r="Q25" s="465">
        <v>0</v>
      </c>
      <c r="R25" s="465">
        <v>0</v>
      </c>
      <c r="S25" s="465">
        <v>0</v>
      </c>
      <c r="T25" s="465">
        <v>0</v>
      </c>
      <c r="U25" s="417"/>
      <c r="V25" s="417"/>
      <c r="W25" s="417"/>
      <c r="X25" s="417" t="s">
        <v>1227</v>
      </c>
      <c r="Y25" s="508" t="s">
        <v>1228</v>
      </c>
      <c r="Z25" s="417"/>
      <c r="AA25" s="417"/>
      <c r="AB25" s="592"/>
      <c r="AC25" s="594"/>
      <c r="AD25" s="594"/>
      <c r="AE25" s="594"/>
      <c r="AF25" s="594"/>
      <c r="AG25" s="594"/>
      <c r="AH25" s="594"/>
      <c r="AI25" s="594"/>
      <c r="AJ25" s="594"/>
      <c r="AK25" s="594"/>
      <c r="AL25" s="594"/>
      <c r="AM25" s="594"/>
      <c r="AN25" s="594"/>
      <c r="AO25" s="594"/>
      <c r="AP25" s="594"/>
      <c r="AQ25" s="594"/>
      <c r="AR25" s="594"/>
      <c r="AS25" s="594"/>
      <c r="AT25" s="594"/>
    </row>
    <row r="26" spans="1:49" x14ac:dyDescent="0.25">
      <c r="A26" s="470" t="s">
        <v>333</v>
      </c>
      <c r="B26" s="466">
        <v>4</v>
      </c>
      <c r="C26" s="466">
        <v>30</v>
      </c>
      <c r="D26" s="466">
        <v>1</v>
      </c>
      <c r="E26" s="466">
        <v>1</v>
      </c>
      <c r="F26" s="466">
        <v>2</v>
      </c>
      <c r="G26" s="466">
        <v>0</v>
      </c>
      <c r="H26" s="502">
        <f>Table14[[#This Row],[Economy]]/Table14[[#This Row],[BP Cost]]</f>
        <v>0.25</v>
      </c>
      <c r="I26" s="502">
        <f>Table14[[#This Row],[Loyalty]]/Table14[[#This Row],[BP Cost]]</f>
        <v>0.5</v>
      </c>
      <c r="J26" s="502">
        <f>Table14[[#This Row],[Stability]]/Table14[[#This Row],[BP Cost]]</f>
        <v>0</v>
      </c>
      <c r="K26" s="466">
        <v>1</v>
      </c>
      <c r="L26" s="502">
        <f>Table14[[#This Row],[Unrest]]/Table14[[#This Row],[BP Cost]]</f>
        <v>0.25</v>
      </c>
      <c r="M26" s="466">
        <v>0</v>
      </c>
      <c r="N26" s="466">
        <v>0</v>
      </c>
      <c r="O26" s="466">
        <v>1</v>
      </c>
      <c r="P26" s="466">
        <v>1</v>
      </c>
      <c r="Q26" s="466">
        <v>0</v>
      </c>
      <c r="R26" s="466">
        <v>0</v>
      </c>
      <c r="S26" s="466">
        <v>0</v>
      </c>
      <c r="T26" s="466">
        <v>0</v>
      </c>
      <c r="U26" s="418"/>
      <c r="V26" s="418"/>
      <c r="W26" s="418"/>
      <c r="X26" s="418" t="s">
        <v>919</v>
      </c>
      <c r="Y26" s="418"/>
      <c r="Z26" s="418"/>
      <c r="AA26" s="418" t="s">
        <v>954</v>
      </c>
      <c r="AB26" s="592"/>
      <c r="AC26" s="593"/>
      <c r="AD26" s="593"/>
      <c r="AE26" s="594"/>
      <c r="AF26" s="593"/>
      <c r="AG26" s="593"/>
      <c r="AH26" s="593"/>
      <c r="AI26" s="593"/>
      <c r="AJ26" s="593"/>
      <c r="AK26" s="593"/>
      <c r="AL26" s="593"/>
      <c r="AM26" s="593"/>
      <c r="AN26" s="593"/>
      <c r="AO26" s="593"/>
      <c r="AP26" s="593"/>
      <c r="AQ26" s="593"/>
      <c r="AR26" s="593"/>
      <c r="AS26" s="593"/>
      <c r="AT26" s="593"/>
    </row>
    <row r="27" spans="1:49" ht="30" x14ac:dyDescent="0.25">
      <c r="A27" s="470" t="s">
        <v>1775</v>
      </c>
      <c r="B27" s="466">
        <v>2</v>
      </c>
      <c r="C27" s="466">
        <v>0</v>
      </c>
      <c r="D27" s="466">
        <v>0</v>
      </c>
      <c r="E27" s="466">
        <v>1</v>
      </c>
      <c r="F27" s="466">
        <v>1</v>
      </c>
      <c r="G27" s="466">
        <v>0</v>
      </c>
      <c r="H27" s="502">
        <f>Table14[[#This Row],[Economy]]/Table14[[#This Row],[BP Cost]]</f>
        <v>0.5</v>
      </c>
      <c r="I27" s="502">
        <f>Table14[[#This Row],[Loyalty]]/Table14[[#This Row],[BP Cost]]</f>
        <v>0.5</v>
      </c>
      <c r="J27" s="502">
        <f>Table14[[#This Row],[Stability]]/Table14[[#This Row],[BP Cost]]</f>
        <v>0</v>
      </c>
      <c r="K27" s="466">
        <v>0</v>
      </c>
      <c r="L27" s="502">
        <f>Table14[[#This Row],[Unrest]]/Table14[[#This Row],[BP Cost]]</f>
        <v>0</v>
      </c>
      <c r="M27" s="466">
        <v>0</v>
      </c>
      <c r="N27" s="466">
        <v>1</v>
      </c>
      <c r="O27" s="466">
        <v>0</v>
      </c>
      <c r="P27" s="466">
        <v>0</v>
      </c>
      <c r="Q27" s="466">
        <v>0</v>
      </c>
      <c r="R27" s="466">
        <v>0</v>
      </c>
      <c r="S27" s="466">
        <v>0</v>
      </c>
      <c r="T27" s="466">
        <v>0</v>
      </c>
      <c r="U27" s="418"/>
      <c r="V27" s="418"/>
      <c r="W27" s="418"/>
      <c r="X27" s="418"/>
      <c r="Y27" s="418" t="s">
        <v>1774</v>
      </c>
      <c r="Z27" s="418"/>
      <c r="AA27" s="418"/>
      <c r="AB27" s="592"/>
      <c r="AC27" s="593"/>
      <c r="AD27" s="593"/>
      <c r="AE27" s="594"/>
      <c r="AF27" s="593"/>
      <c r="AG27" s="593"/>
      <c r="AH27" s="593"/>
      <c r="AI27" s="593"/>
      <c r="AJ27" s="593"/>
      <c r="AK27" s="593"/>
      <c r="AL27" s="593"/>
      <c r="AM27" s="593"/>
      <c r="AN27" s="593"/>
      <c r="AO27" s="593"/>
      <c r="AP27" s="593"/>
      <c r="AQ27" s="593"/>
      <c r="AR27" s="593"/>
      <c r="AS27" s="593"/>
      <c r="AT27" s="593"/>
    </row>
    <row r="28" spans="1:49" ht="30" x14ac:dyDescent="0.25">
      <c r="A28" s="469" t="s">
        <v>11</v>
      </c>
      <c r="B28" s="465">
        <v>4</v>
      </c>
      <c r="C28" s="465">
        <v>10</v>
      </c>
      <c r="D28" s="465">
        <v>1</v>
      </c>
      <c r="E28" s="465">
        <v>0</v>
      </c>
      <c r="F28" s="465">
        <v>0</v>
      </c>
      <c r="G28" s="465">
        <v>1</v>
      </c>
      <c r="H28" s="501">
        <f>Table14[[#This Row],[Economy]]/Table14[[#This Row],[BP Cost]]</f>
        <v>0</v>
      </c>
      <c r="I28" s="501">
        <f>Table14[[#This Row],[Loyalty]]/Table14[[#This Row],[BP Cost]]</f>
        <v>0</v>
      </c>
      <c r="J28" s="501">
        <f>Table14[[#This Row],[Stability]]/Table14[[#This Row],[BP Cost]]</f>
        <v>0.25</v>
      </c>
      <c r="K28" s="465">
        <v>0</v>
      </c>
      <c r="L28" s="501">
        <f>Table14[[#This Row],[Unrest]]/Table14[[#This Row],[BP Cost]]</f>
        <v>0</v>
      </c>
      <c r="M28" s="465">
        <v>0</v>
      </c>
      <c r="N28" s="465">
        <v>0</v>
      </c>
      <c r="O28" s="465">
        <v>0</v>
      </c>
      <c r="P28" s="465">
        <v>0</v>
      </c>
      <c r="Q28" s="465">
        <v>0</v>
      </c>
      <c r="R28" s="465">
        <v>0</v>
      </c>
      <c r="S28" s="465">
        <v>0</v>
      </c>
      <c r="T28" s="465">
        <v>0</v>
      </c>
      <c r="U28" s="417"/>
      <c r="V28" s="417"/>
      <c r="W28" s="417"/>
      <c r="X28" s="417" t="s">
        <v>955</v>
      </c>
      <c r="Y28" s="417"/>
      <c r="Z28" s="417"/>
      <c r="AA28" s="417" t="s">
        <v>956</v>
      </c>
      <c r="AB28" s="592"/>
      <c r="AC28" s="594"/>
      <c r="AD28" s="594"/>
      <c r="AE28" s="594"/>
      <c r="AF28" s="594"/>
      <c r="AG28" s="594"/>
      <c r="AH28" s="594"/>
      <c r="AI28" s="594"/>
      <c r="AJ28" s="594"/>
      <c r="AK28" s="594"/>
      <c r="AL28" s="594"/>
      <c r="AM28" s="594"/>
      <c r="AN28" s="594"/>
      <c r="AO28" s="594"/>
      <c r="AP28" s="594"/>
      <c r="AQ28" s="594"/>
      <c r="AR28" s="594"/>
      <c r="AS28" s="594"/>
      <c r="AT28" s="594"/>
    </row>
    <row r="29" spans="1:49" ht="30" x14ac:dyDescent="0.25">
      <c r="A29" s="470" t="s">
        <v>354</v>
      </c>
      <c r="B29" s="466">
        <v>5</v>
      </c>
      <c r="C29" s="466">
        <v>0</v>
      </c>
      <c r="D29" s="466">
        <v>0</v>
      </c>
      <c r="E29" s="466">
        <v>0</v>
      </c>
      <c r="F29" s="466">
        <v>0</v>
      </c>
      <c r="G29" s="466">
        <v>0</v>
      </c>
      <c r="H29" s="502">
        <f>Table14[[#This Row],[Economy]]/Table14[[#This Row],[BP Cost]]</f>
        <v>0</v>
      </c>
      <c r="I29" s="502">
        <f>Table14[[#This Row],[Loyalty]]/Table14[[#This Row],[BP Cost]]</f>
        <v>0</v>
      </c>
      <c r="J29" s="502">
        <f>Table14[[#This Row],[Stability]]/Table14[[#This Row],[BP Cost]]</f>
        <v>0</v>
      </c>
      <c r="K29" s="466">
        <v>0</v>
      </c>
      <c r="L29" s="502">
        <f>Table14[[#This Row],[Unrest]]/Table14[[#This Row],[BP Cost]]</f>
        <v>0</v>
      </c>
      <c r="M29" s="466">
        <v>0</v>
      </c>
      <c r="N29" s="466">
        <v>0</v>
      </c>
      <c r="O29" s="466">
        <v>0</v>
      </c>
      <c r="P29" s="466">
        <v>0</v>
      </c>
      <c r="Q29" s="466">
        <v>0</v>
      </c>
      <c r="R29" s="466">
        <v>0</v>
      </c>
      <c r="S29" s="466">
        <v>0</v>
      </c>
      <c r="T29" s="466">
        <v>0</v>
      </c>
      <c r="U29" s="418"/>
      <c r="V29" s="418"/>
      <c r="W29" s="418"/>
      <c r="X29" s="418" t="s">
        <v>957</v>
      </c>
      <c r="Y29" s="418" t="s">
        <v>958</v>
      </c>
      <c r="Z29" s="418"/>
      <c r="AA29" s="418" t="s">
        <v>959</v>
      </c>
      <c r="AB29" s="592"/>
      <c r="AC29" s="593"/>
      <c r="AD29" s="593"/>
      <c r="AE29" s="594"/>
      <c r="AF29" s="593"/>
      <c r="AG29" s="593"/>
      <c r="AH29" s="593"/>
      <c r="AI29" s="593"/>
      <c r="AJ29" s="593"/>
      <c r="AK29" s="593"/>
      <c r="AL29" s="593"/>
      <c r="AM29" s="593"/>
      <c r="AN29" s="593"/>
      <c r="AO29" s="593"/>
      <c r="AP29" s="593"/>
      <c r="AQ29" s="593"/>
      <c r="AR29" s="593"/>
      <c r="AS29" s="593"/>
      <c r="AT29" s="593"/>
    </row>
    <row r="30" spans="1:49" x14ac:dyDescent="0.25">
      <c r="A30" s="469" t="s">
        <v>334</v>
      </c>
      <c r="B30" s="465">
        <v>10</v>
      </c>
      <c r="C30" s="465">
        <v>10</v>
      </c>
      <c r="D30" s="465">
        <v>1</v>
      </c>
      <c r="E30" s="465">
        <v>1</v>
      </c>
      <c r="F30" s="465">
        <v>0</v>
      </c>
      <c r="G30" s="465">
        <v>1</v>
      </c>
      <c r="H30" s="501">
        <f>Table14[[#This Row],[Economy]]/Table14[[#This Row],[BP Cost]]</f>
        <v>0.1</v>
      </c>
      <c r="I30" s="501">
        <f>Table14[[#This Row],[Loyalty]]/Table14[[#This Row],[BP Cost]]</f>
        <v>0</v>
      </c>
      <c r="J30" s="501">
        <f>Table14[[#This Row],[Stability]]/Table14[[#This Row],[BP Cost]]</f>
        <v>0.1</v>
      </c>
      <c r="K30" s="465">
        <v>0</v>
      </c>
      <c r="L30" s="501">
        <f>Table14[[#This Row],[Unrest]]/Table14[[#This Row],[BP Cost]]</f>
        <v>0</v>
      </c>
      <c r="M30" s="465">
        <v>0</v>
      </c>
      <c r="N30" s="465">
        <v>0</v>
      </c>
      <c r="O30" s="465">
        <v>0</v>
      </c>
      <c r="P30" s="465">
        <v>0</v>
      </c>
      <c r="Q30" s="465">
        <v>0</v>
      </c>
      <c r="R30" s="465">
        <v>0</v>
      </c>
      <c r="S30" s="465">
        <v>0</v>
      </c>
      <c r="T30" s="465">
        <v>0</v>
      </c>
      <c r="U30" s="417"/>
      <c r="V30" s="417"/>
      <c r="W30" s="417"/>
      <c r="X30" s="417" t="s">
        <v>919</v>
      </c>
      <c r="Y30" s="417"/>
      <c r="Z30" s="417" t="s">
        <v>960</v>
      </c>
      <c r="AA30" s="417" t="s">
        <v>961</v>
      </c>
      <c r="AB30" s="592"/>
      <c r="AC30" s="594"/>
      <c r="AD30" s="594"/>
      <c r="AE30" s="594"/>
      <c r="AF30" s="594"/>
      <c r="AG30" s="594"/>
      <c r="AH30" s="594"/>
      <c r="AI30" s="594"/>
      <c r="AJ30" s="594"/>
      <c r="AK30" s="594"/>
      <c r="AL30" s="594"/>
      <c r="AM30" s="593">
        <v>1</v>
      </c>
      <c r="AN30" s="594"/>
      <c r="AO30" s="594"/>
      <c r="AP30" s="594"/>
      <c r="AQ30" s="594"/>
      <c r="AR30" s="594"/>
      <c r="AS30" s="594"/>
      <c r="AT30" s="594"/>
    </row>
    <row r="31" spans="1:49" x14ac:dyDescent="0.25">
      <c r="A31" s="469" t="s">
        <v>1776</v>
      </c>
      <c r="B31" s="465">
        <v>20</v>
      </c>
      <c r="C31" s="465">
        <v>0</v>
      </c>
      <c r="D31" s="465">
        <v>0</v>
      </c>
      <c r="E31" s="465">
        <v>0</v>
      </c>
      <c r="F31" s="465">
        <v>0</v>
      </c>
      <c r="G31" s="465">
        <v>2</v>
      </c>
      <c r="H31" s="501">
        <f>Table14[[#This Row],[Economy]]/Table14[[#This Row],[BP Cost]]</f>
        <v>0</v>
      </c>
      <c r="I31" s="501">
        <f>Table14[[#This Row],[Loyalty]]/Table14[[#This Row],[BP Cost]]</f>
        <v>0</v>
      </c>
      <c r="J31" s="501">
        <f>Table14[[#This Row],[Stability]]/Table14[[#This Row],[BP Cost]]</f>
        <v>0.1</v>
      </c>
      <c r="K31" s="465">
        <v>0</v>
      </c>
      <c r="L31" s="501">
        <f>Table14[[#This Row],[Unrest]]/Table14[[#This Row],[BP Cost]]</f>
        <v>0</v>
      </c>
      <c r="M31" s="465">
        <v>0</v>
      </c>
      <c r="N31" s="465">
        <v>0</v>
      </c>
      <c r="O31" s="465">
        <v>0</v>
      </c>
      <c r="P31" s="465">
        <v>0</v>
      </c>
      <c r="Q31" s="465">
        <v>0</v>
      </c>
      <c r="R31" s="465">
        <v>0</v>
      </c>
      <c r="S31" s="465">
        <v>0</v>
      </c>
      <c r="T31" s="465">
        <v>0</v>
      </c>
      <c r="U31" s="417"/>
      <c r="V31" s="417"/>
      <c r="W31" s="417"/>
      <c r="X31" s="417"/>
      <c r="Y31" s="417" t="s">
        <v>1777</v>
      </c>
      <c r="Z31" s="417"/>
      <c r="AA31" s="417"/>
      <c r="AB31" s="592"/>
      <c r="AC31" s="594">
        <v>2</v>
      </c>
      <c r="AD31" s="594"/>
      <c r="AE31" s="594"/>
      <c r="AF31" s="594"/>
      <c r="AG31" s="594"/>
      <c r="AH31" s="594"/>
      <c r="AI31" s="594"/>
      <c r="AJ31" s="594"/>
      <c r="AK31" s="594"/>
      <c r="AL31" s="594"/>
      <c r="AM31" s="593"/>
      <c r="AN31" s="594"/>
      <c r="AO31" s="594"/>
      <c r="AP31" s="594"/>
      <c r="AQ31" s="594"/>
      <c r="AR31" s="594"/>
      <c r="AS31" s="594"/>
      <c r="AT31" s="594"/>
    </row>
    <row r="32" spans="1:49" ht="30" x14ac:dyDescent="0.25">
      <c r="A32" s="470" t="s">
        <v>335</v>
      </c>
      <c r="B32" s="466">
        <v>30</v>
      </c>
      <c r="C32" s="466">
        <v>100</v>
      </c>
      <c r="D32" s="466">
        <v>4</v>
      </c>
      <c r="E32" s="466">
        <v>3</v>
      </c>
      <c r="F32" s="466">
        <v>0</v>
      </c>
      <c r="G32" s="466">
        <v>-1</v>
      </c>
      <c r="H32" s="502">
        <f>Table14[[#This Row],[Economy]]/Table14[[#This Row],[BP Cost]]</f>
        <v>0.1</v>
      </c>
      <c r="I32" s="502">
        <f>Table14[[#This Row],[Loyalty]]/Table14[[#This Row],[BP Cost]]</f>
        <v>0</v>
      </c>
      <c r="J32" s="502">
        <f>Table14[[#This Row],[Stability]]/Table14[[#This Row],[BP Cost]]</f>
        <v>-3.3333333333333333E-2</v>
      </c>
      <c r="K32" s="466">
        <v>0</v>
      </c>
      <c r="L32" s="502">
        <f>Table14[[#This Row],[Unrest]]/Table14[[#This Row],[BP Cost]]</f>
        <v>0</v>
      </c>
      <c r="M32" s="466">
        <v>0</v>
      </c>
      <c r="N32" s="466">
        <v>0</v>
      </c>
      <c r="O32" s="466">
        <v>0</v>
      </c>
      <c r="P32" s="466">
        <v>1</v>
      </c>
      <c r="Q32" s="466">
        <v>0</v>
      </c>
      <c r="R32" s="466">
        <v>0</v>
      </c>
      <c r="S32" s="466">
        <v>1</v>
      </c>
      <c r="T32" s="466">
        <v>2</v>
      </c>
      <c r="U32" s="418"/>
      <c r="V32" s="418"/>
      <c r="W32" s="418"/>
      <c r="X32" s="418"/>
      <c r="Y32" s="418" t="s">
        <v>962</v>
      </c>
      <c r="Z32" s="418"/>
      <c r="AA32" s="418" t="s">
        <v>963</v>
      </c>
      <c r="AB32" s="592"/>
      <c r="AC32" s="593"/>
      <c r="AD32" s="593"/>
      <c r="AE32" s="594"/>
      <c r="AF32" s="593"/>
      <c r="AG32" s="593"/>
      <c r="AH32" s="593"/>
      <c r="AI32" s="593"/>
      <c r="AJ32" s="593"/>
      <c r="AK32" s="593"/>
      <c r="AL32" s="593"/>
      <c r="AM32" s="594"/>
      <c r="AN32" s="593"/>
      <c r="AO32" s="593"/>
      <c r="AP32" s="593"/>
      <c r="AQ32" s="593"/>
      <c r="AR32" s="593"/>
      <c r="AS32" s="593"/>
      <c r="AT32" s="593"/>
    </row>
    <row r="33" spans="1:46" ht="45" x14ac:dyDescent="0.25">
      <c r="A33" s="469" t="s">
        <v>336</v>
      </c>
      <c r="B33" s="465">
        <v>16</v>
      </c>
      <c r="C33" s="465">
        <v>50</v>
      </c>
      <c r="D33" s="465">
        <v>2</v>
      </c>
      <c r="E33" s="465">
        <v>1</v>
      </c>
      <c r="F33" s="465">
        <v>0</v>
      </c>
      <c r="G33" s="465">
        <v>1</v>
      </c>
      <c r="H33" s="501">
        <f>Table14[[#This Row],[Economy]]/Table14[[#This Row],[BP Cost]]</f>
        <v>6.25E-2</v>
      </c>
      <c r="I33" s="501">
        <f>Table14[[#This Row],[Loyalty]]/Table14[[#This Row],[BP Cost]]</f>
        <v>0</v>
      </c>
      <c r="J33" s="501">
        <f>Table14[[#This Row],[Stability]]/Table14[[#This Row],[BP Cost]]</f>
        <v>6.25E-2</v>
      </c>
      <c r="K33" s="465">
        <v>1</v>
      </c>
      <c r="L33" s="501">
        <f>Table14[[#This Row],[Unrest]]/Table14[[#This Row],[BP Cost]]</f>
        <v>6.25E-2</v>
      </c>
      <c r="M33" s="465">
        <v>0</v>
      </c>
      <c r="N33" s="465">
        <v>0</v>
      </c>
      <c r="O33" s="465">
        <v>0</v>
      </c>
      <c r="P33" s="465">
        <v>0</v>
      </c>
      <c r="Q33" s="465">
        <v>1</v>
      </c>
      <c r="R33" s="465">
        <v>0</v>
      </c>
      <c r="S33" s="465">
        <v>0</v>
      </c>
      <c r="T33" s="465">
        <v>0</v>
      </c>
      <c r="U33" s="417" t="s">
        <v>349</v>
      </c>
      <c r="V33" s="417"/>
      <c r="W33" s="417"/>
      <c r="X33" s="417" t="s">
        <v>964</v>
      </c>
      <c r="Y33" s="417" t="s">
        <v>965</v>
      </c>
      <c r="Z33" s="417"/>
      <c r="AA33" s="417" t="s">
        <v>966</v>
      </c>
      <c r="AB33" s="592"/>
      <c r="AC33" s="594"/>
      <c r="AD33" s="594"/>
      <c r="AE33" s="594"/>
      <c r="AF33" s="594"/>
      <c r="AG33" s="594"/>
      <c r="AH33" s="594"/>
      <c r="AI33" s="594"/>
      <c r="AJ33" s="594"/>
      <c r="AK33" s="594"/>
      <c r="AL33" s="594"/>
      <c r="AM33" s="594"/>
      <c r="AN33" s="594"/>
      <c r="AO33" s="594"/>
      <c r="AP33" s="594"/>
      <c r="AQ33" s="594"/>
      <c r="AR33" s="594"/>
      <c r="AS33" s="594"/>
      <c r="AT33" s="594"/>
    </row>
    <row r="34" spans="1:46" ht="30" x14ac:dyDescent="0.25">
      <c r="A34" s="469" t="s">
        <v>1229</v>
      </c>
      <c r="B34" s="465">
        <v>10</v>
      </c>
      <c r="C34" s="465">
        <v>20</v>
      </c>
      <c r="D34" s="465">
        <v>1</v>
      </c>
      <c r="E34" s="465">
        <v>2</v>
      </c>
      <c r="F34" s="465">
        <v>0</v>
      </c>
      <c r="G34" s="465">
        <v>0</v>
      </c>
      <c r="H34" s="501">
        <f>Table14[[#This Row],[Economy]]/Table14[[#This Row],[BP Cost]]</f>
        <v>0.2</v>
      </c>
      <c r="I34" s="501">
        <f>Table14[[#This Row],[Loyalty]]/Table14[[#This Row],[BP Cost]]</f>
        <v>0</v>
      </c>
      <c r="J34" s="501">
        <f>Table14[[#This Row],[Stability]]/Table14[[#This Row],[BP Cost]]</f>
        <v>0</v>
      </c>
      <c r="K34" s="465">
        <v>1</v>
      </c>
      <c r="L34" s="501">
        <f>Table14[[#This Row],[Unrest]]/Table14[[#This Row],[BP Cost]]</f>
        <v>0.1</v>
      </c>
      <c r="M34" s="465">
        <v>0</v>
      </c>
      <c r="N34" s="465">
        <v>0.33333333333333331</v>
      </c>
      <c r="O34" s="465">
        <v>1</v>
      </c>
      <c r="P34" s="465">
        <v>1</v>
      </c>
      <c r="Q34" s="465">
        <v>0</v>
      </c>
      <c r="R34" s="465">
        <v>0</v>
      </c>
      <c r="S34" s="465">
        <v>0</v>
      </c>
      <c r="T34" s="465">
        <v>0</v>
      </c>
      <c r="U34" s="417"/>
      <c r="V34" s="417"/>
      <c r="W34" s="417"/>
      <c r="X34" s="417" t="s">
        <v>919</v>
      </c>
      <c r="Y34" s="417" t="s">
        <v>1230</v>
      </c>
      <c r="Z34" s="417" t="s">
        <v>1231</v>
      </c>
      <c r="AA34" s="417" t="s">
        <v>1232</v>
      </c>
      <c r="AB34" s="592"/>
      <c r="AC34" s="594"/>
      <c r="AD34" s="594">
        <v>500</v>
      </c>
      <c r="AE34" s="594"/>
      <c r="AF34" s="594"/>
      <c r="AG34" s="594"/>
      <c r="AH34" s="594"/>
      <c r="AI34" s="594"/>
      <c r="AJ34" s="594"/>
      <c r="AK34" s="594"/>
      <c r="AL34" s="594"/>
      <c r="AM34" s="594"/>
      <c r="AN34" s="594"/>
      <c r="AO34" s="594"/>
      <c r="AP34" s="594"/>
      <c r="AQ34" s="594"/>
      <c r="AR34" s="594"/>
      <c r="AS34" s="594"/>
      <c r="AT34" s="594"/>
    </row>
    <row r="35" spans="1:46" x14ac:dyDescent="0.25">
      <c r="A35" s="470" t="s">
        <v>337</v>
      </c>
      <c r="B35" s="466">
        <v>28</v>
      </c>
      <c r="C35" s="466">
        <v>200</v>
      </c>
      <c r="D35" s="466">
        <v>2</v>
      </c>
      <c r="E35" s="466">
        <v>0</v>
      </c>
      <c r="F35" s="466">
        <v>2</v>
      </c>
      <c r="G35" s="466">
        <v>2</v>
      </c>
      <c r="H35" s="502">
        <f>Table14[[#This Row],[Economy]]/Table14[[#This Row],[BP Cost]]</f>
        <v>0</v>
      </c>
      <c r="I35" s="502">
        <f>Table14[[#This Row],[Loyalty]]/Table14[[#This Row],[BP Cost]]</f>
        <v>7.1428571428571425E-2</v>
      </c>
      <c r="J35" s="502">
        <f>Table14[[#This Row],[Stability]]/Table14[[#This Row],[BP Cost]]</f>
        <v>7.1428571428571425E-2</v>
      </c>
      <c r="K35" s="466">
        <v>-2</v>
      </c>
      <c r="L35" s="502">
        <f>Table14[[#This Row],[Unrest]]/Table14[[#This Row],[BP Cost]]</f>
        <v>-7.1428571428571425E-2</v>
      </c>
      <c r="M35" s="466">
        <v>0</v>
      </c>
      <c r="N35" s="466">
        <v>0</v>
      </c>
      <c r="O35" s="466">
        <v>0</v>
      </c>
      <c r="P35" s="466">
        <v>0</v>
      </c>
      <c r="Q35" s="466">
        <v>0</v>
      </c>
      <c r="R35" s="466">
        <v>0</v>
      </c>
      <c r="S35" s="466">
        <v>0</v>
      </c>
      <c r="T35" s="466">
        <v>0</v>
      </c>
      <c r="U35" s="418" t="s">
        <v>967</v>
      </c>
      <c r="V35" s="418" t="s">
        <v>3</v>
      </c>
      <c r="W35" s="418"/>
      <c r="X35" s="418"/>
      <c r="Y35" s="418"/>
      <c r="Z35" s="418"/>
      <c r="AA35" s="418" t="s">
        <v>968</v>
      </c>
      <c r="AB35" s="592"/>
      <c r="AC35" s="593"/>
      <c r="AD35" s="593"/>
      <c r="AE35" s="594"/>
      <c r="AF35" s="593"/>
      <c r="AG35" s="593"/>
      <c r="AH35" s="593"/>
      <c r="AI35" s="593"/>
      <c r="AJ35" s="593"/>
      <c r="AK35" s="593"/>
      <c r="AL35" s="593"/>
      <c r="AM35" s="593"/>
      <c r="AN35" s="593"/>
      <c r="AO35" s="593"/>
      <c r="AP35" s="593"/>
      <c r="AQ35" s="593"/>
      <c r="AR35" s="593"/>
      <c r="AS35" s="593"/>
      <c r="AT35" s="593"/>
    </row>
    <row r="36" spans="1:46" ht="45" x14ac:dyDescent="0.25">
      <c r="A36" s="469" t="s">
        <v>14</v>
      </c>
      <c r="B36" s="465">
        <v>12</v>
      </c>
      <c r="C36" s="465">
        <v>0</v>
      </c>
      <c r="D36" s="465">
        <v>1</v>
      </c>
      <c r="E36" s="465">
        <v>0</v>
      </c>
      <c r="F36" s="465">
        <v>1</v>
      </c>
      <c r="G36" s="465">
        <v>1</v>
      </c>
      <c r="H36" s="501">
        <f>Table14[[#This Row],[Economy]]/Table14[[#This Row],[BP Cost]]</f>
        <v>0</v>
      </c>
      <c r="I36" s="501">
        <f>Table14[[#This Row],[Loyalty]]/Table14[[#This Row],[BP Cost]]</f>
        <v>8.3333333333333329E-2</v>
      </c>
      <c r="J36" s="501">
        <f>Table14[[#This Row],[Stability]]/Table14[[#This Row],[BP Cost]]</f>
        <v>8.3333333333333329E-2</v>
      </c>
      <c r="K36" s="465">
        <v>0</v>
      </c>
      <c r="L36" s="501">
        <f>Table14[[#This Row],[Unrest]]/Table14[[#This Row],[BP Cost]]</f>
        <v>0</v>
      </c>
      <c r="M36" s="465">
        <v>0</v>
      </c>
      <c r="N36" s="465">
        <v>0</v>
      </c>
      <c r="O36" s="465">
        <v>0</v>
      </c>
      <c r="P36" s="465">
        <v>0</v>
      </c>
      <c r="Q36" s="465">
        <v>0</v>
      </c>
      <c r="R36" s="465">
        <v>0</v>
      </c>
      <c r="S36" s="465">
        <v>0</v>
      </c>
      <c r="T36" s="465">
        <v>0</v>
      </c>
      <c r="U36" s="417"/>
      <c r="V36" s="417"/>
      <c r="W36" s="417"/>
      <c r="X36" s="417"/>
      <c r="Y36" s="417" t="s">
        <v>969</v>
      </c>
      <c r="Z36" s="417"/>
      <c r="AA36" s="417" t="s">
        <v>970</v>
      </c>
      <c r="AB36" s="592"/>
      <c r="AC36" s="594"/>
      <c r="AD36" s="594"/>
      <c r="AE36" s="594"/>
      <c r="AF36" s="594"/>
      <c r="AG36" s="594"/>
      <c r="AH36" s="594"/>
      <c r="AI36" s="594"/>
      <c r="AJ36" s="594"/>
      <c r="AK36" s="594"/>
      <c r="AL36" s="594"/>
      <c r="AM36" s="594"/>
      <c r="AN36" s="594"/>
      <c r="AO36" s="594"/>
      <c r="AP36" s="594"/>
      <c r="AQ36" s="594"/>
      <c r="AR36" s="594"/>
      <c r="AS36" s="594"/>
      <c r="AT36" s="594"/>
    </row>
    <row r="37" spans="1:46" x14ac:dyDescent="0.25">
      <c r="A37" s="470" t="s">
        <v>15</v>
      </c>
      <c r="B37" s="466">
        <v>4</v>
      </c>
      <c r="C37" s="466">
        <v>0</v>
      </c>
      <c r="D37" s="466">
        <v>1</v>
      </c>
      <c r="E37" s="466">
        <v>0</v>
      </c>
      <c r="F37" s="466">
        <v>1</v>
      </c>
      <c r="G37" s="466">
        <v>0</v>
      </c>
      <c r="H37" s="502">
        <f>Table14[[#This Row],[Economy]]/Table14[[#This Row],[BP Cost]]</f>
        <v>0</v>
      </c>
      <c r="I37" s="502">
        <f>Table14[[#This Row],[Loyalty]]/Table14[[#This Row],[BP Cost]]</f>
        <v>0.25</v>
      </c>
      <c r="J37" s="502">
        <f>Table14[[#This Row],[Stability]]/Table14[[#This Row],[BP Cost]]</f>
        <v>0</v>
      </c>
      <c r="K37" s="466">
        <v>0</v>
      </c>
      <c r="L37" s="502">
        <f>Table14[[#This Row],[Unrest]]/Table14[[#This Row],[BP Cost]]</f>
        <v>0</v>
      </c>
      <c r="M37" s="466">
        <v>0</v>
      </c>
      <c r="N37" s="466">
        <v>0</v>
      </c>
      <c r="O37" s="466">
        <v>0</v>
      </c>
      <c r="P37" s="466">
        <v>0</v>
      </c>
      <c r="Q37" s="466">
        <v>0</v>
      </c>
      <c r="R37" s="466">
        <v>0</v>
      </c>
      <c r="S37" s="466">
        <v>0</v>
      </c>
      <c r="T37" s="466">
        <v>0</v>
      </c>
      <c r="U37" s="418"/>
      <c r="V37" s="418"/>
      <c r="W37" s="418"/>
      <c r="X37" s="418"/>
      <c r="Y37" s="418"/>
      <c r="Z37" s="418"/>
      <c r="AA37" s="418" t="s">
        <v>971</v>
      </c>
      <c r="AB37" s="592"/>
      <c r="AC37" s="593"/>
      <c r="AD37" s="593"/>
      <c r="AE37" s="594"/>
      <c r="AF37" s="593"/>
      <c r="AG37" s="593"/>
      <c r="AH37" s="593"/>
      <c r="AI37" s="593"/>
      <c r="AJ37" s="593"/>
      <c r="AK37" s="593"/>
      <c r="AL37" s="593"/>
      <c r="AM37" s="593"/>
      <c r="AN37" s="593"/>
      <c r="AO37" s="593"/>
      <c r="AP37" s="593"/>
      <c r="AQ37" s="593"/>
      <c r="AR37" s="593"/>
      <c r="AS37" s="593"/>
      <c r="AT37" s="593"/>
    </row>
    <row r="38" spans="1:46" x14ac:dyDescent="0.25">
      <c r="A38" s="469" t="s">
        <v>338</v>
      </c>
      <c r="B38" s="465">
        <v>34</v>
      </c>
      <c r="C38" s="465">
        <v>100</v>
      </c>
      <c r="D38" s="465">
        <v>2</v>
      </c>
      <c r="E38" s="465">
        <v>2</v>
      </c>
      <c r="F38" s="465">
        <v>2</v>
      </c>
      <c r="G38" s="465">
        <v>0</v>
      </c>
      <c r="H38" s="501">
        <f>Table14[[#This Row],[Economy]]/Table14[[#This Row],[BP Cost]]</f>
        <v>5.8823529411764705E-2</v>
      </c>
      <c r="I38" s="501">
        <f>Table14[[#This Row],[Loyalty]]/Table14[[#This Row],[BP Cost]]</f>
        <v>5.8823529411764705E-2</v>
      </c>
      <c r="J38" s="501">
        <f>Table14[[#This Row],[Stability]]/Table14[[#This Row],[BP Cost]]</f>
        <v>0</v>
      </c>
      <c r="K38" s="465">
        <v>0</v>
      </c>
      <c r="L38" s="501">
        <f>Table14[[#This Row],[Unrest]]/Table14[[#This Row],[BP Cost]]</f>
        <v>0</v>
      </c>
      <c r="M38" s="465">
        <v>0</v>
      </c>
      <c r="N38" s="465">
        <v>0</v>
      </c>
      <c r="O38" s="465">
        <v>0</v>
      </c>
      <c r="P38" s="465">
        <v>0</v>
      </c>
      <c r="Q38" s="465">
        <v>2</v>
      </c>
      <c r="R38" s="465">
        <v>1</v>
      </c>
      <c r="S38" s="465">
        <v>0</v>
      </c>
      <c r="T38" s="465">
        <v>0</v>
      </c>
      <c r="U38" s="417" t="s">
        <v>1249</v>
      </c>
      <c r="V38" s="417" t="s">
        <v>351</v>
      </c>
      <c r="W38" s="417"/>
      <c r="X38" s="417"/>
      <c r="Y38" s="417" t="s">
        <v>972</v>
      </c>
      <c r="Z38" s="417"/>
      <c r="AA38" s="417" t="s">
        <v>973</v>
      </c>
      <c r="AB38" s="592"/>
      <c r="AC38" s="594"/>
      <c r="AD38" s="594">
        <v>1000</v>
      </c>
      <c r="AE38" s="594"/>
      <c r="AF38" s="594"/>
      <c r="AG38" s="594"/>
      <c r="AH38" s="594"/>
      <c r="AI38" s="594"/>
      <c r="AJ38" s="594"/>
      <c r="AK38" s="594"/>
      <c r="AL38" s="594"/>
      <c r="AM38" s="594"/>
      <c r="AN38" s="594"/>
      <c r="AO38" s="594"/>
      <c r="AP38" s="594"/>
      <c r="AQ38" s="594"/>
      <c r="AR38" s="594"/>
      <c r="AS38" s="594"/>
      <c r="AT38" s="594"/>
    </row>
    <row r="39" spans="1:46" x14ac:dyDescent="0.25">
      <c r="A39" s="469" t="s">
        <v>1766</v>
      </c>
      <c r="B39" s="465">
        <v>20</v>
      </c>
      <c r="C39" s="465">
        <v>0</v>
      </c>
      <c r="D39" s="465">
        <v>0</v>
      </c>
      <c r="E39" s="465">
        <v>0</v>
      </c>
      <c r="F39" s="465">
        <v>0</v>
      </c>
      <c r="G39" s="465">
        <v>1</v>
      </c>
      <c r="H39" s="501">
        <f>Table14[[#This Row],[Economy]]/Table14[[#This Row],[BP Cost]]</f>
        <v>0</v>
      </c>
      <c r="I39" s="501">
        <f>Table14[[#This Row],[Loyalty]]/Table14[[#This Row],[BP Cost]]</f>
        <v>0</v>
      </c>
      <c r="J39" s="501">
        <f>Table14[[#This Row],[Stability]]/Table14[[#This Row],[BP Cost]]</f>
        <v>0.05</v>
      </c>
      <c r="K39" s="465">
        <v>0</v>
      </c>
      <c r="L39" s="501">
        <f>Table14[[#This Row],[Unrest]]/Table14[[#This Row],[BP Cost]]</f>
        <v>0</v>
      </c>
      <c r="M39" s="465">
        <v>1</v>
      </c>
      <c r="N39" s="465">
        <v>0</v>
      </c>
      <c r="O39" s="465">
        <v>0</v>
      </c>
      <c r="P39" s="465">
        <v>0</v>
      </c>
      <c r="Q39" s="465">
        <v>0</v>
      </c>
      <c r="R39" s="465">
        <v>0</v>
      </c>
      <c r="S39" s="465">
        <v>0</v>
      </c>
      <c r="T39" s="465">
        <v>0</v>
      </c>
      <c r="U39" s="417"/>
      <c r="V39" s="417"/>
      <c r="W39" s="417"/>
      <c r="X39" s="417"/>
      <c r="Y39" s="417" t="s">
        <v>1778</v>
      </c>
      <c r="Z39" s="417"/>
      <c r="AA39" s="417"/>
      <c r="AB39" s="592"/>
      <c r="AC39" s="594"/>
      <c r="AD39" s="594"/>
      <c r="AE39" s="594"/>
      <c r="AF39" s="594"/>
      <c r="AG39" s="594"/>
      <c r="AH39" s="594"/>
      <c r="AI39" s="594"/>
      <c r="AJ39" s="594"/>
      <c r="AK39" s="594"/>
      <c r="AL39" s="594"/>
      <c r="AM39" s="594"/>
      <c r="AN39" s="594"/>
      <c r="AO39" s="594"/>
      <c r="AP39" s="594"/>
      <c r="AQ39" s="594"/>
      <c r="AR39" s="594"/>
      <c r="AS39" s="594"/>
      <c r="AT39" s="594"/>
    </row>
    <row r="40" spans="1:46" ht="30" x14ac:dyDescent="0.25">
      <c r="A40" s="469" t="s">
        <v>1233</v>
      </c>
      <c r="B40" s="465">
        <v>48</v>
      </c>
      <c r="C40" s="465">
        <v>20</v>
      </c>
      <c r="D40" s="465">
        <v>4</v>
      </c>
      <c r="E40" s="465">
        <v>2</v>
      </c>
      <c r="F40" s="465">
        <v>2</v>
      </c>
      <c r="G40" s="465">
        <v>0</v>
      </c>
      <c r="H40" s="501">
        <f>Table14[[#This Row],[Economy]]/Table14[[#This Row],[BP Cost]]</f>
        <v>4.1666666666666664E-2</v>
      </c>
      <c r="I40" s="501">
        <f>Table14[[#This Row],[Loyalty]]/Table14[[#This Row],[BP Cost]]</f>
        <v>4.1666666666666664E-2</v>
      </c>
      <c r="J40" s="501">
        <f>Table14[[#This Row],[Stability]]/Table14[[#This Row],[BP Cost]]</f>
        <v>0</v>
      </c>
      <c r="K40" s="465">
        <v>-2</v>
      </c>
      <c r="L40" s="501">
        <f>Table14[[#This Row],[Unrest]]/Table14[[#This Row],[BP Cost]]</f>
        <v>-4.1666666666666664E-2</v>
      </c>
      <c r="M40" s="465">
        <v>1</v>
      </c>
      <c r="N40" s="465">
        <v>0</v>
      </c>
      <c r="O40" s="465">
        <v>0</v>
      </c>
      <c r="P40" s="465">
        <v>0</v>
      </c>
      <c r="Q40" s="465">
        <v>0</v>
      </c>
      <c r="R40" s="465">
        <v>0</v>
      </c>
      <c r="S40" s="465">
        <v>1</v>
      </c>
      <c r="T40" s="465">
        <v>2</v>
      </c>
      <c r="U40" s="417" t="s">
        <v>1234</v>
      </c>
      <c r="V40" s="417"/>
      <c r="W40" s="417"/>
      <c r="X40" s="417" t="s">
        <v>923</v>
      </c>
      <c r="Y40" s="417" t="s">
        <v>1235</v>
      </c>
      <c r="Z40" s="417"/>
      <c r="AA40" s="417"/>
      <c r="AB40" s="592"/>
      <c r="AC40" s="594"/>
      <c r="AD40" s="594"/>
      <c r="AE40" s="594"/>
      <c r="AF40" s="594"/>
      <c r="AG40" s="594"/>
      <c r="AH40" s="594"/>
      <c r="AI40" s="594"/>
      <c r="AJ40" s="594"/>
      <c r="AK40" s="594"/>
      <c r="AL40" s="594"/>
      <c r="AM40" s="594"/>
      <c r="AN40" s="594"/>
      <c r="AO40" s="594"/>
      <c r="AP40" s="594"/>
      <c r="AQ40" s="594"/>
      <c r="AR40" s="594"/>
      <c r="AS40" s="594"/>
      <c r="AT40" s="594"/>
    </row>
    <row r="41" spans="1:46" x14ac:dyDescent="0.25">
      <c r="A41" s="470" t="s">
        <v>16</v>
      </c>
      <c r="B41" s="466">
        <v>10</v>
      </c>
      <c r="C41" s="466">
        <v>10</v>
      </c>
      <c r="D41" s="466">
        <v>1</v>
      </c>
      <c r="E41" s="466">
        <v>0</v>
      </c>
      <c r="F41" s="466">
        <v>1</v>
      </c>
      <c r="G41" s="466">
        <v>1</v>
      </c>
      <c r="H41" s="502">
        <f>Table14[[#This Row],[Economy]]/Table14[[#This Row],[BP Cost]]</f>
        <v>0</v>
      </c>
      <c r="I41" s="502">
        <f>Table14[[#This Row],[Loyalty]]/Table14[[#This Row],[BP Cost]]</f>
        <v>0.1</v>
      </c>
      <c r="J41" s="502">
        <f>Table14[[#This Row],[Stability]]/Table14[[#This Row],[BP Cost]]</f>
        <v>0.1</v>
      </c>
      <c r="K41" s="466">
        <v>0</v>
      </c>
      <c r="L41" s="502">
        <f>Table14[[#This Row],[Unrest]]/Table14[[#This Row],[BP Cost]]</f>
        <v>0</v>
      </c>
      <c r="M41" s="466">
        <v>0</v>
      </c>
      <c r="N41" s="466">
        <v>0</v>
      </c>
      <c r="O41" s="466">
        <v>0</v>
      </c>
      <c r="P41" s="466">
        <v>0</v>
      </c>
      <c r="Q41" s="466">
        <v>0</v>
      </c>
      <c r="R41" s="466">
        <v>0</v>
      </c>
      <c r="S41" s="466">
        <v>0</v>
      </c>
      <c r="T41" s="466">
        <v>0</v>
      </c>
      <c r="U41" s="418"/>
      <c r="V41" s="418"/>
      <c r="W41" s="418"/>
      <c r="X41" s="418" t="s">
        <v>919</v>
      </c>
      <c r="Y41" s="418"/>
      <c r="Z41" s="418" t="s">
        <v>920</v>
      </c>
      <c r="AA41" s="418" t="s">
        <v>974</v>
      </c>
      <c r="AB41" s="592"/>
      <c r="AC41" s="593"/>
      <c r="AD41" s="593"/>
      <c r="AE41" s="594"/>
      <c r="AF41" s="593"/>
      <c r="AG41" s="593"/>
      <c r="AH41" s="593">
        <v>1</v>
      </c>
      <c r="AI41" s="593"/>
      <c r="AJ41" s="593"/>
      <c r="AK41" s="593"/>
      <c r="AL41" s="593"/>
      <c r="AM41" s="593"/>
      <c r="AN41" s="593"/>
      <c r="AO41" s="593"/>
      <c r="AP41" s="593"/>
      <c r="AQ41" s="593"/>
      <c r="AR41" s="593"/>
      <c r="AS41" s="593"/>
      <c r="AT41" s="593"/>
    </row>
    <row r="42" spans="1:46" x14ac:dyDescent="0.25">
      <c r="A42" s="469" t="s">
        <v>339</v>
      </c>
      <c r="B42" s="465">
        <v>30</v>
      </c>
      <c r="C42" s="465">
        <v>100</v>
      </c>
      <c r="D42" s="465">
        <v>2</v>
      </c>
      <c r="E42" s="465">
        <v>0</v>
      </c>
      <c r="F42" s="465">
        <v>1</v>
      </c>
      <c r="G42" s="465">
        <v>2</v>
      </c>
      <c r="H42" s="501">
        <f>Table14[[#This Row],[Economy]]/Table14[[#This Row],[BP Cost]]</f>
        <v>0</v>
      </c>
      <c r="I42" s="501">
        <f>Table14[[#This Row],[Loyalty]]/Table14[[#This Row],[BP Cost]]</f>
        <v>3.3333333333333333E-2</v>
      </c>
      <c r="J42" s="501">
        <f>Table14[[#This Row],[Stability]]/Table14[[#This Row],[BP Cost]]</f>
        <v>6.6666666666666666E-2</v>
      </c>
      <c r="K42" s="465">
        <v>0</v>
      </c>
      <c r="L42" s="501">
        <f>Table14[[#This Row],[Unrest]]/Table14[[#This Row],[BP Cost]]</f>
        <v>0</v>
      </c>
      <c r="M42" s="465">
        <v>0</v>
      </c>
      <c r="N42" s="465">
        <v>0</v>
      </c>
      <c r="O42" s="465">
        <v>0</v>
      </c>
      <c r="P42" s="465">
        <v>0</v>
      </c>
      <c r="Q42" s="465">
        <v>2</v>
      </c>
      <c r="R42" s="465">
        <v>0</v>
      </c>
      <c r="S42" s="465">
        <v>1</v>
      </c>
      <c r="T42" s="465">
        <v>0</v>
      </c>
      <c r="U42" s="417"/>
      <c r="V42" s="417"/>
      <c r="W42" s="417"/>
      <c r="X42" s="417"/>
      <c r="Y42" s="417" t="s">
        <v>975</v>
      </c>
      <c r="Z42" s="417"/>
      <c r="AA42" s="417" t="s">
        <v>976</v>
      </c>
      <c r="AB42" s="592"/>
      <c r="AC42" s="594"/>
      <c r="AD42" s="594"/>
      <c r="AE42" s="594"/>
      <c r="AF42" s="594"/>
      <c r="AG42" s="594"/>
      <c r="AH42" s="594"/>
      <c r="AI42" s="594"/>
      <c r="AJ42" s="594"/>
      <c r="AK42" s="594"/>
      <c r="AL42" s="594"/>
      <c r="AM42" s="594"/>
      <c r="AN42" s="594"/>
      <c r="AO42" s="594"/>
      <c r="AP42" s="594"/>
      <c r="AQ42" s="594"/>
      <c r="AR42" s="594"/>
      <c r="AS42" s="594"/>
      <c r="AT42" s="594"/>
    </row>
    <row r="43" spans="1:46" ht="60" x14ac:dyDescent="0.25">
      <c r="A43" s="470" t="s">
        <v>17</v>
      </c>
      <c r="B43" s="466">
        <v>3</v>
      </c>
      <c r="C43" s="466">
        <v>50</v>
      </c>
      <c r="D43" s="466">
        <v>1</v>
      </c>
      <c r="E43" s="466">
        <v>0</v>
      </c>
      <c r="F43" s="466">
        <v>0</v>
      </c>
      <c r="G43" s="466">
        <v>0</v>
      </c>
      <c r="H43" s="502">
        <f>Table14[[#This Row],[Economy]]/Table14[[#This Row],[BP Cost]]</f>
        <v>0</v>
      </c>
      <c r="I43" s="502">
        <f>Table14[[#This Row],[Loyalty]]/Table14[[#This Row],[BP Cost]]</f>
        <v>0</v>
      </c>
      <c r="J43" s="502">
        <f>Table14[[#This Row],[Stability]]/Table14[[#This Row],[BP Cost]]</f>
        <v>0</v>
      </c>
      <c r="K43" s="466">
        <v>-1</v>
      </c>
      <c r="L43" s="502">
        <f>Table14[[#This Row],[Unrest]]/Table14[[#This Row],[BP Cost]]</f>
        <v>-0.33333333333333331</v>
      </c>
      <c r="M43" s="466">
        <v>0</v>
      </c>
      <c r="N43" s="466">
        <v>0</v>
      </c>
      <c r="O43" s="466">
        <v>0</v>
      </c>
      <c r="P43" s="466">
        <v>0</v>
      </c>
      <c r="Q43" s="466">
        <v>0</v>
      </c>
      <c r="R43" s="466">
        <v>0</v>
      </c>
      <c r="S43" s="466">
        <v>0</v>
      </c>
      <c r="T43" s="466">
        <v>0</v>
      </c>
      <c r="U43" s="418"/>
      <c r="V43" s="418" t="s">
        <v>37</v>
      </c>
      <c r="W43" s="418"/>
      <c r="X43" s="418"/>
      <c r="Y43" s="418" t="s">
        <v>977</v>
      </c>
      <c r="Z43" s="418"/>
      <c r="AA43" s="418" t="s">
        <v>978</v>
      </c>
      <c r="AB43" s="592"/>
      <c r="AC43" s="593"/>
      <c r="AD43" s="593"/>
      <c r="AE43" s="594"/>
      <c r="AF43" s="593"/>
      <c r="AG43" s="593"/>
      <c r="AH43" s="593"/>
      <c r="AI43" s="593"/>
      <c r="AJ43" s="593"/>
      <c r="AK43" s="593"/>
      <c r="AL43" s="593"/>
      <c r="AM43" s="593"/>
      <c r="AN43" s="593"/>
      <c r="AO43" s="593"/>
      <c r="AP43" s="593"/>
      <c r="AQ43" s="593"/>
      <c r="AR43" s="593"/>
      <c r="AS43" s="593"/>
      <c r="AT43" s="593"/>
    </row>
    <row r="44" spans="1:46" x14ac:dyDescent="0.25">
      <c r="A44" s="469" t="s">
        <v>18</v>
      </c>
      <c r="B44" s="465">
        <v>10</v>
      </c>
      <c r="C44" s="465">
        <v>30</v>
      </c>
      <c r="D44" s="465">
        <v>1</v>
      </c>
      <c r="E44" s="465">
        <v>1</v>
      </c>
      <c r="F44" s="465">
        <v>1</v>
      </c>
      <c r="G44" s="465">
        <v>0</v>
      </c>
      <c r="H44" s="501">
        <f>Table14[[#This Row],[Economy]]/Table14[[#This Row],[BP Cost]]</f>
        <v>0.1</v>
      </c>
      <c r="I44" s="501">
        <f>Table14[[#This Row],[Loyalty]]/Table14[[#This Row],[BP Cost]]</f>
        <v>0.1</v>
      </c>
      <c r="J44" s="501">
        <f>Table14[[#This Row],[Stability]]/Table14[[#This Row],[BP Cost]]</f>
        <v>0</v>
      </c>
      <c r="K44" s="465">
        <v>0</v>
      </c>
      <c r="L44" s="501">
        <f>Table14[[#This Row],[Unrest]]/Table14[[#This Row],[BP Cost]]</f>
        <v>0</v>
      </c>
      <c r="M44" s="465">
        <v>0</v>
      </c>
      <c r="N44" s="465">
        <v>0</v>
      </c>
      <c r="O44" s="465">
        <v>0</v>
      </c>
      <c r="P44" s="465">
        <v>0</v>
      </c>
      <c r="Q44" s="465">
        <v>0</v>
      </c>
      <c r="R44" s="465">
        <v>0</v>
      </c>
      <c r="S44" s="465">
        <v>0</v>
      </c>
      <c r="T44" s="465">
        <v>1</v>
      </c>
      <c r="U44" s="417"/>
      <c r="V44" s="417"/>
      <c r="W44" s="417"/>
      <c r="X44" s="417" t="s">
        <v>919</v>
      </c>
      <c r="Y44" s="417" t="s">
        <v>979</v>
      </c>
      <c r="Z44" s="417"/>
      <c r="AA44" s="417" t="s">
        <v>980</v>
      </c>
      <c r="AB44" s="592"/>
      <c r="AC44" s="594"/>
      <c r="AD44" s="594">
        <v>500</v>
      </c>
      <c r="AE44" s="594"/>
      <c r="AF44" s="594"/>
      <c r="AG44" s="594"/>
      <c r="AH44" s="594"/>
      <c r="AI44" s="594"/>
      <c r="AJ44" s="594"/>
      <c r="AK44" s="594"/>
      <c r="AL44" s="594"/>
      <c r="AM44" s="594"/>
      <c r="AN44" s="594"/>
      <c r="AO44" s="594"/>
      <c r="AP44" s="594"/>
      <c r="AQ44" s="594"/>
      <c r="AR44" s="594"/>
      <c r="AS44" s="594"/>
      <c r="AT44" s="594"/>
    </row>
    <row r="45" spans="1:46" x14ac:dyDescent="0.25">
      <c r="A45" s="470" t="s">
        <v>19</v>
      </c>
      <c r="B45" s="466">
        <v>14</v>
      </c>
      <c r="C45" s="466">
        <v>50</v>
      </c>
      <c r="D45" s="466">
        <v>1</v>
      </c>
      <c r="E45" s="466">
        <v>0</v>
      </c>
      <c r="F45" s="466">
        <v>2</v>
      </c>
      <c r="G45" s="466">
        <v>2</v>
      </c>
      <c r="H45" s="502">
        <f>Table14[[#This Row],[Economy]]/Table14[[#This Row],[BP Cost]]</f>
        <v>0</v>
      </c>
      <c r="I45" s="502">
        <f>Table14[[#This Row],[Loyalty]]/Table14[[#This Row],[BP Cost]]</f>
        <v>0.14285714285714285</v>
      </c>
      <c r="J45" s="502">
        <f>Table14[[#This Row],[Stability]]/Table14[[#This Row],[BP Cost]]</f>
        <v>0.14285714285714285</v>
      </c>
      <c r="K45" s="466">
        <v>-2</v>
      </c>
      <c r="L45" s="502">
        <f>Table14[[#This Row],[Unrest]]/Table14[[#This Row],[BP Cost]]</f>
        <v>-0.14285714285714285</v>
      </c>
      <c r="M45" s="466">
        <v>0</v>
      </c>
      <c r="N45" s="466">
        <v>0</v>
      </c>
      <c r="O45" s="466">
        <v>0</v>
      </c>
      <c r="P45" s="466">
        <v>-1</v>
      </c>
      <c r="Q45" s="466">
        <v>0</v>
      </c>
      <c r="R45" s="466">
        <v>1</v>
      </c>
      <c r="S45" s="466">
        <v>0</v>
      </c>
      <c r="T45" s="466">
        <v>0</v>
      </c>
      <c r="U45" s="418"/>
      <c r="V45" s="418"/>
      <c r="W45" s="418"/>
      <c r="X45" s="418"/>
      <c r="Y45" s="418"/>
      <c r="Z45" s="418"/>
      <c r="AA45" s="418" t="s">
        <v>981</v>
      </c>
      <c r="AB45" s="592"/>
      <c r="AC45" s="594"/>
      <c r="AD45" s="594"/>
      <c r="AE45" s="594"/>
      <c r="AF45" s="594"/>
      <c r="AG45" s="594"/>
      <c r="AH45" s="594"/>
      <c r="AI45" s="594"/>
      <c r="AJ45" s="594"/>
      <c r="AK45" s="594"/>
      <c r="AL45" s="594"/>
      <c r="AM45" s="594"/>
      <c r="AN45" s="594"/>
      <c r="AO45" s="594"/>
      <c r="AP45" s="594"/>
      <c r="AQ45" s="594"/>
      <c r="AR45" s="594"/>
      <c r="AS45" s="594"/>
      <c r="AT45" s="594"/>
    </row>
    <row r="46" spans="1:46" x14ac:dyDescent="0.25">
      <c r="A46" s="469" t="s">
        <v>20</v>
      </c>
      <c r="B46" s="465">
        <v>6</v>
      </c>
      <c r="C46" s="465">
        <v>10</v>
      </c>
      <c r="D46" s="465">
        <v>1</v>
      </c>
      <c r="E46" s="465">
        <v>1</v>
      </c>
      <c r="F46" s="465">
        <v>1</v>
      </c>
      <c r="G46" s="465">
        <v>0</v>
      </c>
      <c r="H46" s="501">
        <f>Table14[[#This Row],[Economy]]/Table14[[#This Row],[BP Cost]]</f>
        <v>0.16666666666666666</v>
      </c>
      <c r="I46" s="501">
        <f>Table14[[#This Row],[Loyalty]]/Table14[[#This Row],[BP Cost]]</f>
        <v>0.16666666666666666</v>
      </c>
      <c r="J46" s="501">
        <f>Table14[[#This Row],[Stability]]/Table14[[#This Row],[BP Cost]]</f>
        <v>0</v>
      </c>
      <c r="K46" s="465">
        <v>0</v>
      </c>
      <c r="L46" s="501">
        <f>Table14[[#This Row],[Unrest]]/Table14[[#This Row],[BP Cost]]</f>
        <v>0</v>
      </c>
      <c r="M46" s="465">
        <v>0</v>
      </c>
      <c r="N46" s="465">
        <v>0</v>
      </c>
      <c r="O46" s="465">
        <v>0</v>
      </c>
      <c r="P46" s="465">
        <v>0</v>
      </c>
      <c r="Q46" s="465">
        <v>0</v>
      </c>
      <c r="R46" s="465">
        <v>0</v>
      </c>
      <c r="S46" s="465">
        <v>1</v>
      </c>
      <c r="T46" s="465">
        <v>0</v>
      </c>
      <c r="U46" s="417"/>
      <c r="V46" s="417"/>
      <c r="W46" s="417" t="s">
        <v>0</v>
      </c>
      <c r="X46" s="417"/>
      <c r="Y46" s="417"/>
      <c r="Z46" s="417"/>
      <c r="AA46" s="417" t="s">
        <v>982</v>
      </c>
      <c r="AB46" s="592"/>
      <c r="AC46" s="594"/>
      <c r="AD46" s="594"/>
      <c r="AE46" s="594"/>
      <c r="AF46" s="594"/>
      <c r="AG46" s="594"/>
      <c r="AH46" s="594"/>
      <c r="AI46" s="594"/>
      <c r="AJ46" s="594"/>
      <c r="AK46" s="594"/>
      <c r="AL46" s="594"/>
      <c r="AM46" s="594"/>
      <c r="AN46" s="594"/>
      <c r="AO46" s="594"/>
      <c r="AP46" s="594"/>
      <c r="AQ46" s="594"/>
      <c r="AR46" s="594"/>
      <c r="AS46" s="594"/>
      <c r="AT46" s="594"/>
    </row>
    <row r="47" spans="1:46" ht="75" x14ac:dyDescent="0.25">
      <c r="A47" s="469" t="s">
        <v>1236</v>
      </c>
      <c r="B47" s="465">
        <v>24</v>
      </c>
      <c r="C47" s="465">
        <v>10</v>
      </c>
      <c r="D47" s="465">
        <v>1</v>
      </c>
      <c r="E47" s="465">
        <v>2</v>
      </c>
      <c r="F47" s="465">
        <v>0</v>
      </c>
      <c r="G47" s="465">
        <v>2</v>
      </c>
      <c r="H47" s="501">
        <f>Table14[[#This Row],[Economy]]/Table14[[#This Row],[BP Cost]]</f>
        <v>8.3333333333333329E-2</v>
      </c>
      <c r="I47" s="501">
        <f>Table14[[#This Row],[Loyalty]]/Table14[[#This Row],[BP Cost]]</f>
        <v>0</v>
      </c>
      <c r="J47" s="501">
        <f>Table14[[#This Row],[Stability]]/Table14[[#This Row],[BP Cost]]</f>
        <v>8.3333333333333329E-2</v>
      </c>
      <c r="K47" s="465">
        <v>0</v>
      </c>
      <c r="L47" s="501">
        <f>Table14[[#This Row],[Unrest]]/Table14[[#This Row],[BP Cost]]</f>
        <v>0</v>
      </c>
      <c r="M47" s="465">
        <v>0</v>
      </c>
      <c r="N47" s="465">
        <v>0</v>
      </c>
      <c r="O47" s="465">
        <v>0</v>
      </c>
      <c r="P47" s="465">
        <v>0</v>
      </c>
      <c r="Q47" s="465">
        <v>0</v>
      </c>
      <c r="R47" s="465">
        <v>0</v>
      </c>
      <c r="S47" s="465">
        <v>0</v>
      </c>
      <c r="T47" s="465">
        <v>0</v>
      </c>
      <c r="U47" s="417" t="s">
        <v>348</v>
      </c>
      <c r="V47" s="417"/>
      <c r="W47" s="417"/>
      <c r="X47" s="417" t="s">
        <v>1237</v>
      </c>
      <c r="Y47" s="417" t="s">
        <v>1238</v>
      </c>
      <c r="Z47" s="417"/>
      <c r="AA47" s="417"/>
      <c r="AB47" s="592"/>
      <c r="AC47" s="594"/>
      <c r="AD47" s="594"/>
      <c r="AE47" s="594"/>
      <c r="AF47" s="594"/>
      <c r="AG47" s="594"/>
      <c r="AH47" s="594"/>
      <c r="AI47" s="594"/>
      <c r="AJ47" s="594"/>
      <c r="AK47" s="594"/>
      <c r="AL47" s="594"/>
      <c r="AM47" s="594"/>
      <c r="AN47" s="594"/>
      <c r="AO47" s="594"/>
      <c r="AP47" s="594"/>
      <c r="AQ47" s="594"/>
      <c r="AR47" s="594"/>
      <c r="AS47" s="594"/>
      <c r="AT47" s="594"/>
    </row>
    <row r="48" spans="1:46" ht="90" x14ac:dyDescent="0.25">
      <c r="A48" s="469" t="s">
        <v>1239</v>
      </c>
      <c r="B48" s="465">
        <v>12</v>
      </c>
      <c r="C48" s="465">
        <v>50</v>
      </c>
      <c r="D48" s="465">
        <v>2</v>
      </c>
      <c r="E48" s="465">
        <v>1</v>
      </c>
      <c r="F48" s="465">
        <v>0</v>
      </c>
      <c r="G48" s="465">
        <v>1</v>
      </c>
      <c r="H48" s="501">
        <f>Table14[[#This Row],[Economy]]/Table14[[#This Row],[BP Cost]]</f>
        <v>8.3333333333333329E-2</v>
      </c>
      <c r="I48" s="501">
        <f>Table14[[#This Row],[Loyalty]]/Table14[[#This Row],[BP Cost]]</f>
        <v>0</v>
      </c>
      <c r="J48" s="501">
        <f>Table14[[#This Row],[Stability]]/Table14[[#This Row],[BP Cost]]</f>
        <v>8.3333333333333329E-2</v>
      </c>
      <c r="K48" s="465">
        <v>0</v>
      </c>
      <c r="L48" s="501">
        <f>Table14[[#This Row],[Unrest]]/Table14[[#This Row],[BP Cost]]</f>
        <v>0</v>
      </c>
      <c r="M48" s="465">
        <v>0</v>
      </c>
      <c r="N48" s="465">
        <v>0</v>
      </c>
      <c r="O48" s="465">
        <v>0</v>
      </c>
      <c r="P48" s="465">
        <v>0</v>
      </c>
      <c r="Q48" s="465">
        <v>1</v>
      </c>
      <c r="R48" s="465">
        <v>0</v>
      </c>
      <c r="S48" s="465">
        <v>0</v>
      </c>
      <c r="T48" s="465">
        <v>0</v>
      </c>
      <c r="U48" s="417"/>
      <c r="V48" s="417"/>
      <c r="W48" s="417"/>
      <c r="X48" s="417" t="s">
        <v>1240</v>
      </c>
      <c r="Y48" s="417"/>
      <c r="Z48" s="417"/>
      <c r="AA48" s="417"/>
      <c r="AB48" s="592"/>
      <c r="AC48" s="594"/>
      <c r="AD48" s="594"/>
      <c r="AE48" s="594"/>
      <c r="AF48" s="594"/>
      <c r="AG48" s="594"/>
      <c r="AH48" s="594"/>
      <c r="AI48" s="594"/>
      <c r="AJ48" s="594"/>
      <c r="AK48" s="594"/>
      <c r="AL48" s="594"/>
      <c r="AM48" s="594"/>
      <c r="AN48" s="594"/>
      <c r="AO48" s="594"/>
      <c r="AP48" s="594"/>
      <c r="AQ48" s="594"/>
      <c r="AR48" s="594"/>
      <c r="AS48" s="594"/>
      <c r="AT48" s="594"/>
    </row>
    <row r="49" spans="1:46" x14ac:dyDescent="0.25">
      <c r="A49" s="470" t="s">
        <v>21</v>
      </c>
      <c r="B49" s="466">
        <v>28</v>
      </c>
      <c r="C49" s="466">
        <v>10</v>
      </c>
      <c r="D49" s="466">
        <v>1</v>
      </c>
      <c r="E49" s="466">
        <v>1</v>
      </c>
      <c r="F49" s="466">
        <v>0</v>
      </c>
      <c r="G49" s="466">
        <v>0</v>
      </c>
      <c r="H49" s="502">
        <f>Table14[[#This Row],[Economy]]/Table14[[#This Row],[BP Cost]]</f>
        <v>3.5714285714285712E-2</v>
      </c>
      <c r="I49" s="502">
        <f>Table14[[#This Row],[Loyalty]]/Table14[[#This Row],[BP Cost]]</f>
        <v>0</v>
      </c>
      <c r="J49" s="502">
        <f>Table14[[#This Row],[Stability]]/Table14[[#This Row],[BP Cost]]</f>
        <v>0</v>
      </c>
      <c r="K49" s="466">
        <v>0</v>
      </c>
      <c r="L49" s="502">
        <f>Table14[[#This Row],[Unrest]]/Table14[[#This Row],[BP Cost]]</f>
        <v>0</v>
      </c>
      <c r="M49" s="466">
        <v>0</v>
      </c>
      <c r="N49" s="466">
        <v>0</v>
      </c>
      <c r="O49" s="466">
        <v>0</v>
      </c>
      <c r="P49" s="466">
        <v>0</v>
      </c>
      <c r="Q49" s="466">
        <v>0</v>
      </c>
      <c r="R49" s="466">
        <v>0</v>
      </c>
      <c r="S49" s="466">
        <v>0</v>
      </c>
      <c r="T49" s="466">
        <v>0</v>
      </c>
      <c r="U49" s="418"/>
      <c r="V49" s="418" t="s">
        <v>30</v>
      </c>
      <c r="W49" s="418" t="s">
        <v>22</v>
      </c>
      <c r="X49" s="418" t="s">
        <v>919</v>
      </c>
      <c r="Y49" s="418" t="s">
        <v>932</v>
      </c>
      <c r="Z49" s="418" t="s">
        <v>983</v>
      </c>
      <c r="AA49" s="418" t="s">
        <v>984</v>
      </c>
      <c r="AB49" s="592"/>
      <c r="AC49" s="594"/>
      <c r="AD49" s="594">
        <v>2000</v>
      </c>
      <c r="AE49" s="594"/>
      <c r="AF49" s="594"/>
      <c r="AG49" s="594"/>
      <c r="AH49" s="594"/>
      <c r="AI49" s="594"/>
      <c r="AJ49" s="594"/>
      <c r="AK49" s="594"/>
      <c r="AL49" s="594"/>
      <c r="AM49" s="594">
        <v>2</v>
      </c>
      <c r="AN49" s="594"/>
      <c r="AO49" s="594"/>
      <c r="AP49" s="594"/>
      <c r="AQ49" s="594"/>
      <c r="AR49" s="594"/>
      <c r="AS49" s="594"/>
      <c r="AT49" s="594"/>
    </row>
    <row r="50" spans="1:46" ht="30" x14ac:dyDescent="0.25">
      <c r="A50" s="469" t="s">
        <v>22</v>
      </c>
      <c r="B50" s="465">
        <v>68</v>
      </c>
      <c r="C50" s="465">
        <v>10</v>
      </c>
      <c r="D50" s="465">
        <v>1</v>
      </c>
      <c r="E50" s="465">
        <v>1</v>
      </c>
      <c r="F50" s="465">
        <v>0</v>
      </c>
      <c r="G50" s="465">
        <v>0</v>
      </c>
      <c r="H50" s="501">
        <f>Table14[[#This Row],[Economy]]/Table14[[#This Row],[BP Cost]]</f>
        <v>1.4705882352941176E-2</v>
      </c>
      <c r="I50" s="501">
        <f>Table14[[#This Row],[Loyalty]]/Table14[[#This Row],[BP Cost]]</f>
        <v>0</v>
      </c>
      <c r="J50" s="501">
        <f>Table14[[#This Row],[Stability]]/Table14[[#This Row],[BP Cost]]</f>
        <v>0</v>
      </c>
      <c r="K50" s="465">
        <v>0</v>
      </c>
      <c r="L50" s="501">
        <f>Table14[[#This Row],[Unrest]]/Table14[[#This Row],[BP Cost]]</f>
        <v>0</v>
      </c>
      <c r="M50" s="465">
        <v>0</v>
      </c>
      <c r="N50" s="465">
        <v>0</v>
      </c>
      <c r="O50" s="465">
        <v>0</v>
      </c>
      <c r="P50" s="465">
        <v>0</v>
      </c>
      <c r="Q50" s="465">
        <v>0</v>
      </c>
      <c r="R50" s="465">
        <v>0</v>
      </c>
      <c r="S50" s="465">
        <v>0</v>
      </c>
      <c r="T50" s="465">
        <v>0</v>
      </c>
      <c r="U50" s="417"/>
      <c r="V50" s="417" t="s">
        <v>21</v>
      </c>
      <c r="W50" s="417"/>
      <c r="X50" s="417" t="s">
        <v>931</v>
      </c>
      <c r="Y50" s="417" t="s">
        <v>932</v>
      </c>
      <c r="Z50" s="417" t="s">
        <v>985</v>
      </c>
      <c r="AA50" s="417" t="s">
        <v>986</v>
      </c>
      <c r="AB50" s="592"/>
      <c r="AC50" s="594"/>
      <c r="AD50" s="594">
        <v>2000</v>
      </c>
      <c r="AE50" s="594"/>
      <c r="AF50" s="594"/>
      <c r="AG50" s="594"/>
      <c r="AH50" s="594"/>
      <c r="AI50" s="594"/>
      <c r="AJ50" s="594"/>
      <c r="AK50" s="594"/>
      <c r="AL50" s="594"/>
      <c r="AM50" s="594"/>
      <c r="AN50" s="594">
        <v>4</v>
      </c>
      <c r="AO50" s="594">
        <v>2</v>
      </c>
      <c r="AP50" s="594">
        <v>1</v>
      </c>
      <c r="AQ50" s="594"/>
      <c r="AR50" s="594"/>
      <c r="AS50" s="594"/>
      <c r="AT50" s="594"/>
    </row>
    <row r="51" spans="1:46" ht="60" x14ac:dyDescent="0.25">
      <c r="A51" s="470" t="s">
        <v>340</v>
      </c>
      <c r="B51" s="466">
        <v>58</v>
      </c>
      <c r="C51" s="466">
        <v>50</v>
      </c>
      <c r="D51" s="466">
        <v>2</v>
      </c>
      <c r="E51" s="466">
        <v>2</v>
      </c>
      <c r="F51" s="466">
        <v>0</v>
      </c>
      <c r="G51" s="466">
        <v>0</v>
      </c>
      <c r="H51" s="502">
        <f>Table14[[#This Row],[Economy]]/Table14[[#This Row],[BP Cost]]</f>
        <v>3.4482758620689655E-2</v>
      </c>
      <c r="I51" s="502">
        <f>Table14[[#This Row],[Loyalty]]/Table14[[#This Row],[BP Cost]]</f>
        <v>0</v>
      </c>
      <c r="J51" s="502">
        <f>Table14[[#This Row],[Stability]]/Table14[[#This Row],[BP Cost]]</f>
        <v>0</v>
      </c>
      <c r="K51" s="466">
        <v>0</v>
      </c>
      <c r="L51" s="502">
        <f>Table14[[#This Row],[Unrest]]/Table14[[#This Row],[BP Cost]]</f>
        <v>0</v>
      </c>
      <c r="M51" s="466">
        <v>1</v>
      </c>
      <c r="N51" s="466">
        <v>0</v>
      </c>
      <c r="O51" s="466">
        <v>0</v>
      </c>
      <c r="P51" s="466">
        <v>0</v>
      </c>
      <c r="Q51" s="466">
        <v>0</v>
      </c>
      <c r="R51" s="466">
        <v>0</v>
      </c>
      <c r="S51" s="466">
        <v>2</v>
      </c>
      <c r="T51" s="466">
        <v>1</v>
      </c>
      <c r="U51" s="418" t="s">
        <v>917</v>
      </c>
      <c r="V51" s="418"/>
      <c r="W51" s="418"/>
      <c r="X51" s="418"/>
      <c r="Y51" s="418"/>
      <c r="Z51" s="418" t="s">
        <v>987</v>
      </c>
      <c r="AA51" s="418" t="s">
        <v>988</v>
      </c>
      <c r="AB51" s="592"/>
      <c r="AC51" s="594"/>
      <c r="AD51" s="594"/>
      <c r="AE51" s="594"/>
      <c r="AF51" s="594"/>
      <c r="AG51" s="594"/>
      <c r="AH51" s="594"/>
      <c r="AI51" s="594"/>
      <c r="AJ51" s="594"/>
      <c r="AK51" s="594"/>
      <c r="AL51" s="594"/>
      <c r="AM51" s="594"/>
      <c r="AN51" s="594"/>
      <c r="AO51" s="594"/>
      <c r="AP51" s="594"/>
      <c r="AQ51" s="594">
        <v>3</v>
      </c>
      <c r="AR51" s="594">
        <v>1</v>
      </c>
      <c r="AS51" s="594"/>
      <c r="AT51" s="594"/>
    </row>
    <row r="52" spans="1:46" x14ac:dyDescent="0.25">
      <c r="A52" s="470" t="s">
        <v>1784</v>
      </c>
      <c r="B52" s="466">
        <v>5</v>
      </c>
      <c r="C52" s="466">
        <v>0</v>
      </c>
      <c r="D52" s="466">
        <v>0</v>
      </c>
      <c r="E52" s="466">
        <v>0</v>
      </c>
      <c r="F52" s="466">
        <v>0</v>
      </c>
      <c r="G52" s="466">
        <v>1</v>
      </c>
      <c r="H52" s="502">
        <f>Table14[[#This Row],[Economy]]/Table14[[#This Row],[BP Cost]]</f>
        <v>0</v>
      </c>
      <c r="I52" s="502">
        <f>Table14[[#This Row],[Loyalty]]/Table14[[#This Row],[BP Cost]]</f>
        <v>0</v>
      </c>
      <c r="J52" s="502">
        <f>Table14[[#This Row],[Stability]]/Table14[[#This Row],[BP Cost]]</f>
        <v>0.2</v>
      </c>
      <c r="K52" s="466">
        <v>0</v>
      </c>
      <c r="L52" s="502">
        <f>Table14[[#This Row],[Unrest]]/Table14[[#This Row],[BP Cost]]</f>
        <v>0</v>
      </c>
      <c r="M52" s="466">
        <v>0</v>
      </c>
      <c r="N52" s="466">
        <v>0</v>
      </c>
      <c r="O52" s="466">
        <v>0</v>
      </c>
      <c r="P52" s="466">
        <v>-1</v>
      </c>
      <c r="Q52" s="466">
        <v>0</v>
      </c>
      <c r="R52" s="466">
        <v>0</v>
      </c>
      <c r="S52" s="466">
        <v>0</v>
      </c>
      <c r="T52" s="466">
        <v>0</v>
      </c>
      <c r="U52" s="418"/>
      <c r="V52" s="418"/>
      <c r="W52" s="418"/>
      <c r="X52" s="418"/>
      <c r="Y52" s="418" t="s">
        <v>1779</v>
      </c>
      <c r="Z52" s="418"/>
      <c r="AA52" s="418"/>
      <c r="AB52" s="592"/>
      <c r="AC52" s="594"/>
      <c r="AD52" s="594"/>
      <c r="AE52" s="594"/>
      <c r="AF52" s="594"/>
      <c r="AG52" s="594"/>
      <c r="AH52" s="594"/>
      <c r="AI52" s="594"/>
      <c r="AJ52" s="594"/>
      <c r="AK52" s="594"/>
      <c r="AL52" s="594"/>
      <c r="AM52" s="594"/>
      <c r="AN52" s="594"/>
      <c r="AO52" s="594"/>
      <c r="AP52" s="594"/>
      <c r="AQ52" s="594"/>
      <c r="AR52" s="594"/>
      <c r="AS52" s="594"/>
      <c r="AT52" s="594"/>
    </row>
    <row r="53" spans="1:46" ht="45" x14ac:dyDescent="0.25">
      <c r="A53" s="469" t="s">
        <v>355</v>
      </c>
      <c r="B53" s="465">
        <v>5</v>
      </c>
      <c r="C53" s="465">
        <v>0</v>
      </c>
      <c r="D53" s="465">
        <v>0</v>
      </c>
      <c r="E53" s="465">
        <v>0</v>
      </c>
      <c r="F53" s="465">
        <v>0</v>
      </c>
      <c r="G53" s="465">
        <v>0</v>
      </c>
      <c r="H53" s="501">
        <f>Table14[[#This Row],[Economy]]/Table14[[#This Row],[BP Cost]]</f>
        <v>0</v>
      </c>
      <c r="I53" s="501">
        <f>Table14[[#This Row],[Loyalty]]/Table14[[#This Row],[BP Cost]]</f>
        <v>0</v>
      </c>
      <c r="J53" s="501">
        <f>Table14[[#This Row],[Stability]]/Table14[[#This Row],[BP Cost]]</f>
        <v>0</v>
      </c>
      <c r="K53" s="465">
        <v>0</v>
      </c>
      <c r="L53" s="501">
        <f>Table14[[#This Row],[Unrest]]/Table14[[#This Row],[BP Cost]]</f>
        <v>0</v>
      </c>
      <c r="M53" s="465">
        <v>0</v>
      </c>
      <c r="N53" s="465">
        <v>0</v>
      </c>
      <c r="O53" s="465">
        <v>0</v>
      </c>
      <c r="P53" s="465">
        <v>-1</v>
      </c>
      <c r="Q53" s="465">
        <v>0</v>
      </c>
      <c r="R53" s="465">
        <v>0</v>
      </c>
      <c r="S53" s="465">
        <v>0</v>
      </c>
      <c r="T53" s="465">
        <v>0</v>
      </c>
      <c r="U53" s="417"/>
      <c r="V53" s="417"/>
      <c r="W53" s="417"/>
      <c r="X53" s="417" t="s">
        <v>989</v>
      </c>
      <c r="Y53" s="417" t="s">
        <v>990</v>
      </c>
      <c r="Z53" s="417"/>
      <c r="AA53" s="417" t="s">
        <v>991</v>
      </c>
      <c r="AB53" s="592"/>
      <c r="AC53" s="594"/>
      <c r="AD53" s="594"/>
      <c r="AE53" s="594"/>
      <c r="AF53" s="594"/>
      <c r="AG53" s="594"/>
      <c r="AH53" s="594"/>
      <c r="AI53" s="594"/>
      <c r="AJ53" s="594"/>
      <c r="AK53" s="594"/>
      <c r="AL53" s="594"/>
      <c r="AM53" s="594"/>
      <c r="AN53" s="594"/>
      <c r="AO53" s="594"/>
      <c r="AP53" s="594"/>
      <c r="AQ53" s="594"/>
      <c r="AR53" s="594"/>
      <c r="AS53" s="594"/>
      <c r="AT53" s="594"/>
    </row>
    <row r="54" spans="1:46" x14ac:dyDescent="0.25">
      <c r="A54" s="470" t="s">
        <v>23</v>
      </c>
      <c r="B54" s="466">
        <v>10</v>
      </c>
      <c r="C54" s="466">
        <v>30</v>
      </c>
      <c r="D54" s="466">
        <v>1</v>
      </c>
      <c r="E54" s="466">
        <v>0</v>
      </c>
      <c r="F54" s="466">
        <v>0</v>
      </c>
      <c r="G54" s="466">
        <v>1</v>
      </c>
      <c r="H54" s="502">
        <f>Table14[[#This Row],[Economy]]/Table14[[#This Row],[BP Cost]]</f>
        <v>0</v>
      </c>
      <c r="I54" s="502">
        <f>Table14[[#This Row],[Loyalty]]/Table14[[#This Row],[BP Cost]]</f>
        <v>0</v>
      </c>
      <c r="J54" s="502">
        <f>Table14[[#This Row],[Stability]]/Table14[[#This Row],[BP Cost]]</f>
        <v>0.1</v>
      </c>
      <c r="K54" s="466">
        <v>0</v>
      </c>
      <c r="L54" s="502">
        <f>Table14[[#This Row],[Unrest]]/Table14[[#This Row],[BP Cost]]</f>
        <v>0</v>
      </c>
      <c r="M54" s="466">
        <v>0</v>
      </c>
      <c r="N54" s="466">
        <v>0</v>
      </c>
      <c r="O54" s="466">
        <v>0</v>
      </c>
      <c r="P54" s="466">
        <v>0</v>
      </c>
      <c r="Q54" s="466">
        <v>0</v>
      </c>
      <c r="R54" s="466">
        <v>1</v>
      </c>
      <c r="S54" s="466">
        <v>0</v>
      </c>
      <c r="T54" s="466">
        <v>1</v>
      </c>
      <c r="U54" s="418"/>
      <c r="V54" s="418"/>
      <c r="W54" s="418" t="s">
        <v>27</v>
      </c>
      <c r="X54" s="418"/>
      <c r="Y54" s="418"/>
      <c r="Z54" s="418"/>
      <c r="AA54" s="418" t="s">
        <v>992</v>
      </c>
      <c r="AB54" s="592"/>
      <c r="AC54" s="594"/>
      <c r="AD54" s="594"/>
      <c r="AE54" s="594"/>
      <c r="AF54" s="594"/>
      <c r="AG54" s="594"/>
      <c r="AH54" s="594"/>
      <c r="AI54" s="594"/>
      <c r="AJ54" s="594"/>
      <c r="AK54" s="594"/>
      <c r="AL54" s="594"/>
      <c r="AM54" s="594"/>
      <c r="AN54" s="594"/>
      <c r="AO54" s="594"/>
      <c r="AP54" s="594"/>
      <c r="AQ54" s="594"/>
      <c r="AR54" s="594"/>
      <c r="AS54" s="594"/>
      <c r="AT54" s="594"/>
    </row>
    <row r="55" spans="1:46" x14ac:dyDescent="0.25">
      <c r="A55" s="469" t="s">
        <v>24</v>
      </c>
      <c r="B55" s="465">
        <v>48</v>
      </c>
      <c r="C55" s="465">
        <v>100</v>
      </c>
      <c r="D55" s="465">
        <v>2</v>
      </c>
      <c r="E55" s="465">
        <v>2</v>
      </c>
      <c r="F55" s="465">
        <v>0</v>
      </c>
      <c r="G55" s="465">
        <v>2</v>
      </c>
      <c r="H55" s="501">
        <f>Table14[[#This Row],[Economy]]/Table14[[#This Row],[BP Cost]]</f>
        <v>4.1666666666666664E-2</v>
      </c>
      <c r="I55" s="501">
        <f>Table14[[#This Row],[Loyalty]]/Table14[[#This Row],[BP Cost]]</f>
        <v>0</v>
      </c>
      <c r="J55" s="501">
        <f>Table14[[#This Row],[Stability]]/Table14[[#This Row],[BP Cost]]</f>
        <v>4.1666666666666664E-2</v>
      </c>
      <c r="K55" s="465">
        <v>0</v>
      </c>
      <c r="L55" s="501">
        <f>Table14[[#This Row],[Unrest]]/Table14[[#This Row],[BP Cost]]</f>
        <v>0</v>
      </c>
      <c r="M55" s="465">
        <v>0</v>
      </c>
      <c r="N55" s="465">
        <v>0</v>
      </c>
      <c r="O55" s="465">
        <v>0</v>
      </c>
      <c r="P55" s="465">
        <v>0</v>
      </c>
      <c r="Q55" s="465">
        <v>0</v>
      </c>
      <c r="R55" s="465">
        <v>0</v>
      </c>
      <c r="S55" s="465">
        <v>0</v>
      </c>
      <c r="T55" s="465">
        <v>0</v>
      </c>
      <c r="U55" s="417" t="s">
        <v>993</v>
      </c>
      <c r="V55" s="417" t="s">
        <v>30</v>
      </c>
      <c r="W55" s="417"/>
      <c r="X55" s="417" t="s">
        <v>931</v>
      </c>
      <c r="Y55" s="417" t="s">
        <v>932</v>
      </c>
      <c r="Z55" s="417"/>
      <c r="AA55" s="417" t="s">
        <v>994</v>
      </c>
      <c r="AB55" s="592"/>
      <c r="AC55" s="594"/>
      <c r="AD55" s="594">
        <v>2000</v>
      </c>
      <c r="AE55" s="594"/>
      <c r="AF55" s="594"/>
      <c r="AG55" s="594"/>
      <c r="AH55" s="594"/>
      <c r="AI55" s="594"/>
      <c r="AJ55" s="594"/>
      <c r="AK55" s="594"/>
      <c r="AL55" s="594"/>
      <c r="AM55" s="594"/>
      <c r="AN55" s="594">
        <v>2</v>
      </c>
      <c r="AO55" s="594"/>
      <c r="AP55" s="594"/>
      <c r="AQ55" s="594"/>
      <c r="AR55" s="594"/>
      <c r="AS55" s="594"/>
      <c r="AT55" s="594"/>
    </row>
    <row r="56" spans="1:46" ht="30" x14ac:dyDescent="0.25">
      <c r="A56" s="470" t="s">
        <v>341</v>
      </c>
      <c r="B56" s="466">
        <v>16</v>
      </c>
      <c r="C56" s="466">
        <v>100</v>
      </c>
      <c r="D56" s="466">
        <v>4</v>
      </c>
      <c r="E56" s="466">
        <v>1</v>
      </c>
      <c r="F56" s="466">
        <v>0</v>
      </c>
      <c r="G56" s="466">
        <v>0</v>
      </c>
      <c r="H56" s="502">
        <f>Table14[[#This Row],[Economy]]/Table14[[#This Row],[BP Cost]]</f>
        <v>6.25E-2</v>
      </c>
      <c r="I56" s="502">
        <f>Table14[[#This Row],[Loyalty]]/Table14[[#This Row],[BP Cost]]</f>
        <v>0</v>
      </c>
      <c r="J56" s="502">
        <f>Table14[[#This Row],[Stability]]/Table14[[#This Row],[BP Cost]]</f>
        <v>0</v>
      </c>
      <c r="K56" s="466">
        <v>0</v>
      </c>
      <c r="L56" s="502">
        <f>Table14[[#This Row],[Unrest]]/Table14[[#This Row],[BP Cost]]</f>
        <v>0</v>
      </c>
      <c r="M56" s="466">
        <v>1</v>
      </c>
      <c r="N56" s="466">
        <v>0</v>
      </c>
      <c r="O56" s="466">
        <v>0</v>
      </c>
      <c r="P56" s="466">
        <v>0</v>
      </c>
      <c r="Q56" s="466">
        <v>0</v>
      </c>
      <c r="R56" s="466">
        <v>0</v>
      </c>
      <c r="S56" s="466">
        <v>0</v>
      </c>
      <c r="T56" s="466">
        <v>0</v>
      </c>
      <c r="U56" s="418"/>
      <c r="V56" s="418"/>
      <c r="W56" s="418"/>
      <c r="X56" s="418"/>
      <c r="Y56" s="418" t="s">
        <v>995</v>
      </c>
      <c r="Z56" s="418"/>
      <c r="AA56" s="418" t="s">
        <v>996</v>
      </c>
      <c r="AB56" s="592"/>
      <c r="AC56" s="594"/>
      <c r="AD56" s="594"/>
      <c r="AE56" s="594"/>
      <c r="AF56" s="594"/>
      <c r="AG56" s="594"/>
      <c r="AH56" s="594"/>
      <c r="AI56" s="594"/>
      <c r="AJ56" s="594"/>
      <c r="AK56" s="594"/>
      <c r="AL56" s="594"/>
      <c r="AM56" s="594"/>
      <c r="AN56" s="594"/>
      <c r="AO56" s="594"/>
      <c r="AP56" s="594"/>
      <c r="AQ56" s="594"/>
      <c r="AR56" s="594"/>
      <c r="AS56" s="594"/>
      <c r="AT56" s="594"/>
    </row>
    <row r="57" spans="1:46" ht="30" x14ac:dyDescent="0.25">
      <c r="A57" s="469" t="s">
        <v>342</v>
      </c>
      <c r="B57" s="465">
        <v>36</v>
      </c>
      <c r="C57" s="465">
        <v>100</v>
      </c>
      <c r="D57" s="465">
        <v>2</v>
      </c>
      <c r="E57" s="465">
        <v>0</v>
      </c>
      <c r="F57" s="465">
        <v>2</v>
      </c>
      <c r="G57" s="465">
        <v>1</v>
      </c>
      <c r="H57" s="501">
        <f>Table14[[#This Row],[Economy]]/Table14[[#This Row],[BP Cost]]</f>
        <v>0</v>
      </c>
      <c r="I57" s="501">
        <f>Table14[[#This Row],[Loyalty]]/Table14[[#This Row],[BP Cost]]</f>
        <v>5.5555555555555552E-2</v>
      </c>
      <c r="J57" s="501">
        <f>Table14[[#This Row],[Stability]]/Table14[[#This Row],[BP Cost]]</f>
        <v>2.7777777777777776E-2</v>
      </c>
      <c r="K57" s="465">
        <v>0</v>
      </c>
      <c r="L57" s="501">
        <f>Table14[[#This Row],[Unrest]]/Table14[[#This Row],[BP Cost]]</f>
        <v>0</v>
      </c>
      <c r="M57" s="465">
        <v>1</v>
      </c>
      <c r="N57" s="465">
        <v>0</v>
      </c>
      <c r="O57" s="465">
        <v>0</v>
      </c>
      <c r="P57" s="465">
        <v>0</v>
      </c>
      <c r="Q57" s="465">
        <v>0</v>
      </c>
      <c r="R57" s="465">
        <v>1</v>
      </c>
      <c r="S57" s="465">
        <v>1</v>
      </c>
      <c r="T57" s="465">
        <v>0</v>
      </c>
      <c r="U57" s="417" t="s">
        <v>3</v>
      </c>
      <c r="V57" s="417"/>
      <c r="W57" s="417"/>
      <c r="X57" s="417" t="s">
        <v>923</v>
      </c>
      <c r="Y57" s="417" t="s">
        <v>997</v>
      </c>
      <c r="Z57" s="417" t="s">
        <v>998</v>
      </c>
      <c r="AA57" s="417" t="s">
        <v>999</v>
      </c>
      <c r="AB57" s="592"/>
      <c r="AC57" s="594"/>
      <c r="AD57" s="594"/>
      <c r="AE57" s="594"/>
      <c r="AF57" s="594"/>
      <c r="AG57" s="594"/>
      <c r="AH57" s="594"/>
      <c r="AI57" s="594"/>
      <c r="AJ57" s="594"/>
      <c r="AK57" s="594"/>
      <c r="AL57" s="594"/>
      <c r="AM57" s="594"/>
      <c r="AN57" s="594"/>
      <c r="AO57" s="594"/>
      <c r="AP57" s="594"/>
      <c r="AQ57" s="594"/>
      <c r="AR57" s="594"/>
      <c r="AS57" s="594">
        <v>1</v>
      </c>
      <c r="AT57" s="594">
        <v>1</v>
      </c>
    </row>
    <row r="58" spans="1:46" ht="45" x14ac:dyDescent="0.25">
      <c r="A58" s="470" t="s">
        <v>25</v>
      </c>
      <c r="B58" s="466">
        <v>6</v>
      </c>
      <c r="C58" s="466">
        <v>20</v>
      </c>
      <c r="D58" s="466">
        <v>1</v>
      </c>
      <c r="E58" s="466">
        <v>1</v>
      </c>
      <c r="F58" s="466">
        <v>0</v>
      </c>
      <c r="G58" s="466">
        <v>1</v>
      </c>
      <c r="H58" s="502">
        <f>Table14[[#This Row],[Economy]]/Table14[[#This Row],[BP Cost]]</f>
        <v>0.16666666666666666</v>
      </c>
      <c r="I58" s="502">
        <f>Table14[[#This Row],[Loyalty]]/Table14[[#This Row],[BP Cost]]</f>
        <v>0</v>
      </c>
      <c r="J58" s="502">
        <f>Table14[[#This Row],[Stability]]/Table14[[#This Row],[BP Cost]]</f>
        <v>0.16666666666666666</v>
      </c>
      <c r="K58" s="466">
        <v>0</v>
      </c>
      <c r="L58" s="502">
        <f>Table14[[#This Row],[Unrest]]/Table14[[#This Row],[BP Cost]]</f>
        <v>0</v>
      </c>
      <c r="M58" s="466">
        <v>0</v>
      </c>
      <c r="N58" s="466">
        <v>0</v>
      </c>
      <c r="O58" s="466">
        <v>0</v>
      </c>
      <c r="P58" s="466">
        <v>0</v>
      </c>
      <c r="Q58" s="466">
        <v>1</v>
      </c>
      <c r="R58" s="466">
        <v>0</v>
      </c>
      <c r="S58" s="466">
        <v>0</v>
      </c>
      <c r="T58" s="466">
        <v>0</v>
      </c>
      <c r="U58" s="418"/>
      <c r="V58" s="418"/>
      <c r="W58" s="418"/>
      <c r="X58" s="418" t="s">
        <v>964</v>
      </c>
      <c r="Y58" s="418" t="s">
        <v>1000</v>
      </c>
      <c r="Z58" s="418"/>
      <c r="AA58" s="418" t="s">
        <v>1001</v>
      </c>
      <c r="AB58" s="592"/>
      <c r="AC58" s="594"/>
      <c r="AD58" s="594"/>
      <c r="AE58" s="594"/>
      <c r="AF58" s="594"/>
      <c r="AG58" s="594"/>
      <c r="AH58" s="594"/>
      <c r="AI58" s="594"/>
      <c r="AJ58" s="594"/>
      <c r="AK58" s="594"/>
      <c r="AL58" s="594"/>
      <c r="AM58" s="594"/>
      <c r="AN58" s="594"/>
      <c r="AO58" s="594"/>
      <c r="AP58" s="594"/>
      <c r="AQ58" s="594"/>
      <c r="AR58" s="594"/>
      <c r="AS58" s="594"/>
      <c r="AT58" s="594"/>
    </row>
    <row r="59" spans="1:46" x14ac:dyDescent="0.25">
      <c r="A59" s="469" t="s">
        <v>343</v>
      </c>
      <c r="B59" s="465">
        <v>30</v>
      </c>
      <c r="C59" s="465">
        <v>10</v>
      </c>
      <c r="D59" s="465">
        <v>1</v>
      </c>
      <c r="E59" s="465">
        <v>3</v>
      </c>
      <c r="F59" s="465">
        <v>3</v>
      </c>
      <c r="G59" s="465">
        <v>1</v>
      </c>
      <c r="H59" s="501">
        <f>Table14[[#This Row],[Economy]]/Table14[[#This Row],[BP Cost]]</f>
        <v>0.1</v>
      </c>
      <c r="I59" s="501">
        <f>Table14[[#This Row],[Loyalty]]/Table14[[#This Row],[BP Cost]]</f>
        <v>0.1</v>
      </c>
      <c r="J59" s="501">
        <f>Table14[[#This Row],[Stability]]/Table14[[#This Row],[BP Cost]]</f>
        <v>3.3333333333333333E-2</v>
      </c>
      <c r="K59" s="465">
        <v>0</v>
      </c>
      <c r="L59" s="501">
        <f>Table14[[#This Row],[Unrest]]/Table14[[#This Row],[BP Cost]]</f>
        <v>0</v>
      </c>
      <c r="M59" s="465">
        <v>1</v>
      </c>
      <c r="N59" s="465">
        <v>0</v>
      </c>
      <c r="O59" s="465">
        <v>0</v>
      </c>
      <c r="P59" s="465">
        <v>0</v>
      </c>
      <c r="Q59" s="465">
        <v>0</v>
      </c>
      <c r="R59" s="465">
        <v>0</v>
      </c>
      <c r="S59" s="465">
        <v>0</v>
      </c>
      <c r="T59" s="465">
        <v>0</v>
      </c>
      <c r="U59" s="417"/>
      <c r="V59" s="417"/>
      <c r="W59" s="417"/>
      <c r="X59" s="417"/>
      <c r="Y59" s="417"/>
      <c r="Z59" s="417"/>
      <c r="AA59" s="417" t="s">
        <v>1002</v>
      </c>
      <c r="AB59" s="592"/>
      <c r="AC59" s="594"/>
      <c r="AD59" s="594"/>
      <c r="AE59" s="594"/>
      <c r="AF59" s="594"/>
      <c r="AG59" s="594"/>
      <c r="AH59" s="594"/>
      <c r="AI59" s="594"/>
      <c r="AJ59" s="594"/>
      <c r="AK59" s="594"/>
      <c r="AL59" s="594"/>
      <c r="AM59" s="594"/>
      <c r="AN59" s="594"/>
      <c r="AO59" s="594"/>
      <c r="AP59" s="594"/>
      <c r="AQ59" s="594"/>
      <c r="AR59" s="594"/>
      <c r="AS59" s="594"/>
      <c r="AT59" s="594"/>
    </row>
    <row r="60" spans="1:46" ht="30" x14ac:dyDescent="0.25">
      <c r="A60" s="470" t="s">
        <v>252</v>
      </c>
      <c r="B60" s="466">
        <v>2</v>
      </c>
      <c r="C60" s="466">
        <v>0</v>
      </c>
      <c r="D60" s="466">
        <v>0</v>
      </c>
      <c r="E60" s="466">
        <v>0</v>
      </c>
      <c r="F60" s="466">
        <v>0</v>
      </c>
      <c r="G60" s="466">
        <v>0</v>
      </c>
      <c r="H60" s="502">
        <f>Table14[[#This Row],[Economy]]/Table14[[#This Row],[BP Cost]]</f>
        <v>0</v>
      </c>
      <c r="I60" s="502">
        <f>Table14[[#This Row],[Loyalty]]/Table14[[#This Row],[BP Cost]]</f>
        <v>0</v>
      </c>
      <c r="J60" s="502">
        <f>Table14[[#This Row],[Stability]]/Table14[[#This Row],[BP Cost]]</f>
        <v>0</v>
      </c>
      <c r="K60" s="466">
        <v>-1</v>
      </c>
      <c r="L60" s="502">
        <f>Table14[[#This Row],[Unrest]]/Table14[[#This Row],[BP Cost]]</f>
        <v>-0.5</v>
      </c>
      <c r="M60" s="466">
        <v>0</v>
      </c>
      <c r="N60" s="466">
        <v>0</v>
      </c>
      <c r="O60" s="466">
        <v>0</v>
      </c>
      <c r="P60" s="466">
        <v>0</v>
      </c>
      <c r="Q60" s="466">
        <v>0</v>
      </c>
      <c r="R60" s="466">
        <v>0</v>
      </c>
      <c r="S60" s="466">
        <v>0</v>
      </c>
      <c r="T60" s="466">
        <v>0</v>
      </c>
      <c r="U60" s="418"/>
      <c r="V60" s="418"/>
      <c r="W60" s="418"/>
      <c r="X60" s="418" t="s">
        <v>951</v>
      </c>
      <c r="Y60" s="418" t="s">
        <v>1003</v>
      </c>
      <c r="Z60" s="418"/>
      <c r="AA60" s="418" t="s">
        <v>1004</v>
      </c>
      <c r="AB60" s="592"/>
      <c r="AC60" s="594">
        <v>1</v>
      </c>
      <c r="AD60" s="594"/>
      <c r="AE60" s="594"/>
      <c r="AF60" s="594"/>
      <c r="AG60" s="594"/>
      <c r="AH60" s="594"/>
      <c r="AI60" s="594"/>
      <c r="AJ60" s="594"/>
      <c r="AK60" s="594"/>
      <c r="AL60" s="594"/>
      <c r="AM60" s="594"/>
      <c r="AN60" s="594"/>
      <c r="AO60" s="594"/>
      <c r="AP60" s="594"/>
      <c r="AQ60" s="594"/>
      <c r="AR60" s="594"/>
      <c r="AS60" s="594"/>
      <c r="AT60" s="594"/>
    </row>
    <row r="61" spans="1:46" x14ac:dyDescent="0.25">
      <c r="A61" s="469" t="s">
        <v>232</v>
      </c>
      <c r="B61" s="465">
        <v>16</v>
      </c>
      <c r="C61" s="465">
        <v>50</v>
      </c>
      <c r="D61" s="465">
        <v>2</v>
      </c>
      <c r="E61" s="465">
        <v>0</v>
      </c>
      <c r="F61" s="465">
        <v>0</v>
      </c>
      <c r="G61" s="465">
        <v>1</v>
      </c>
      <c r="H61" s="501">
        <f>Table14[[#This Row],[Economy]]/Table14[[#This Row],[BP Cost]]</f>
        <v>0</v>
      </c>
      <c r="I61" s="501">
        <f>Table14[[#This Row],[Loyalty]]/Table14[[#This Row],[BP Cost]]</f>
        <v>0</v>
      </c>
      <c r="J61" s="501">
        <f>Table14[[#This Row],[Stability]]/Table14[[#This Row],[BP Cost]]</f>
        <v>6.25E-2</v>
      </c>
      <c r="K61" s="465">
        <v>0</v>
      </c>
      <c r="L61" s="501">
        <f>Table14[[#This Row],[Unrest]]/Table14[[#This Row],[BP Cost]]</f>
        <v>0</v>
      </c>
      <c r="M61" s="465">
        <v>0</v>
      </c>
      <c r="N61" s="465">
        <v>0</v>
      </c>
      <c r="O61" s="465">
        <v>0</v>
      </c>
      <c r="P61" s="465">
        <v>0</v>
      </c>
      <c r="Q61" s="465">
        <v>0</v>
      </c>
      <c r="R61" s="465">
        <v>1</v>
      </c>
      <c r="S61" s="465">
        <v>1</v>
      </c>
      <c r="T61" s="465">
        <v>0</v>
      </c>
      <c r="U61" s="417"/>
      <c r="V61" s="417"/>
      <c r="W61" s="417"/>
      <c r="X61" s="417"/>
      <c r="Y61" s="417"/>
      <c r="Z61" s="417"/>
      <c r="AA61" s="417" t="s">
        <v>1005</v>
      </c>
      <c r="AB61" s="592"/>
      <c r="AC61" s="594"/>
      <c r="AD61" s="594"/>
      <c r="AE61" s="594"/>
      <c r="AF61" s="594"/>
      <c r="AG61" s="594"/>
      <c r="AH61" s="594"/>
      <c r="AI61" s="594"/>
      <c r="AJ61" s="594"/>
      <c r="AK61" s="594"/>
      <c r="AL61" s="594"/>
      <c r="AM61" s="594"/>
      <c r="AN61" s="594"/>
      <c r="AO61" s="594"/>
      <c r="AP61" s="594"/>
      <c r="AQ61" s="594"/>
      <c r="AR61" s="594"/>
      <c r="AS61" s="594"/>
      <c r="AT61" s="594"/>
    </row>
    <row r="62" spans="1:46" x14ac:dyDescent="0.25">
      <c r="A62" s="470" t="s">
        <v>26</v>
      </c>
      <c r="B62" s="466">
        <v>6</v>
      </c>
      <c r="C62" s="466">
        <v>0</v>
      </c>
      <c r="D62" s="466">
        <v>1</v>
      </c>
      <c r="E62" s="466">
        <v>0</v>
      </c>
      <c r="F62" s="466">
        <v>1</v>
      </c>
      <c r="G62" s="466">
        <v>0</v>
      </c>
      <c r="H62" s="502">
        <f>Table14[[#This Row],[Economy]]/Table14[[#This Row],[BP Cost]]</f>
        <v>0</v>
      </c>
      <c r="I62" s="502">
        <f>Table14[[#This Row],[Loyalty]]/Table14[[#This Row],[BP Cost]]</f>
        <v>0.16666666666666666</v>
      </c>
      <c r="J62" s="502">
        <f>Table14[[#This Row],[Stability]]/Table14[[#This Row],[BP Cost]]</f>
        <v>0</v>
      </c>
      <c r="K62" s="466">
        <v>-1</v>
      </c>
      <c r="L62" s="502">
        <f>Table14[[#This Row],[Unrest]]/Table14[[#This Row],[BP Cost]]</f>
        <v>-0.16666666666666666</v>
      </c>
      <c r="M62" s="466">
        <v>0</v>
      </c>
      <c r="N62" s="466">
        <v>0</v>
      </c>
      <c r="O62" s="466">
        <v>0</v>
      </c>
      <c r="P62" s="466">
        <v>0</v>
      </c>
      <c r="Q62" s="466">
        <v>0</v>
      </c>
      <c r="R62" s="466">
        <v>0</v>
      </c>
      <c r="S62" s="466">
        <v>0</v>
      </c>
      <c r="T62" s="466">
        <v>0</v>
      </c>
      <c r="U62" s="418"/>
      <c r="V62" s="418"/>
      <c r="W62" s="418"/>
      <c r="X62" s="418"/>
      <c r="Y62" s="418"/>
      <c r="Z62" s="418"/>
      <c r="AA62" s="418" t="s">
        <v>1006</v>
      </c>
      <c r="AB62" s="592"/>
      <c r="AC62" s="594"/>
      <c r="AD62" s="594"/>
      <c r="AE62" s="594"/>
      <c r="AF62" s="594"/>
      <c r="AG62" s="594"/>
      <c r="AH62" s="594"/>
      <c r="AI62" s="594"/>
      <c r="AJ62" s="594"/>
      <c r="AK62" s="594"/>
      <c r="AL62" s="594"/>
      <c r="AM62" s="594"/>
      <c r="AN62" s="594"/>
      <c r="AO62" s="594"/>
      <c r="AP62" s="594"/>
      <c r="AQ62" s="594"/>
      <c r="AR62" s="594"/>
      <c r="AS62" s="594"/>
      <c r="AT62" s="594"/>
    </row>
    <row r="63" spans="1:46" ht="45" x14ac:dyDescent="0.25">
      <c r="A63" s="469" t="s">
        <v>344</v>
      </c>
      <c r="B63" s="465">
        <v>30</v>
      </c>
      <c r="C63" s="465">
        <v>20</v>
      </c>
      <c r="D63" s="465">
        <v>2</v>
      </c>
      <c r="E63" s="465">
        <v>1</v>
      </c>
      <c r="F63" s="465">
        <v>1</v>
      </c>
      <c r="G63" s="465">
        <v>0</v>
      </c>
      <c r="H63" s="501">
        <f>Table14[[#This Row],[Economy]]/Table14[[#This Row],[BP Cost]]</f>
        <v>3.3333333333333333E-2</v>
      </c>
      <c r="I63" s="501">
        <f>Table14[[#This Row],[Loyalty]]/Table14[[#This Row],[BP Cost]]</f>
        <v>3.3333333333333333E-2</v>
      </c>
      <c r="J63" s="501">
        <f>Table14[[#This Row],[Stability]]/Table14[[#This Row],[BP Cost]]</f>
        <v>0</v>
      </c>
      <c r="K63" s="465">
        <v>0</v>
      </c>
      <c r="L63" s="501">
        <f>Table14[[#This Row],[Unrest]]/Table14[[#This Row],[BP Cost]]</f>
        <v>0</v>
      </c>
      <c r="M63" s="465">
        <v>1</v>
      </c>
      <c r="N63" s="465">
        <v>0</v>
      </c>
      <c r="O63" s="465">
        <v>0</v>
      </c>
      <c r="P63" s="465">
        <v>0</v>
      </c>
      <c r="Q63" s="465">
        <v>0</v>
      </c>
      <c r="R63" s="465">
        <v>0</v>
      </c>
      <c r="S63" s="465">
        <v>2</v>
      </c>
      <c r="T63" s="465">
        <v>1</v>
      </c>
      <c r="U63" s="417"/>
      <c r="V63" s="417"/>
      <c r="W63" s="417"/>
      <c r="X63" s="417"/>
      <c r="Y63" s="417"/>
      <c r="Z63" s="417"/>
      <c r="AA63" s="417" t="s">
        <v>1007</v>
      </c>
      <c r="AB63" s="592"/>
      <c r="AC63" s="594"/>
      <c r="AD63" s="594"/>
      <c r="AE63" s="594"/>
      <c r="AF63" s="594"/>
      <c r="AG63" s="594"/>
      <c r="AH63" s="594"/>
      <c r="AI63" s="594"/>
      <c r="AJ63" s="594"/>
      <c r="AK63" s="594"/>
      <c r="AL63" s="594"/>
      <c r="AM63" s="594"/>
      <c r="AN63" s="594"/>
      <c r="AO63" s="594"/>
      <c r="AP63" s="594"/>
      <c r="AQ63" s="594"/>
      <c r="AR63" s="594"/>
      <c r="AS63" s="594"/>
      <c r="AT63" s="594"/>
    </row>
    <row r="64" spans="1:46" x14ac:dyDescent="0.25">
      <c r="A64" s="470" t="s">
        <v>27</v>
      </c>
      <c r="B64" s="466">
        <v>24</v>
      </c>
      <c r="C64" s="466">
        <v>50</v>
      </c>
      <c r="D64" s="466">
        <v>2</v>
      </c>
      <c r="E64" s="466">
        <v>1</v>
      </c>
      <c r="F64" s="466">
        <v>1</v>
      </c>
      <c r="G64" s="466">
        <v>1</v>
      </c>
      <c r="H64" s="502">
        <f>Table14[[#This Row],[Economy]]/Table14[[#This Row],[BP Cost]]</f>
        <v>4.1666666666666664E-2</v>
      </c>
      <c r="I64" s="502">
        <f>Table14[[#This Row],[Loyalty]]/Table14[[#This Row],[BP Cost]]</f>
        <v>4.1666666666666664E-2</v>
      </c>
      <c r="J64" s="502">
        <f>Table14[[#This Row],[Stability]]/Table14[[#This Row],[BP Cost]]</f>
        <v>4.1666666666666664E-2</v>
      </c>
      <c r="K64" s="466">
        <v>0</v>
      </c>
      <c r="L64" s="502">
        <f>Table14[[#This Row],[Unrest]]/Table14[[#This Row],[BP Cost]]</f>
        <v>0</v>
      </c>
      <c r="M64" s="466">
        <v>1</v>
      </c>
      <c r="N64" s="466">
        <v>0</v>
      </c>
      <c r="O64" s="466">
        <v>0</v>
      </c>
      <c r="P64" s="466">
        <v>0</v>
      </c>
      <c r="Q64" s="466">
        <v>0</v>
      </c>
      <c r="R64" s="466">
        <v>0</v>
      </c>
      <c r="S64" s="466">
        <v>0</v>
      </c>
      <c r="T64" s="466">
        <v>1</v>
      </c>
      <c r="U64" s="418" t="s">
        <v>1008</v>
      </c>
      <c r="V64" s="418" t="s">
        <v>23</v>
      </c>
      <c r="W64" s="418"/>
      <c r="X64" s="418"/>
      <c r="Y64" s="418"/>
      <c r="Z64" s="418"/>
      <c r="AA64" s="418" t="s">
        <v>1009</v>
      </c>
      <c r="AB64" s="592"/>
      <c r="AC64" s="594"/>
      <c r="AD64" s="594"/>
      <c r="AE64" s="594"/>
      <c r="AF64" s="594"/>
      <c r="AG64" s="594"/>
      <c r="AH64" s="594"/>
      <c r="AI64" s="594"/>
      <c r="AJ64" s="594"/>
      <c r="AK64" s="594"/>
      <c r="AL64" s="594"/>
      <c r="AM64" s="594"/>
      <c r="AN64" s="594"/>
      <c r="AO64" s="594"/>
      <c r="AP64" s="594"/>
      <c r="AQ64" s="594"/>
      <c r="AR64" s="594"/>
      <c r="AS64" s="594"/>
      <c r="AT64" s="594"/>
    </row>
    <row r="65" spans="1:49" x14ac:dyDescent="0.25">
      <c r="A65" s="469" t="s">
        <v>345</v>
      </c>
      <c r="B65" s="465">
        <v>12</v>
      </c>
      <c r="C65" s="465">
        <v>10</v>
      </c>
      <c r="D65" s="465">
        <v>1</v>
      </c>
      <c r="E65" s="465">
        <v>0</v>
      </c>
      <c r="F65" s="465">
        <v>0</v>
      </c>
      <c r="G65" s="465">
        <v>1</v>
      </c>
      <c r="H65" s="501">
        <f>Table14[[#This Row],[Economy]]/Table14[[#This Row],[BP Cost]]</f>
        <v>0</v>
      </c>
      <c r="I65" s="501">
        <f>Table14[[#This Row],[Loyalty]]/Table14[[#This Row],[BP Cost]]</f>
        <v>0</v>
      </c>
      <c r="J65" s="501">
        <f>Table14[[#This Row],[Stability]]/Table14[[#This Row],[BP Cost]]</f>
        <v>8.3333333333333329E-2</v>
      </c>
      <c r="K65" s="465">
        <v>0</v>
      </c>
      <c r="L65" s="501">
        <f>Table14[[#This Row],[Unrest]]/Table14[[#This Row],[BP Cost]]</f>
        <v>0</v>
      </c>
      <c r="M65" s="465">
        <v>0</v>
      </c>
      <c r="N65" s="465">
        <v>0</v>
      </c>
      <c r="O65" s="465">
        <v>0</v>
      </c>
      <c r="P65" s="465">
        <v>0</v>
      </c>
      <c r="Q65" s="465">
        <v>0</v>
      </c>
      <c r="R65" s="465">
        <v>0</v>
      </c>
      <c r="S65" s="465">
        <v>2</v>
      </c>
      <c r="T65" s="465">
        <v>0</v>
      </c>
      <c r="U65" s="417"/>
      <c r="V65" s="417"/>
      <c r="W65" s="417"/>
      <c r="X65" s="417"/>
      <c r="Y65" s="417"/>
      <c r="Z65" s="417" t="s">
        <v>1010</v>
      </c>
      <c r="AA65" s="417" t="s">
        <v>1011</v>
      </c>
      <c r="AB65" s="592"/>
      <c r="AC65" s="594"/>
      <c r="AD65" s="594"/>
      <c r="AE65" s="594"/>
      <c r="AF65" s="594">
        <v>1</v>
      </c>
      <c r="AG65" s="594"/>
      <c r="AH65" s="594"/>
      <c r="AI65" s="594"/>
      <c r="AJ65" s="594"/>
      <c r="AK65" s="594"/>
      <c r="AL65" s="594"/>
      <c r="AM65" s="594"/>
      <c r="AN65" s="594"/>
      <c r="AO65" s="594"/>
      <c r="AP65" s="594"/>
      <c r="AQ65" s="594"/>
      <c r="AR65" s="594"/>
      <c r="AS65" s="594"/>
      <c r="AT65" s="594"/>
    </row>
    <row r="66" spans="1:49" x14ac:dyDescent="0.25">
      <c r="A66" s="470" t="s">
        <v>346</v>
      </c>
      <c r="B66" s="466">
        <v>6</v>
      </c>
      <c r="C66" s="466">
        <v>50</v>
      </c>
      <c r="D66" s="466">
        <v>1</v>
      </c>
      <c r="E66" s="466">
        <v>0</v>
      </c>
      <c r="F66" s="466">
        <v>0</v>
      </c>
      <c r="G66" s="466">
        <v>1</v>
      </c>
      <c r="H66" s="502">
        <f>Table14[[#This Row],[Economy]]/Table14[[#This Row],[BP Cost]]</f>
        <v>0</v>
      </c>
      <c r="I66" s="502">
        <f>Table14[[#This Row],[Loyalty]]/Table14[[#This Row],[BP Cost]]</f>
        <v>0</v>
      </c>
      <c r="J66" s="502">
        <f>Table14[[#This Row],[Stability]]/Table14[[#This Row],[BP Cost]]</f>
        <v>0.16666666666666666</v>
      </c>
      <c r="K66" s="466">
        <v>-1</v>
      </c>
      <c r="L66" s="502">
        <f>Table14[[#This Row],[Unrest]]/Table14[[#This Row],[BP Cost]]</f>
        <v>-0.16666666666666666</v>
      </c>
      <c r="M66" s="466">
        <v>0</v>
      </c>
      <c r="N66" s="466">
        <v>0</v>
      </c>
      <c r="O66" s="466">
        <v>0</v>
      </c>
      <c r="P66" s="466">
        <v>0</v>
      </c>
      <c r="Q66" s="466">
        <v>0</v>
      </c>
      <c r="R66" s="466">
        <v>0</v>
      </c>
      <c r="S66" s="466">
        <v>0</v>
      </c>
      <c r="T66" s="466">
        <v>0</v>
      </c>
      <c r="U66" s="418"/>
      <c r="V66" s="418"/>
      <c r="W66" s="418"/>
      <c r="X66" s="418"/>
      <c r="Y66" s="418"/>
      <c r="Z66" s="418"/>
      <c r="AA66" s="418" t="s">
        <v>1012</v>
      </c>
      <c r="AB66" s="592"/>
      <c r="AC66" s="594"/>
      <c r="AD66" s="594"/>
      <c r="AE66" s="594"/>
      <c r="AF66" s="594"/>
      <c r="AG66" s="594"/>
      <c r="AH66" s="594"/>
      <c r="AI66" s="594"/>
      <c r="AJ66" s="594"/>
      <c r="AK66" s="594"/>
      <c r="AL66" s="594"/>
      <c r="AM66" s="594"/>
      <c r="AN66" s="594"/>
      <c r="AO66" s="594"/>
      <c r="AP66" s="594"/>
      <c r="AQ66" s="594"/>
      <c r="AR66" s="594"/>
      <c r="AS66" s="594"/>
      <c r="AT66" s="594"/>
    </row>
    <row r="67" spans="1:49" ht="60" x14ac:dyDescent="0.25">
      <c r="A67" s="469" t="s">
        <v>347</v>
      </c>
      <c r="B67" s="465">
        <v>108</v>
      </c>
      <c r="C67" s="465">
        <v>200</v>
      </c>
      <c r="D67" s="465">
        <v>4</v>
      </c>
      <c r="E67" s="465">
        <v>2</v>
      </c>
      <c r="F67" s="465">
        <v>6</v>
      </c>
      <c r="G67" s="465">
        <v>2</v>
      </c>
      <c r="H67" s="501">
        <f>Table14[[#This Row],[Economy]]/Table14[[#This Row],[BP Cost]]</f>
        <v>1.8518518518518517E-2</v>
      </c>
      <c r="I67" s="501">
        <f>Table14[[#This Row],[Loyalty]]/Table14[[#This Row],[BP Cost]]</f>
        <v>5.5555555555555552E-2</v>
      </c>
      <c r="J67" s="501">
        <f>Table14[[#This Row],[Stability]]/Table14[[#This Row],[BP Cost]]</f>
        <v>1.8518518518518517E-2</v>
      </c>
      <c r="K67" s="465">
        <v>0</v>
      </c>
      <c r="L67" s="501">
        <f>Table14[[#This Row],[Unrest]]/Table14[[#This Row],[BP Cost]]</f>
        <v>0</v>
      </c>
      <c r="M67" s="465">
        <v>1</v>
      </c>
      <c r="N67" s="465">
        <v>0</v>
      </c>
      <c r="O67" s="465">
        <v>0</v>
      </c>
      <c r="P67" s="465">
        <v>0</v>
      </c>
      <c r="Q67" s="465">
        <v>0</v>
      </c>
      <c r="R67" s="465">
        <v>2</v>
      </c>
      <c r="S67" s="465">
        <v>0</v>
      </c>
      <c r="T67" s="465">
        <v>0</v>
      </c>
      <c r="U67" s="417" t="s">
        <v>1013</v>
      </c>
      <c r="V67" s="417"/>
      <c r="W67" s="417"/>
      <c r="X67" s="417"/>
      <c r="Y67" s="417" t="s">
        <v>1014</v>
      </c>
      <c r="Z67" s="417"/>
      <c r="AA67" s="417" t="s">
        <v>1015</v>
      </c>
      <c r="AB67" s="592"/>
      <c r="AC67" s="594"/>
      <c r="AD67" s="594">
        <v>1000</v>
      </c>
      <c r="AE67" s="594"/>
      <c r="AF67" s="594"/>
      <c r="AG67" s="594"/>
      <c r="AH67" s="594"/>
      <c r="AI67" s="594"/>
      <c r="AJ67" s="594"/>
      <c r="AK67" s="594"/>
      <c r="AL67" s="594"/>
      <c r="AM67" s="594"/>
      <c r="AN67" s="594"/>
      <c r="AO67" s="594"/>
      <c r="AP67" s="594"/>
      <c r="AQ67" s="594"/>
      <c r="AR67" s="594"/>
      <c r="AS67" s="594"/>
      <c r="AT67" s="594"/>
    </row>
    <row r="68" spans="1:49" x14ac:dyDescent="0.25">
      <c r="A68" s="470" t="s">
        <v>28</v>
      </c>
      <c r="B68" s="466">
        <v>4</v>
      </c>
      <c r="C68" s="466">
        <v>0</v>
      </c>
      <c r="D68" s="466">
        <v>1</v>
      </c>
      <c r="E68" s="466">
        <v>0</v>
      </c>
      <c r="F68" s="466">
        <v>1</v>
      </c>
      <c r="G68" s="466">
        <v>0</v>
      </c>
      <c r="H68" s="502">
        <f>Table14[[#This Row],[Economy]]/Table14[[#This Row],[BP Cost]]</f>
        <v>0</v>
      </c>
      <c r="I68" s="502">
        <f>Table14[[#This Row],[Loyalty]]/Table14[[#This Row],[BP Cost]]</f>
        <v>0.25</v>
      </c>
      <c r="J68" s="502">
        <f>Table14[[#This Row],[Stability]]/Table14[[#This Row],[BP Cost]]</f>
        <v>0</v>
      </c>
      <c r="K68" s="466">
        <v>-1</v>
      </c>
      <c r="L68" s="502">
        <f>Table14[[#This Row],[Unrest]]/Table14[[#This Row],[BP Cost]]</f>
        <v>-0.25</v>
      </c>
      <c r="M68" s="466">
        <v>0</v>
      </c>
      <c r="N68" s="466">
        <v>0</v>
      </c>
      <c r="O68" s="466">
        <v>0</v>
      </c>
      <c r="P68" s="466">
        <v>0</v>
      </c>
      <c r="Q68" s="466">
        <v>0</v>
      </c>
      <c r="R68" s="466">
        <v>0</v>
      </c>
      <c r="S68" s="466">
        <v>0</v>
      </c>
      <c r="T68" s="466">
        <v>0</v>
      </c>
      <c r="U68" s="418"/>
      <c r="V68" s="418"/>
      <c r="W68" s="418"/>
      <c r="X68" s="418"/>
      <c r="Y68" s="418"/>
      <c r="Z68" s="418"/>
      <c r="AA68" s="418" t="s">
        <v>1016</v>
      </c>
      <c r="AB68" s="592"/>
      <c r="AC68" s="594"/>
      <c r="AD68" s="594"/>
      <c r="AE68" s="594"/>
      <c r="AF68" s="594"/>
      <c r="AG68" s="594"/>
      <c r="AH68" s="594"/>
      <c r="AI68" s="594"/>
      <c r="AJ68" s="594"/>
      <c r="AK68" s="594"/>
      <c r="AL68" s="594"/>
      <c r="AM68" s="594"/>
      <c r="AN68" s="594"/>
      <c r="AO68" s="594"/>
      <c r="AP68" s="594"/>
      <c r="AQ68" s="594"/>
      <c r="AR68" s="594"/>
      <c r="AS68" s="594"/>
      <c r="AT68" s="594"/>
    </row>
    <row r="69" spans="1:49" x14ac:dyDescent="0.25">
      <c r="A69" s="469" t="s">
        <v>356</v>
      </c>
      <c r="B69" s="465">
        <v>24</v>
      </c>
      <c r="C69" s="465">
        <v>0</v>
      </c>
      <c r="D69" s="465">
        <v>0</v>
      </c>
      <c r="E69" s="465">
        <v>2</v>
      </c>
      <c r="F69" s="465">
        <v>0</v>
      </c>
      <c r="G69" s="465">
        <v>1</v>
      </c>
      <c r="H69" s="501">
        <f>Table14[[#This Row],[Economy]]/Table14[[#This Row],[BP Cost]]</f>
        <v>8.3333333333333329E-2</v>
      </c>
      <c r="I69" s="501">
        <f>Table14[[#This Row],[Loyalty]]/Table14[[#This Row],[BP Cost]]</f>
        <v>0</v>
      </c>
      <c r="J69" s="501">
        <f>Table14[[#This Row],[Stability]]/Table14[[#This Row],[BP Cost]]</f>
        <v>4.1666666666666664E-2</v>
      </c>
      <c r="K69" s="465">
        <v>0</v>
      </c>
      <c r="L69" s="501">
        <f>Table14[[#This Row],[Unrest]]/Table14[[#This Row],[BP Cost]]</f>
        <v>0</v>
      </c>
      <c r="M69" s="465">
        <v>0</v>
      </c>
      <c r="N69" s="465">
        <v>0</v>
      </c>
      <c r="O69" s="465">
        <v>0</v>
      </c>
      <c r="P69" s="465">
        <v>0</v>
      </c>
      <c r="Q69" s="465">
        <v>2</v>
      </c>
      <c r="R69" s="465">
        <v>0</v>
      </c>
      <c r="S69" s="465">
        <v>0</v>
      </c>
      <c r="T69" s="465">
        <v>0</v>
      </c>
      <c r="U69" s="417"/>
      <c r="V69" s="417"/>
      <c r="W69" s="417"/>
      <c r="X69" s="417" t="s">
        <v>1017</v>
      </c>
      <c r="Y69" s="417"/>
      <c r="Z69" s="417"/>
      <c r="AA69" s="417" t="s">
        <v>1018</v>
      </c>
      <c r="AB69" s="592"/>
      <c r="AC69" s="594"/>
      <c r="AD69" s="594"/>
      <c r="AE69" s="594"/>
      <c r="AF69" s="594"/>
      <c r="AG69" s="594"/>
      <c r="AH69" s="594"/>
      <c r="AI69" s="594"/>
      <c r="AJ69" s="594"/>
      <c r="AK69" s="594"/>
      <c r="AL69" s="594"/>
      <c r="AM69" s="594"/>
      <c r="AN69" s="594"/>
      <c r="AO69" s="594"/>
      <c r="AP69" s="594"/>
      <c r="AQ69" s="594"/>
      <c r="AR69" s="594"/>
      <c r="AS69" s="594"/>
      <c r="AT69" s="594"/>
    </row>
    <row r="70" spans="1:49" ht="45" x14ac:dyDescent="0.25">
      <c r="A70" s="469" t="s">
        <v>1780</v>
      </c>
      <c r="B70" s="465">
        <v>30</v>
      </c>
      <c r="C70" s="465">
        <v>0</v>
      </c>
      <c r="D70" s="465">
        <v>0</v>
      </c>
      <c r="E70" s="465">
        <v>2</v>
      </c>
      <c r="F70" s="465">
        <v>0</v>
      </c>
      <c r="G70" s="465">
        <v>0</v>
      </c>
      <c r="H70" s="501">
        <f>Table14[[#This Row],[Economy]]/Table14[[#This Row],[BP Cost]]</f>
        <v>6.6666666666666666E-2</v>
      </c>
      <c r="I70" s="501">
        <f>Table14[[#This Row],[Loyalty]]/Table14[[#This Row],[BP Cost]]</f>
        <v>0</v>
      </c>
      <c r="J70" s="501">
        <f>Table14[[#This Row],[Stability]]/Table14[[#This Row],[BP Cost]]</f>
        <v>0</v>
      </c>
      <c r="K70" s="465">
        <v>0</v>
      </c>
      <c r="L70" s="501">
        <f>Table14[[#This Row],[Unrest]]/Table14[[#This Row],[BP Cost]]</f>
        <v>0</v>
      </c>
      <c r="M70" s="465">
        <v>0</v>
      </c>
      <c r="N70" s="465">
        <v>0</v>
      </c>
      <c r="O70" s="465">
        <v>0</v>
      </c>
      <c r="P70" s="465">
        <v>0</v>
      </c>
      <c r="Q70" s="465">
        <v>1</v>
      </c>
      <c r="R70" s="465">
        <v>0</v>
      </c>
      <c r="S70" s="465">
        <v>0</v>
      </c>
      <c r="T70" s="465">
        <v>0</v>
      </c>
      <c r="U70" s="417"/>
      <c r="V70" s="417"/>
      <c r="W70" s="417"/>
      <c r="X70" s="417"/>
      <c r="Y70" s="417" t="s">
        <v>1781</v>
      </c>
      <c r="Z70" s="417"/>
      <c r="AA70" s="417"/>
      <c r="AB70" s="592"/>
      <c r="AC70" s="594"/>
      <c r="AD70" s="594"/>
      <c r="AE70" s="594"/>
      <c r="AF70" s="594"/>
      <c r="AG70" s="594"/>
      <c r="AH70" s="594"/>
      <c r="AI70" s="594"/>
      <c r="AJ70" s="594"/>
      <c r="AK70" s="594"/>
      <c r="AL70" s="594"/>
      <c r="AM70" s="594"/>
      <c r="AN70" s="594"/>
      <c r="AO70" s="594"/>
      <c r="AP70" s="594"/>
      <c r="AQ70" s="594"/>
      <c r="AR70" s="594"/>
      <c r="AS70" s="594"/>
      <c r="AT70" s="594"/>
    </row>
    <row r="71" spans="1:49" x14ac:dyDescent="0.25">
      <c r="A71" s="470" t="s">
        <v>348</v>
      </c>
      <c r="B71" s="466">
        <v>16</v>
      </c>
      <c r="C71" s="466">
        <v>20</v>
      </c>
      <c r="D71" s="466">
        <v>1</v>
      </c>
      <c r="E71" s="466">
        <v>1</v>
      </c>
      <c r="F71" s="466">
        <v>0</v>
      </c>
      <c r="G71" s="466">
        <v>1</v>
      </c>
      <c r="H71" s="502">
        <f>Table14[[#This Row],[Economy]]/Table14[[#This Row],[BP Cost]]</f>
        <v>6.25E-2</v>
      </c>
      <c r="I71" s="502">
        <f>Table14[[#This Row],[Loyalty]]/Table14[[#This Row],[BP Cost]]</f>
        <v>0</v>
      </c>
      <c r="J71" s="502">
        <f>Table14[[#This Row],[Stability]]/Table14[[#This Row],[BP Cost]]</f>
        <v>6.25E-2</v>
      </c>
      <c r="K71" s="466">
        <v>0</v>
      </c>
      <c r="L71" s="502">
        <f>Table14[[#This Row],[Unrest]]/Table14[[#This Row],[BP Cost]]</f>
        <v>0</v>
      </c>
      <c r="M71" s="466">
        <v>0</v>
      </c>
      <c r="N71" s="466">
        <v>0</v>
      </c>
      <c r="O71" s="466">
        <v>0</v>
      </c>
      <c r="P71" s="466">
        <v>1</v>
      </c>
      <c r="Q71" s="466">
        <v>0</v>
      </c>
      <c r="R71" s="466">
        <v>0</v>
      </c>
      <c r="S71" s="466">
        <v>0</v>
      </c>
      <c r="T71" s="466">
        <v>0</v>
      </c>
      <c r="U71" s="418"/>
      <c r="V71" s="418"/>
      <c r="W71" s="418" t="s">
        <v>42</v>
      </c>
      <c r="X71" s="418" t="s">
        <v>964</v>
      </c>
      <c r="Y71" s="418" t="s">
        <v>972</v>
      </c>
      <c r="Z71" s="418"/>
      <c r="AA71" s="418" t="s">
        <v>1019</v>
      </c>
      <c r="AB71" s="592"/>
      <c r="AC71" s="594"/>
      <c r="AD71" s="594">
        <v>1000</v>
      </c>
      <c r="AE71" s="594"/>
      <c r="AF71" s="594"/>
      <c r="AG71" s="594"/>
      <c r="AH71" s="594"/>
      <c r="AI71" s="594"/>
      <c r="AJ71" s="594"/>
      <c r="AK71" s="594"/>
      <c r="AL71" s="594"/>
      <c r="AM71" s="594"/>
      <c r="AN71" s="594"/>
      <c r="AO71" s="594"/>
      <c r="AP71" s="594"/>
      <c r="AQ71" s="594"/>
      <c r="AR71" s="594"/>
      <c r="AS71" s="594"/>
      <c r="AT71" s="594"/>
    </row>
    <row r="72" spans="1:49" ht="45" x14ac:dyDescent="0.25">
      <c r="A72" s="470" t="s">
        <v>1782</v>
      </c>
      <c r="B72" s="466">
        <v>50</v>
      </c>
      <c r="C72" s="466">
        <v>0</v>
      </c>
      <c r="D72" s="466">
        <v>0</v>
      </c>
      <c r="E72" s="466">
        <v>0</v>
      </c>
      <c r="F72" s="466">
        <v>0</v>
      </c>
      <c r="G72" s="466">
        <v>0</v>
      </c>
      <c r="H72" s="502">
        <f>Table14[[#This Row],[Economy]]/Table14[[#This Row],[BP Cost]]</f>
        <v>0</v>
      </c>
      <c r="I72" s="502">
        <f>Table14[[#This Row],[Loyalty]]/Table14[[#This Row],[BP Cost]]</f>
        <v>0</v>
      </c>
      <c r="J72" s="502">
        <f>Table14[[#This Row],[Stability]]/Table14[[#This Row],[BP Cost]]</f>
        <v>0</v>
      </c>
      <c r="K72" s="466">
        <v>0</v>
      </c>
      <c r="L72" s="502">
        <f>Table14[[#This Row],[Unrest]]/Table14[[#This Row],[BP Cost]]</f>
        <v>0</v>
      </c>
      <c r="M72" s="466">
        <v>0</v>
      </c>
      <c r="N72" s="466">
        <v>0</v>
      </c>
      <c r="O72" s="466">
        <v>1</v>
      </c>
      <c r="P72" s="466">
        <v>0</v>
      </c>
      <c r="Q72" s="466">
        <v>0</v>
      </c>
      <c r="R72" s="466">
        <v>1</v>
      </c>
      <c r="S72" s="466">
        <v>0</v>
      </c>
      <c r="T72" s="466">
        <v>0</v>
      </c>
      <c r="U72" s="418"/>
      <c r="V72" s="418"/>
      <c r="W72" s="418"/>
      <c r="X72" s="418"/>
      <c r="Y72" s="418" t="s">
        <v>1783</v>
      </c>
      <c r="Z72" s="418"/>
      <c r="AA72" s="418"/>
      <c r="AB72" s="592"/>
      <c r="AC72" s="594"/>
      <c r="AD72" s="594"/>
      <c r="AE72" s="594"/>
      <c r="AF72" s="594"/>
      <c r="AG72" s="594"/>
      <c r="AH72" s="594"/>
      <c r="AI72" s="594"/>
      <c r="AJ72" s="594"/>
      <c r="AK72" s="594"/>
      <c r="AL72" s="594"/>
      <c r="AM72" s="594"/>
      <c r="AN72" s="594"/>
      <c r="AO72" s="594"/>
      <c r="AP72" s="594"/>
      <c r="AQ72" s="594"/>
      <c r="AR72" s="594"/>
      <c r="AS72" s="594"/>
      <c r="AT72" s="594"/>
    </row>
    <row r="73" spans="1:49" ht="60" x14ac:dyDescent="0.25">
      <c r="A73" s="470" t="s">
        <v>1241</v>
      </c>
      <c r="B73" s="466">
        <v>12</v>
      </c>
      <c r="C73" s="466">
        <v>10</v>
      </c>
      <c r="D73" s="466">
        <v>1</v>
      </c>
      <c r="E73" s="466">
        <v>1</v>
      </c>
      <c r="F73" s="466">
        <v>0</v>
      </c>
      <c r="G73" s="466">
        <v>1</v>
      </c>
      <c r="H73" s="502">
        <f>Table14[[#This Row],[Economy]]/Table14[[#This Row],[BP Cost]]</f>
        <v>8.3333333333333329E-2</v>
      </c>
      <c r="I73" s="502">
        <f>Table14[[#This Row],[Loyalty]]/Table14[[#This Row],[BP Cost]]</f>
        <v>0</v>
      </c>
      <c r="J73" s="502">
        <f>Table14[[#This Row],[Stability]]/Table14[[#This Row],[BP Cost]]</f>
        <v>8.3333333333333329E-2</v>
      </c>
      <c r="K73" s="466">
        <v>-1</v>
      </c>
      <c r="L73" s="502">
        <f>Table14[[#This Row],[Unrest]]/Table14[[#This Row],[BP Cost]]</f>
        <v>-8.3333333333333329E-2</v>
      </c>
      <c r="M73" s="466">
        <v>0</v>
      </c>
      <c r="N73" s="466">
        <v>0</v>
      </c>
      <c r="O73" s="466">
        <v>0</v>
      </c>
      <c r="P73" s="466">
        <v>0</v>
      </c>
      <c r="Q73" s="466">
        <v>0</v>
      </c>
      <c r="R73" s="466">
        <v>0</v>
      </c>
      <c r="S73" s="466">
        <v>0</v>
      </c>
      <c r="T73" s="466">
        <v>-1</v>
      </c>
      <c r="U73" s="418"/>
      <c r="V73" s="418"/>
      <c r="W73" s="418"/>
      <c r="X73" s="418" t="s">
        <v>1242</v>
      </c>
      <c r="Y73" s="509" t="s">
        <v>1243</v>
      </c>
      <c r="Z73" s="418"/>
      <c r="AA73" s="418"/>
      <c r="AB73" s="592"/>
      <c r="AC73" s="594"/>
      <c r="AD73" s="594"/>
      <c r="AE73" s="594"/>
      <c r="AF73" s="594"/>
      <c r="AG73" s="594"/>
      <c r="AH73" s="594"/>
      <c r="AI73" s="594"/>
      <c r="AJ73" s="594">
        <v>1</v>
      </c>
      <c r="AK73" s="594"/>
      <c r="AL73" s="594"/>
      <c r="AM73" s="594"/>
      <c r="AN73" s="594"/>
      <c r="AO73" s="594"/>
      <c r="AP73" s="594"/>
      <c r="AQ73" s="594"/>
      <c r="AR73" s="594"/>
      <c r="AS73" s="594"/>
      <c r="AT73" s="594"/>
    </row>
    <row r="74" spans="1:49" s="585" customFormat="1" x14ac:dyDescent="0.25">
      <c r="A74" s="581" t="s">
        <v>357</v>
      </c>
      <c r="B74" s="582">
        <v>24</v>
      </c>
      <c r="C74" s="582">
        <v>0</v>
      </c>
      <c r="D74" s="582">
        <v>0</v>
      </c>
      <c r="E74" s="582">
        <v>0</v>
      </c>
      <c r="F74" s="582">
        <v>1</v>
      </c>
      <c r="G74" s="582">
        <v>2</v>
      </c>
      <c r="H74" s="583">
        <f>Table14[[#This Row],[Economy]]/Table14[[#This Row],[BP Cost]]</f>
        <v>0</v>
      </c>
      <c r="I74" s="583">
        <f>Table14[[#This Row],[Loyalty]]/Table14[[#This Row],[BP Cost]]</f>
        <v>4.1666666666666664E-2</v>
      </c>
      <c r="J74" s="583">
        <f>Table14[[#This Row],[Stability]]/Table14[[#This Row],[BP Cost]]</f>
        <v>8.3333333333333329E-2</v>
      </c>
      <c r="K74" s="582">
        <v>0</v>
      </c>
      <c r="L74" s="583">
        <f>Table14[[#This Row],[Unrest]]/Table14[[#This Row],[BP Cost]]</f>
        <v>0</v>
      </c>
      <c r="M74" s="582">
        <v>0</v>
      </c>
      <c r="N74" s="582">
        <v>0</v>
      </c>
      <c r="O74" s="582">
        <v>0</v>
      </c>
      <c r="P74" s="582">
        <v>1</v>
      </c>
      <c r="Q74" s="582">
        <v>1</v>
      </c>
      <c r="R74" s="582">
        <v>0</v>
      </c>
      <c r="S74" s="582">
        <v>0</v>
      </c>
      <c r="T74" s="582">
        <v>0</v>
      </c>
      <c r="U74" s="584" t="s">
        <v>1020</v>
      </c>
      <c r="V74" s="584"/>
      <c r="W74" s="584"/>
      <c r="X74" s="584" t="s">
        <v>1017</v>
      </c>
      <c r="Y74" s="584"/>
      <c r="Z74" s="584"/>
      <c r="AA74" s="584" t="s">
        <v>1021</v>
      </c>
      <c r="AB74" s="595"/>
      <c r="AC74" s="596"/>
      <c r="AD74" s="596"/>
      <c r="AE74" s="596"/>
      <c r="AF74" s="596"/>
      <c r="AG74" s="596"/>
      <c r="AH74" s="596"/>
      <c r="AI74" s="596"/>
      <c r="AJ74" s="596"/>
      <c r="AK74" s="596"/>
      <c r="AL74" s="596"/>
      <c r="AM74" s="596"/>
      <c r="AN74" s="596"/>
      <c r="AO74" s="596"/>
      <c r="AP74" s="596"/>
      <c r="AQ74" s="596"/>
      <c r="AR74" s="596"/>
      <c r="AS74" s="596"/>
      <c r="AT74" s="596"/>
      <c r="AU74" s="586"/>
      <c r="AV74" s="586"/>
      <c r="AW74" s="586"/>
    </row>
    <row r="75" spans="1:49" ht="45" x14ac:dyDescent="0.25">
      <c r="A75" s="470" t="s">
        <v>30</v>
      </c>
      <c r="B75" s="466">
        <v>8</v>
      </c>
      <c r="C75" s="466">
        <v>20</v>
      </c>
      <c r="D75" s="466">
        <v>1</v>
      </c>
      <c r="E75" s="466">
        <v>1</v>
      </c>
      <c r="F75" s="466">
        <v>0</v>
      </c>
      <c r="G75" s="466">
        <v>0</v>
      </c>
      <c r="H75" s="502">
        <f>Table14[[#This Row],[Economy]]/Table14[[#This Row],[BP Cost]]</f>
        <v>0.125</v>
      </c>
      <c r="I75" s="502">
        <f>Table14[[#This Row],[Loyalty]]/Table14[[#This Row],[BP Cost]]</f>
        <v>0</v>
      </c>
      <c r="J75" s="502">
        <f>Table14[[#This Row],[Stability]]/Table14[[#This Row],[BP Cost]]</f>
        <v>0</v>
      </c>
      <c r="K75" s="466">
        <v>0</v>
      </c>
      <c r="L75" s="502">
        <f>Table14[[#This Row],[Unrest]]/Table14[[#This Row],[BP Cost]]</f>
        <v>0</v>
      </c>
      <c r="M75" s="466">
        <v>0</v>
      </c>
      <c r="N75" s="466">
        <v>0</v>
      </c>
      <c r="O75" s="466">
        <v>0</v>
      </c>
      <c r="P75" s="466">
        <v>0</v>
      </c>
      <c r="Q75" s="466">
        <v>1</v>
      </c>
      <c r="R75" s="466">
        <v>0</v>
      </c>
      <c r="S75" s="466">
        <v>0</v>
      </c>
      <c r="T75" s="466">
        <v>0</v>
      </c>
      <c r="U75" s="418"/>
      <c r="V75" s="418"/>
      <c r="W75" s="418" t="s">
        <v>1022</v>
      </c>
      <c r="X75" s="418" t="s">
        <v>1023</v>
      </c>
      <c r="Y75" s="418" t="s">
        <v>979</v>
      </c>
      <c r="Z75" s="418"/>
      <c r="AA75" s="418" t="s">
        <v>1024</v>
      </c>
      <c r="AB75" s="592"/>
      <c r="AC75" s="594"/>
      <c r="AD75" s="594">
        <v>500</v>
      </c>
      <c r="AE75" s="594"/>
      <c r="AF75" s="594"/>
      <c r="AG75" s="594"/>
      <c r="AH75" s="594"/>
      <c r="AI75" s="594"/>
      <c r="AJ75" s="594"/>
      <c r="AK75" s="594"/>
      <c r="AL75" s="594"/>
      <c r="AM75" s="594"/>
      <c r="AN75" s="594"/>
      <c r="AO75" s="594"/>
      <c r="AP75" s="594"/>
      <c r="AQ75" s="594"/>
      <c r="AR75" s="594"/>
      <c r="AS75" s="594"/>
      <c r="AT75" s="594"/>
    </row>
    <row r="76" spans="1:49" s="585" customFormat="1" x14ac:dyDescent="0.25">
      <c r="A76" s="581" t="s">
        <v>31</v>
      </c>
      <c r="B76" s="582">
        <v>8</v>
      </c>
      <c r="C76" s="582">
        <v>10</v>
      </c>
      <c r="D76" s="582">
        <v>1</v>
      </c>
      <c r="E76" s="582">
        <v>0</v>
      </c>
      <c r="F76" s="582">
        <v>1</v>
      </c>
      <c r="G76" s="582">
        <v>0</v>
      </c>
      <c r="H76" s="583">
        <f>Table14[[#This Row],[Economy]]/Table14[[#This Row],[BP Cost]]</f>
        <v>0</v>
      </c>
      <c r="I76" s="583">
        <f>Table14[[#This Row],[Loyalty]]/Table14[[#This Row],[BP Cost]]</f>
        <v>0.125</v>
      </c>
      <c r="J76" s="583">
        <f>Table14[[#This Row],[Stability]]/Table14[[#This Row],[BP Cost]]</f>
        <v>0</v>
      </c>
      <c r="K76" s="582">
        <v>-1</v>
      </c>
      <c r="L76" s="583">
        <f>Table14[[#This Row],[Unrest]]/Table14[[#This Row],[BP Cost]]</f>
        <v>-0.125</v>
      </c>
      <c r="M76" s="582">
        <v>0</v>
      </c>
      <c r="N76" s="582">
        <v>0</v>
      </c>
      <c r="O76" s="582">
        <v>0</v>
      </c>
      <c r="P76" s="582">
        <v>0</v>
      </c>
      <c r="Q76" s="582">
        <v>0</v>
      </c>
      <c r="R76" s="582">
        <v>0</v>
      </c>
      <c r="S76" s="582">
        <v>0</v>
      </c>
      <c r="T76" s="582">
        <v>0</v>
      </c>
      <c r="U76" s="584"/>
      <c r="V76" s="584"/>
      <c r="W76" s="584" t="s">
        <v>36</v>
      </c>
      <c r="X76" s="584"/>
      <c r="Y76" s="584"/>
      <c r="Z76" s="584" t="s">
        <v>1025</v>
      </c>
      <c r="AA76" s="584" t="s">
        <v>1026</v>
      </c>
      <c r="AB76" s="595"/>
      <c r="AC76" s="596"/>
      <c r="AD76" s="596"/>
      <c r="AE76" s="596"/>
      <c r="AF76" s="596"/>
      <c r="AG76" s="596"/>
      <c r="AH76" s="596"/>
      <c r="AI76" s="596"/>
      <c r="AJ76" s="596"/>
      <c r="AK76" s="596"/>
      <c r="AL76" s="596"/>
      <c r="AM76" s="596"/>
      <c r="AN76" s="596"/>
      <c r="AO76" s="596"/>
      <c r="AP76" s="596"/>
      <c r="AQ76" s="596">
        <v>1</v>
      </c>
      <c r="AR76" s="596"/>
      <c r="AS76" s="596"/>
      <c r="AT76" s="596"/>
      <c r="AU76" s="586"/>
      <c r="AV76" s="586"/>
      <c r="AW76" s="586"/>
    </row>
    <row r="77" spans="1:49" x14ac:dyDescent="0.25">
      <c r="A77" s="470" t="s">
        <v>349</v>
      </c>
      <c r="B77" s="466">
        <v>6</v>
      </c>
      <c r="C77" s="466">
        <v>10</v>
      </c>
      <c r="D77" s="466">
        <v>1</v>
      </c>
      <c r="E77" s="466">
        <v>1</v>
      </c>
      <c r="F77" s="466">
        <v>0</v>
      </c>
      <c r="G77" s="466">
        <v>1</v>
      </c>
      <c r="H77" s="502">
        <f>Table14[[#This Row],[Economy]]/Table14[[#This Row],[BP Cost]]</f>
        <v>0.16666666666666666</v>
      </c>
      <c r="I77" s="502">
        <f>Table14[[#This Row],[Loyalty]]/Table14[[#This Row],[BP Cost]]</f>
        <v>0</v>
      </c>
      <c r="J77" s="502">
        <f>Table14[[#This Row],[Stability]]/Table14[[#This Row],[BP Cost]]</f>
        <v>0.16666666666666666</v>
      </c>
      <c r="K77" s="466">
        <v>0</v>
      </c>
      <c r="L77" s="502">
        <f>Table14[[#This Row],[Unrest]]/Table14[[#This Row],[BP Cost]]</f>
        <v>0</v>
      </c>
      <c r="M77" s="466">
        <v>0</v>
      </c>
      <c r="N77" s="466">
        <v>0</v>
      </c>
      <c r="O77" s="466">
        <v>0</v>
      </c>
      <c r="P77" s="466">
        <v>0</v>
      </c>
      <c r="Q77" s="466">
        <v>0</v>
      </c>
      <c r="R77" s="466">
        <v>0</v>
      </c>
      <c r="S77" s="466">
        <v>0</v>
      </c>
      <c r="T77" s="466">
        <v>0</v>
      </c>
      <c r="U77" s="418"/>
      <c r="V77" s="418"/>
      <c r="W77" s="418"/>
      <c r="X77" s="418"/>
      <c r="Y77" s="418"/>
      <c r="Z77" s="418"/>
      <c r="AA77" s="418" t="s">
        <v>1027</v>
      </c>
      <c r="AB77" s="592"/>
      <c r="AC77" s="594"/>
      <c r="AD77" s="594"/>
      <c r="AE77" s="594"/>
      <c r="AF77" s="594"/>
      <c r="AG77" s="594"/>
      <c r="AH77" s="594"/>
      <c r="AI77" s="594"/>
      <c r="AJ77" s="594"/>
      <c r="AK77" s="594"/>
      <c r="AL77" s="594"/>
      <c r="AM77" s="594"/>
      <c r="AN77" s="594"/>
      <c r="AO77" s="594"/>
      <c r="AP77" s="594"/>
      <c r="AQ77" s="594"/>
      <c r="AR77" s="594"/>
      <c r="AS77" s="594"/>
      <c r="AT77" s="594"/>
    </row>
    <row r="78" spans="1:49" s="585" customFormat="1" ht="30" x14ac:dyDescent="0.25">
      <c r="A78" s="581" t="s">
        <v>33</v>
      </c>
      <c r="B78" s="582">
        <v>10</v>
      </c>
      <c r="C78" s="582">
        <v>10</v>
      </c>
      <c r="D78" s="582">
        <v>1</v>
      </c>
      <c r="E78" s="582">
        <v>1</v>
      </c>
      <c r="F78" s="582">
        <v>1</v>
      </c>
      <c r="G78" s="582">
        <v>0</v>
      </c>
      <c r="H78" s="583">
        <f>Table14[[#This Row],[Economy]]/Table14[[#This Row],[BP Cost]]</f>
        <v>0.1</v>
      </c>
      <c r="I78" s="583">
        <f>Table14[[#This Row],[Loyalty]]/Table14[[#This Row],[BP Cost]]</f>
        <v>0.1</v>
      </c>
      <c r="J78" s="583">
        <f>Table14[[#This Row],[Stability]]/Table14[[#This Row],[BP Cost]]</f>
        <v>0</v>
      </c>
      <c r="K78" s="582">
        <v>0</v>
      </c>
      <c r="L78" s="583">
        <f>Table14[[#This Row],[Unrest]]/Table14[[#This Row],[BP Cost]]</f>
        <v>0</v>
      </c>
      <c r="M78" s="582">
        <v>0</v>
      </c>
      <c r="N78" s="582">
        <v>0</v>
      </c>
      <c r="O78" s="582">
        <v>0</v>
      </c>
      <c r="P78" s="582">
        <v>0</v>
      </c>
      <c r="Q78" s="582">
        <v>0</v>
      </c>
      <c r="R78" s="582">
        <v>0</v>
      </c>
      <c r="S78" s="582">
        <v>0</v>
      </c>
      <c r="T78" s="582">
        <v>0</v>
      </c>
      <c r="U78" s="584"/>
      <c r="V78" s="584"/>
      <c r="W78" s="584"/>
      <c r="X78" s="584" t="s">
        <v>1028</v>
      </c>
      <c r="Y78" s="584" t="s">
        <v>979</v>
      </c>
      <c r="Z78" s="584"/>
      <c r="AA78" s="584" t="s">
        <v>1029</v>
      </c>
      <c r="AB78" s="595"/>
      <c r="AC78" s="596"/>
      <c r="AD78" s="596">
        <v>500</v>
      </c>
      <c r="AE78" s="596"/>
      <c r="AF78" s="596"/>
      <c r="AG78" s="596"/>
      <c r="AH78" s="596"/>
      <c r="AI78" s="596"/>
      <c r="AJ78" s="596"/>
      <c r="AK78" s="596"/>
      <c r="AL78" s="596"/>
      <c r="AM78" s="596"/>
      <c r="AN78" s="596"/>
      <c r="AO78" s="596"/>
      <c r="AP78" s="596"/>
      <c r="AQ78" s="596"/>
      <c r="AR78" s="596"/>
      <c r="AS78" s="596"/>
      <c r="AT78" s="596"/>
      <c r="AU78" s="586"/>
      <c r="AV78" s="586"/>
      <c r="AW78" s="586"/>
    </row>
    <row r="79" spans="1:49" ht="30" x14ac:dyDescent="0.25">
      <c r="A79" s="470" t="s">
        <v>350</v>
      </c>
      <c r="B79" s="466">
        <v>20</v>
      </c>
      <c r="C79" s="466">
        <v>100</v>
      </c>
      <c r="D79" s="466">
        <v>4</v>
      </c>
      <c r="E79" s="466">
        <v>1</v>
      </c>
      <c r="F79" s="466">
        <v>0</v>
      </c>
      <c r="G79" s="466">
        <v>-1</v>
      </c>
      <c r="H79" s="502">
        <f>Table14[[#This Row],[Economy]]/Table14[[#This Row],[BP Cost]]</f>
        <v>0.05</v>
      </c>
      <c r="I79" s="502">
        <f>Table14[[#This Row],[Loyalty]]/Table14[[#This Row],[BP Cost]]</f>
        <v>0</v>
      </c>
      <c r="J79" s="502">
        <f>Table14[[#This Row],[Stability]]/Table14[[#This Row],[BP Cost]]</f>
        <v>-0.05</v>
      </c>
      <c r="K79" s="466">
        <v>0</v>
      </c>
      <c r="L79" s="502">
        <f>Table14[[#This Row],[Unrest]]/Table14[[#This Row],[BP Cost]]</f>
        <v>0</v>
      </c>
      <c r="M79" s="466">
        <v>0</v>
      </c>
      <c r="N79" s="466">
        <v>0</v>
      </c>
      <c r="O79" s="466">
        <v>0</v>
      </c>
      <c r="P79" s="466">
        <v>0</v>
      </c>
      <c r="Q79" s="466">
        <v>1</v>
      </c>
      <c r="R79" s="466">
        <v>0</v>
      </c>
      <c r="S79" s="466">
        <v>0</v>
      </c>
      <c r="T79" s="466">
        <v>0</v>
      </c>
      <c r="U79" s="418" t="s">
        <v>1030</v>
      </c>
      <c r="V79" s="418"/>
      <c r="W79" s="418"/>
      <c r="X79" s="418"/>
      <c r="Y79" s="418" t="s">
        <v>1031</v>
      </c>
      <c r="Z79" s="418"/>
      <c r="AA79" s="418" t="s">
        <v>1032</v>
      </c>
      <c r="AB79" s="592"/>
      <c r="AC79" s="594"/>
      <c r="AD79" s="594"/>
      <c r="AE79" s="594"/>
      <c r="AF79" s="594"/>
      <c r="AG79" s="594"/>
      <c r="AH79" s="594"/>
      <c r="AI79" s="594"/>
      <c r="AJ79" s="594"/>
      <c r="AK79" s="594"/>
      <c r="AL79" s="594"/>
      <c r="AM79" s="594"/>
      <c r="AN79" s="594"/>
      <c r="AO79" s="594"/>
      <c r="AP79" s="594"/>
      <c r="AQ79" s="594"/>
      <c r="AR79" s="594"/>
      <c r="AS79" s="594"/>
      <c r="AT79" s="594"/>
    </row>
    <row r="80" spans="1:49" s="585" customFormat="1" ht="30" x14ac:dyDescent="0.25">
      <c r="A80" s="581" t="s">
        <v>34</v>
      </c>
      <c r="B80" s="582">
        <v>6</v>
      </c>
      <c r="C80" s="582">
        <v>20</v>
      </c>
      <c r="D80" s="582">
        <v>1</v>
      </c>
      <c r="E80" s="582">
        <v>1</v>
      </c>
      <c r="F80" s="582">
        <v>0</v>
      </c>
      <c r="G80" s="582">
        <v>1</v>
      </c>
      <c r="H80" s="583">
        <f>Table14[[#This Row],[Economy]]/Table14[[#This Row],[BP Cost]]</f>
        <v>0.16666666666666666</v>
      </c>
      <c r="I80" s="583">
        <f>Table14[[#This Row],[Loyalty]]/Table14[[#This Row],[BP Cost]]</f>
        <v>0</v>
      </c>
      <c r="J80" s="583">
        <f>Table14[[#This Row],[Stability]]/Table14[[#This Row],[BP Cost]]</f>
        <v>0.16666666666666666</v>
      </c>
      <c r="K80" s="582">
        <v>0</v>
      </c>
      <c r="L80" s="583">
        <f>Table14[[#This Row],[Unrest]]/Table14[[#This Row],[BP Cost]]</f>
        <v>0</v>
      </c>
      <c r="M80" s="582">
        <v>0</v>
      </c>
      <c r="N80" s="582">
        <v>0</v>
      </c>
      <c r="O80" s="582">
        <v>0</v>
      </c>
      <c r="P80" s="582">
        <v>0</v>
      </c>
      <c r="Q80" s="582">
        <v>0</v>
      </c>
      <c r="R80" s="582">
        <v>0</v>
      </c>
      <c r="S80" s="582">
        <v>0</v>
      </c>
      <c r="T80" s="582">
        <v>-1</v>
      </c>
      <c r="U80" s="584"/>
      <c r="V80" s="584"/>
      <c r="W80" s="584"/>
      <c r="X80" s="584" t="s">
        <v>1033</v>
      </c>
      <c r="Y80" s="584"/>
      <c r="Z80" s="584"/>
      <c r="AA80" s="584" t="s">
        <v>1034</v>
      </c>
      <c r="AB80" s="595"/>
      <c r="AC80" s="596"/>
      <c r="AD80" s="596"/>
      <c r="AE80" s="596"/>
      <c r="AF80" s="596"/>
      <c r="AG80" s="596"/>
      <c r="AH80" s="596"/>
      <c r="AI80" s="596"/>
      <c r="AJ80" s="596"/>
      <c r="AK80" s="596"/>
      <c r="AL80" s="596"/>
      <c r="AM80" s="596"/>
      <c r="AN80" s="596"/>
      <c r="AO80" s="596"/>
      <c r="AP80" s="596"/>
      <c r="AQ80" s="596"/>
      <c r="AR80" s="596"/>
      <c r="AS80" s="596"/>
      <c r="AT80" s="596"/>
      <c r="AU80" s="586"/>
      <c r="AV80" s="586"/>
      <c r="AW80" s="586"/>
    </row>
    <row r="81" spans="1:49" x14ac:dyDescent="0.25">
      <c r="A81" s="470" t="s">
        <v>35</v>
      </c>
      <c r="B81" s="466">
        <v>12</v>
      </c>
      <c r="C81" s="466">
        <v>20</v>
      </c>
      <c r="D81" s="466">
        <v>1</v>
      </c>
      <c r="E81" s="466">
        <v>1</v>
      </c>
      <c r="F81" s="466">
        <v>1</v>
      </c>
      <c r="G81" s="466">
        <v>0</v>
      </c>
      <c r="H81" s="502">
        <f>Table14[[#This Row],[Economy]]/Table14[[#This Row],[BP Cost]]</f>
        <v>8.3333333333333329E-2</v>
      </c>
      <c r="I81" s="502">
        <f>Table14[[#This Row],[Loyalty]]/Table14[[#This Row],[BP Cost]]</f>
        <v>8.3333333333333329E-2</v>
      </c>
      <c r="J81" s="502">
        <f>Table14[[#This Row],[Stability]]/Table14[[#This Row],[BP Cost]]</f>
        <v>0</v>
      </c>
      <c r="K81" s="466">
        <v>0</v>
      </c>
      <c r="L81" s="502">
        <f>Table14[[#This Row],[Unrest]]/Table14[[#This Row],[BP Cost]]</f>
        <v>0</v>
      </c>
      <c r="M81" s="466">
        <v>0</v>
      </c>
      <c r="N81" s="466">
        <v>0</v>
      </c>
      <c r="O81" s="466">
        <v>1</v>
      </c>
      <c r="P81" s="466">
        <v>0</v>
      </c>
      <c r="Q81" s="466">
        <v>0</v>
      </c>
      <c r="R81" s="466">
        <v>0</v>
      </c>
      <c r="S81" s="466">
        <v>0</v>
      </c>
      <c r="T81" s="466">
        <v>0</v>
      </c>
      <c r="U81" s="418"/>
      <c r="V81" s="418"/>
      <c r="W81" s="418"/>
      <c r="X81" s="418" t="s">
        <v>1023</v>
      </c>
      <c r="Y81" s="418" t="s">
        <v>979</v>
      </c>
      <c r="Z81" s="418"/>
      <c r="AA81" s="418" t="s">
        <v>1035</v>
      </c>
      <c r="AB81" s="592"/>
      <c r="AC81" s="594"/>
      <c r="AD81" s="594">
        <v>500</v>
      </c>
      <c r="AE81" s="594"/>
      <c r="AF81" s="594"/>
      <c r="AG81" s="594"/>
      <c r="AH81" s="594"/>
      <c r="AI81" s="594"/>
      <c r="AJ81" s="594"/>
      <c r="AK81" s="594"/>
      <c r="AL81" s="594"/>
      <c r="AM81" s="594"/>
      <c r="AN81" s="594"/>
      <c r="AO81" s="594"/>
      <c r="AP81" s="594"/>
      <c r="AQ81" s="594"/>
      <c r="AR81" s="594"/>
      <c r="AS81" s="594"/>
      <c r="AT81" s="594"/>
    </row>
    <row r="82" spans="1:49" s="585" customFormat="1" x14ac:dyDescent="0.25">
      <c r="A82" s="581" t="s">
        <v>36</v>
      </c>
      <c r="B82" s="582">
        <v>32</v>
      </c>
      <c r="C82" s="582">
        <v>50</v>
      </c>
      <c r="D82" s="582">
        <v>2</v>
      </c>
      <c r="E82" s="582">
        <v>0</v>
      </c>
      <c r="F82" s="582">
        <v>2</v>
      </c>
      <c r="G82" s="582">
        <v>2</v>
      </c>
      <c r="H82" s="583">
        <f>Table14[[#This Row],[Economy]]/Table14[[#This Row],[BP Cost]]</f>
        <v>0</v>
      </c>
      <c r="I82" s="583">
        <f>Table14[[#This Row],[Loyalty]]/Table14[[#This Row],[BP Cost]]</f>
        <v>6.25E-2</v>
      </c>
      <c r="J82" s="583">
        <f>Table14[[#This Row],[Stability]]/Table14[[#This Row],[BP Cost]]</f>
        <v>6.25E-2</v>
      </c>
      <c r="K82" s="582">
        <v>-2</v>
      </c>
      <c r="L82" s="583">
        <f>Table14[[#This Row],[Unrest]]/Table14[[#This Row],[BP Cost]]</f>
        <v>-6.25E-2</v>
      </c>
      <c r="M82" s="582">
        <v>0</v>
      </c>
      <c r="N82" s="582">
        <v>0</v>
      </c>
      <c r="O82" s="582">
        <v>0</v>
      </c>
      <c r="P82" s="582">
        <v>0</v>
      </c>
      <c r="Q82" s="582">
        <v>0</v>
      </c>
      <c r="R82" s="582">
        <v>0</v>
      </c>
      <c r="S82" s="582">
        <v>0</v>
      </c>
      <c r="T82" s="582">
        <v>0</v>
      </c>
      <c r="U82" s="584" t="s">
        <v>1036</v>
      </c>
      <c r="V82" s="584" t="s">
        <v>31</v>
      </c>
      <c r="W82" s="584"/>
      <c r="X82" s="584"/>
      <c r="Y82" s="584"/>
      <c r="Z82" s="584" t="s">
        <v>1037</v>
      </c>
      <c r="AA82" s="584" t="s">
        <v>1038</v>
      </c>
      <c r="AB82" s="595"/>
      <c r="AC82" s="596"/>
      <c r="AD82" s="596"/>
      <c r="AE82" s="596"/>
      <c r="AF82" s="596"/>
      <c r="AG82" s="596"/>
      <c r="AH82" s="596"/>
      <c r="AI82" s="596"/>
      <c r="AJ82" s="596">
        <v>2</v>
      </c>
      <c r="AK82" s="596"/>
      <c r="AL82" s="596"/>
      <c r="AM82" s="596"/>
      <c r="AN82" s="596"/>
      <c r="AO82" s="596"/>
      <c r="AP82" s="596"/>
      <c r="AQ82" s="596"/>
      <c r="AR82" s="596"/>
      <c r="AS82" s="596"/>
      <c r="AT82" s="596"/>
      <c r="AU82" s="586"/>
      <c r="AV82" s="586"/>
      <c r="AW82" s="586"/>
    </row>
    <row r="83" spans="1:49" ht="30" x14ac:dyDescent="0.25">
      <c r="A83" s="470" t="s">
        <v>37</v>
      </c>
      <c r="B83" s="466">
        <v>1</v>
      </c>
      <c r="C83" s="466">
        <v>100</v>
      </c>
      <c r="D83" s="466">
        <v>1</v>
      </c>
      <c r="E83" s="466">
        <v>0</v>
      </c>
      <c r="F83" s="466">
        <v>0</v>
      </c>
      <c r="G83" s="466">
        <v>0</v>
      </c>
      <c r="H83" s="502">
        <f>Table14[[#This Row],[Economy]]/Table14[[#This Row],[BP Cost]]</f>
        <v>0</v>
      </c>
      <c r="I83" s="502">
        <f>Table14[[#This Row],[Loyalty]]/Table14[[#This Row],[BP Cost]]</f>
        <v>0</v>
      </c>
      <c r="J83" s="502">
        <f>Table14[[#This Row],[Stability]]/Table14[[#This Row],[BP Cost]]</f>
        <v>0</v>
      </c>
      <c r="K83" s="466">
        <v>2</v>
      </c>
      <c r="L83" s="502">
        <f>Table14[[#This Row],[Unrest]]/Table14[[#This Row],[BP Cost]]</f>
        <v>2</v>
      </c>
      <c r="M83" s="466">
        <v>0</v>
      </c>
      <c r="N83" s="466">
        <v>0</v>
      </c>
      <c r="O83" s="466">
        <v>0</v>
      </c>
      <c r="P83" s="466">
        <v>0</v>
      </c>
      <c r="Q83" s="466">
        <v>0</v>
      </c>
      <c r="R83" s="466">
        <v>0</v>
      </c>
      <c r="S83" s="466">
        <v>0</v>
      </c>
      <c r="T83" s="466">
        <v>0</v>
      </c>
      <c r="U83" s="418"/>
      <c r="V83" s="418"/>
      <c r="W83" s="418" t="s">
        <v>17</v>
      </c>
      <c r="X83" s="418"/>
      <c r="Y83" s="418" t="s">
        <v>1039</v>
      </c>
      <c r="Z83" s="418"/>
      <c r="AA83" s="418" t="s">
        <v>1040</v>
      </c>
      <c r="AB83" s="592"/>
      <c r="AC83" s="594"/>
      <c r="AD83" s="594"/>
      <c r="AE83" s="594"/>
      <c r="AF83" s="594"/>
      <c r="AG83" s="594"/>
      <c r="AH83" s="594"/>
      <c r="AI83" s="594"/>
      <c r="AJ83" s="594"/>
      <c r="AK83" s="594"/>
      <c r="AL83" s="594"/>
      <c r="AM83" s="594"/>
      <c r="AN83" s="594"/>
      <c r="AO83" s="594"/>
      <c r="AP83" s="594"/>
      <c r="AQ83" s="594"/>
      <c r="AR83" s="594"/>
      <c r="AS83" s="594"/>
      <c r="AT83" s="594"/>
    </row>
    <row r="84" spans="1:49" s="585" customFormat="1" ht="30" x14ac:dyDescent="0.25">
      <c r="A84" s="581" t="s">
        <v>38</v>
      </c>
      <c r="B84" s="582">
        <v>24</v>
      </c>
      <c r="C84" s="582">
        <v>50</v>
      </c>
      <c r="D84" s="582">
        <v>2</v>
      </c>
      <c r="E84" s="582">
        <v>2</v>
      </c>
      <c r="F84" s="582">
        <v>0</v>
      </c>
      <c r="G84" s="582">
        <v>2</v>
      </c>
      <c r="H84" s="583">
        <f>Table14[[#This Row],[Economy]]/Table14[[#This Row],[BP Cost]]</f>
        <v>8.3333333333333329E-2</v>
      </c>
      <c r="I84" s="583">
        <f>Table14[[#This Row],[Loyalty]]/Table14[[#This Row],[BP Cost]]</f>
        <v>0</v>
      </c>
      <c r="J84" s="583">
        <f>Table14[[#This Row],[Stability]]/Table14[[#This Row],[BP Cost]]</f>
        <v>8.3333333333333329E-2</v>
      </c>
      <c r="K84" s="582">
        <v>0</v>
      </c>
      <c r="L84" s="583">
        <f>Table14[[#This Row],[Unrest]]/Table14[[#This Row],[BP Cost]]</f>
        <v>0</v>
      </c>
      <c r="M84" s="582">
        <v>0</v>
      </c>
      <c r="N84" s="582">
        <v>0</v>
      </c>
      <c r="O84" s="582">
        <v>0</v>
      </c>
      <c r="P84" s="582">
        <v>0</v>
      </c>
      <c r="Q84" s="582">
        <v>0</v>
      </c>
      <c r="R84" s="582">
        <v>0</v>
      </c>
      <c r="S84" s="582">
        <v>0</v>
      </c>
      <c r="T84" s="582">
        <v>0</v>
      </c>
      <c r="U84" s="584" t="s">
        <v>1041</v>
      </c>
      <c r="V84" s="584"/>
      <c r="W84" s="584" t="s">
        <v>2</v>
      </c>
      <c r="X84" s="584"/>
      <c r="Y84" s="584"/>
      <c r="Z84" s="584"/>
      <c r="AA84" s="584" t="s">
        <v>1042</v>
      </c>
      <c r="AB84" s="595"/>
      <c r="AC84" s="596"/>
      <c r="AD84" s="596"/>
      <c r="AE84" s="596"/>
      <c r="AF84" s="596"/>
      <c r="AG84" s="596"/>
      <c r="AH84" s="596"/>
      <c r="AI84" s="596"/>
      <c r="AJ84" s="596"/>
      <c r="AK84" s="596"/>
      <c r="AL84" s="596"/>
      <c r="AM84" s="596"/>
      <c r="AN84" s="596"/>
      <c r="AO84" s="596"/>
      <c r="AP84" s="596"/>
      <c r="AQ84" s="596"/>
      <c r="AR84" s="596"/>
      <c r="AS84" s="596"/>
      <c r="AT84" s="596"/>
      <c r="AU84" s="586"/>
      <c r="AV84" s="586"/>
      <c r="AW84" s="586"/>
    </row>
    <row r="85" spans="1:49" ht="30" x14ac:dyDescent="0.25">
      <c r="A85" s="470" t="s">
        <v>39</v>
      </c>
      <c r="B85" s="466">
        <v>22</v>
      </c>
      <c r="C85" s="466">
        <v>50</v>
      </c>
      <c r="D85" s="466">
        <v>2</v>
      </c>
      <c r="E85" s="466">
        <v>1</v>
      </c>
      <c r="F85" s="466">
        <v>1</v>
      </c>
      <c r="G85" s="466">
        <v>1</v>
      </c>
      <c r="H85" s="502">
        <f>Table14[[#This Row],[Economy]]/Table14[[#This Row],[BP Cost]]</f>
        <v>4.5454545454545456E-2</v>
      </c>
      <c r="I85" s="502">
        <f>Table14[[#This Row],[Loyalty]]/Table14[[#This Row],[BP Cost]]</f>
        <v>4.5454545454545456E-2</v>
      </c>
      <c r="J85" s="502">
        <f>Table14[[#This Row],[Stability]]/Table14[[#This Row],[BP Cost]]</f>
        <v>4.5454545454545456E-2</v>
      </c>
      <c r="K85" s="466">
        <v>0</v>
      </c>
      <c r="L85" s="502">
        <f>Table14[[#This Row],[Unrest]]/Table14[[#This Row],[BP Cost]]</f>
        <v>0</v>
      </c>
      <c r="M85" s="466">
        <v>0</v>
      </c>
      <c r="N85" s="466">
        <v>0</v>
      </c>
      <c r="O85" s="466">
        <v>0</v>
      </c>
      <c r="P85" s="466">
        <v>0</v>
      </c>
      <c r="Q85" s="466">
        <v>0</v>
      </c>
      <c r="R85" s="466">
        <v>1</v>
      </c>
      <c r="S85" s="466">
        <v>0</v>
      </c>
      <c r="T85" s="466">
        <v>0</v>
      </c>
      <c r="U85" s="418" t="s">
        <v>1043</v>
      </c>
      <c r="V85" s="418"/>
      <c r="W85" s="418"/>
      <c r="X85" s="418"/>
      <c r="Y85" s="418"/>
      <c r="Z85" s="418"/>
      <c r="AA85" s="418" t="s">
        <v>1044</v>
      </c>
      <c r="AB85" s="592"/>
      <c r="AC85" s="594"/>
      <c r="AD85" s="594"/>
      <c r="AE85" s="594"/>
      <c r="AF85" s="594"/>
      <c r="AG85" s="594"/>
      <c r="AH85" s="594"/>
      <c r="AI85" s="594"/>
      <c r="AJ85" s="594"/>
      <c r="AK85" s="594"/>
      <c r="AL85" s="594"/>
      <c r="AM85" s="594"/>
      <c r="AN85" s="594"/>
      <c r="AO85" s="594"/>
      <c r="AP85" s="594"/>
      <c r="AQ85" s="594"/>
      <c r="AR85" s="594"/>
      <c r="AS85" s="594"/>
      <c r="AT85" s="594"/>
    </row>
    <row r="86" spans="1:49" s="585" customFormat="1" x14ac:dyDescent="0.25">
      <c r="A86" s="581" t="s">
        <v>351</v>
      </c>
      <c r="B86" s="582">
        <v>10</v>
      </c>
      <c r="C86" s="582">
        <v>10</v>
      </c>
      <c r="D86" s="582">
        <v>1</v>
      </c>
      <c r="E86" s="582">
        <v>1</v>
      </c>
      <c r="F86" s="582">
        <v>0</v>
      </c>
      <c r="G86" s="582">
        <v>1</v>
      </c>
      <c r="H86" s="583">
        <f>Table14[[#This Row],[Economy]]/Table14[[#This Row],[BP Cost]]</f>
        <v>0.1</v>
      </c>
      <c r="I86" s="583">
        <f>Table14[[#This Row],[Loyalty]]/Table14[[#This Row],[BP Cost]]</f>
        <v>0</v>
      </c>
      <c r="J86" s="583">
        <f>Table14[[#This Row],[Stability]]/Table14[[#This Row],[BP Cost]]</f>
        <v>0.1</v>
      </c>
      <c r="K86" s="582">
        <v>0</v>
      </c>
      <c r="L86" s="583">
        <f>Table14[[#This Row],[Unrest]]/Table14[[#This Row],[BP Cost]]</f>
        <v>0</v>
      </c>
      <c r="M86" s="582">
        <v>0</v>
      </c>
      <c r="N86" s="582">
        <v>0</v>
      </c>
      <c r="O86" s="582">
        <v>0</v>
      </c>
      <c r="P86" s="582">
        <v>0</v>
      </c>
      <c r="Q86" s="582">
        <v>1</v>
      </c>
      <c r="R86" s="582">
        <v>0</v>
      </c>
      <c r="S86" s="582">
        <v>0</v>
      </c>
      <c r="T86" s="582">
        <v>0</v>
      </c>
      <c r="U86" s="584"/>
      <c r="V86" s="584"/>
      <c r="W86" s="584" t="s">
        <v>338</v>
      </c>
      <c r="X86" s="584" t="s">
        <v>919</v>
      </c>
      <c r="Y86" s="584" t="s">
        <v>979</v>
      </c>
      <c r="Z86" s="584"/>
      <c r="AA86" s="584" t="s">
        <v>1045</v>
      </c>
      <c r="AB86" s="595"/>
      <c r="AC86" s="596"/>
      <c r="AD86" s="596">
        <v>500</v>
      </c>
      <c r="AE86" s="596"/>
      <c r="AF86" s="596"/>
      <c r="AG86" s="596"/>
      <c r="AH86" s="596"/>
      <c r="AI86" s="596"/>
      <c r="AJ86" s="596"/>
      <c r="AK86" s="596"/>
      <c r="AL86" s="596"/>
      <c r="AM86" s="596"/>
      <c r="AN86" s="596"/>
      <c r="AO86" s="596"/>
      <c r="AP86" s="596"/>
      <c r="AQ86" s="596"/>
      <c r="AR86" s="596"/>
      <c r="AS86" s="596"/>
      <c r="AT86" s="596"/>
      <c r="AU86" s="586"/>
      <c r="AV86" s="586"/>
      <c r="AW86" s="586"/>
    </row>
    <row r="87" spans="1:49" ht="75" x14ac:dyDescent="0.25">
      <c r="A87" s="469" t="s">
        <v>1244</v>
      </c>
      <c r="B87" s="465">
        <v>8</v>
      </c>
      <c r="C87" s="465">
        <v>0</v>
      </c>
      <c r="D87" s="465">
        <v>0</v>
      </c>
      <c r="E87" s="465">
        <v>1</v>
      </c>
      <c r="F87" s="465">
        <v>0</v>
      </c>
      <c r="G87" s="465">
        <v>1</v>
      </c>
      <c r="H87" s="501">
        <f>Table14[[#This Row],[Economy]]/Table14[[#This Row],[BP Cost]]</f>
        <v>0.125</v>
      </c>
      <c r="I87" s="501">
        <f>Table14[[#This Row],[Loyalty]]/Table14[[#This Row],[BP Cost]]</f>
        <v>0</v>
      </c>
      <c r="J87" s="501">
        <f>Table14[[#This Row],[Stability]]/Table14[[#This Row],[BP Cost]]</f>
        <v>0.125</v>
      </c>
      <c r="K87" s="465">
        <v>0</v>
      </c>
      <c r="L87" s="501">
        <f>Table14[[#This Row],[Unrest]]/Table14[[#This Row],[BP Cost]]</f>
        <v>0</v>
      </c>
      <c r="M87" s="465">
        <v>0</v>
      </c>
      <c r="N87" s="465">
        <v>0</v>
      </c>
      <c r="O87" s="465">
        <v>0</v>
      </c>
      <c r="P87" s="465">
        <v>1</v>
      </c>
      <c r="Q87" s="465">
        <v>0</v>
      </c>
      <c r="R87" s="465">
        <v>0</v>
      </c>
      <c r="S87" s="465">
        <v>0</v>
      </c>
      <c r="T87" s="465">
        <v>0</v>
      </c>
      <c r="U87" s="417"/>
      <c r="V87" s="417"/>
      <c r="W87" s="417"/>
      <c r="X87" s="417"/>
      <c r="Y87" s="417" t="s">
        <v>1245</v>
      </c>
      <c r="Z87" s="417"/>
      <c r="AA87" s="417"/>
      <c r="AB87" s="592"/>
      <c r="AC87" s="594"/>
      <c r="AD87" s="594"/>
      <c r="AE87" s="594"/>
      <c r="AF87" s="594"/>
      <c r="AG87" s="594"/>
      <c r="AH87" s="594"/>
      <c r="AI87" s="594"/>
      <c r="AJ87" s="594"/>
      <c r="AK87" s="594"/>
      <c r="AL87" s="594"/>
      <c r="AM87" s="594"/>
      <c r="AN87" s="594"/>
      <c r="AO87" s="594"/>
      <c r="AP87" s="594"/>
      <c r="AQ87" s="594"/>
      <c r="AR87" s="594"/>
      <c r="AS87" s="594"/>
      <c r="AT87" s="594"/>
    </row>
    <row r="88" spans="1:49" ht="45" x14ac:dyDescent="0.25">
      <c r="A88" s="470" t="s">
        <v>352</v>
      </c>
      <c r="B88" s="466">
        <v>78</v>
      </c>
      <c r="C88" s="466">
        <v>200</v>
      </c>
      <c r="D88" s="466">
        <v>4</v>
      </c>
      <c r="E88" s="466">
        <v>3</v>
      </c>
      <c r="F88" s="466">
        <v>3</v>
      </c>
      <c r="G88" s="466">
        <v>0</v>
      </c>
      <c r="H88" s="502">
        <f>Table14[[#This Row],[Economy]]/Table14[[#This Row],[BP Cost]]</f>
        <v>3.8461538461538464E-2</v>
      </c>
      <c r="I88" s="502">
        <f>Table14[[#This Row],[Loyalty]]/Table14[[#This Row],[BP Cost]]</f>
        <v>3.8461538461538464E-2</v>
      </c>
      <c r="J88" s="502">
        <f>Table14[[#This Row],[Stability]]/Table14[[#This Row],[BP Cost]]</f>
        <v>0</v>
      </c>
      <c r="K88" s="466">
        <v>0</v>
      </c>
      <c r="L88" s="502">
        <f>Table14[[#This Row],[Unrest]]/Table14[[#This Row],[BP Cost]]</f>
        <v>0</v>
      </c>
      <c r="M88" s="466">
        <v>1</v>
      </c>
      <c r="N88" s="466">
        <v>0</v>
      </c>
      <c r="O88" s="466">
        <v>0</v>
      </c>
      <c r="P88" s="466">
        <v>0</v>
      </c>
      <c r="Q88" s="466">
        <v>0</v>
      </c>
      <c r="R88" s="466">
        <v>0</v>
      </c>
      <c r="S88" s="466">
        <v>4</v>
      </c>
      <c r="T88" s="466">
        <v>3</v>
      </c>
      <c r="U88" s="418" t="s">
        <v>1046</v>
      </c>
      <c r="V88" s="418" t="s">
        <v>0</v>
      </c>
      <c r="W88" s="418"/>
      <c r="X88" s="418"/>
      <c r="Y88" s="418"/>
      <c r="Z88" s="418" t="s">
        <v>1047</v>
      </c>
      <c r="AA88" s="418" t="s">
        <v>1048</v>
      </c>
      <c r="AB88" s="592"/>
      <c r="AC88" s="594"/>
      <c r="AD88" s="594"/>
      <c r="AE88" s="594"/>
      <c r="AF88" s="594">
        <v>4</v>
      </c>
      <c r="AG88" s="594">
        <v>2</v>
      </c>
      <c r="AH88" s="594"/>
      <c r="AI88" s="594"/>
      <c r="AJ88" s="594"/>
      <c r="AK88" s="594"/>
      <c r="AL88" s="594"/>
      <c r="AM88" s="594"/>
      <c r="AN88" s="594"/>
      <c r="AO88" s="594"/>
      <c r="AP88" s="594"/>
      <c r="AQ88" s="594"/>
      <c r="AR88" s="594"/>
      <c r="AS88" s="594"/>
      <c r="AT88" s="594"/>
    </row>
    <row r="89" spans="1:49" ht="45" x14ac:dyDescent="0.25">
      <c r="A89" s="470" t="s">
        <v>1246</v>
      </c>
      <c r="B89" s="466">
        <v>8</v>
      </c>
      <c r="C89" s="466">
        <v>20</v>
      </c>
      <c r="D89" s="466">
        <v>2</v>
      </c>
      <c r="E89" s="466">
        <v>1</v>
      </c>
      <c r="F89" s="466">
        <v>0</v>
      </c>
      <c r="G89" s="466">
        <v>0</v>
      </c>
      <c r="H89" s="502">
        <f>Table14[[#This Row],[Economy]]/Table14[[#This Row],[BP Cost]]</f>
        <v>0.125</v>
      </c>
      <c r="I89" s="502">
        <f>Table14[[#This Row],[Loyalty]]/Table14[[#This Row],[BP Cost]]</f>
        <v>0</v>
      </c>
      <c r="J89" s="502">
        <f>Table14[[#This Row],[Stability]]/Table14[[#This Row],[BP Cost]]</f>
        <v>0</v>
      </c>
      <c r="K89" s="466">
        <v>0</v>
      </c>
      <c r="L89" s="502">
        <f>Table14[[#This Row],[Unrest]]/Table14[[#This Row],[BP Cost]]</f>
        <v>0</v>
      </c>
      <c r="M89" s="466">
        <v>0</v>
      </c>
      <c r="N89" s="466">
        <v>0</v>
      </c>
      <c r="O89" s="466">
        <v>0</v>
      </c>
      <c r="P89" s="466">
        <v>0</v>
      </c>
      <c r="Q89" s="466">
        <v>1</v>
      </c>
      <c r="R89" s="466">
        <v>0</v>
      </c>
      <c r="S89" s="466">
        <v>0</v>
      </c>
      <c r="T89" s="466">
        <v>0</v>
      </c>
      <c r="U89" s="418"/>
      <c r="V89" s="418"/>
      <c r="W89" s="418"/>
      <c r="X89" s="418" t="s">
        <v>1247</v>
      </c>
      <c r="Y89" s="418"/>
      <c r="Z89" s="418"/>
      <c r="AA89" s="418"/>
      <c r="AB89" s="592"/>
      <c r="AC89" s="594"/>
      <c r="AD89" s="594"/>
      <c r="AE89" s="594"/>
      <c r="AF89" s="594"/>
      <c r="AG89" s="594"/>
      <c r="AH89" s="594"/>
      <c r="AI89" s="594"/>
      <c r="AJ89" s="594"/>
      <c r="AK89" s="594"/>
      <c r="AL89" s="594"/>
      <c r="AM89" s="594"/>
      <c r="AN89" s="594"/>
      <c r="AO89" s="594"/>
      <c r="AP89" s="594"/>
      <c r="AQ89" s="594"/>
      <c r="AR89" s="594"/>
      <c r="AS89" s="594"/>
      <c r="AT89" s="594"/>
    </row>
    <row r="90" spans="1:49" s="585" customFormat="1" x14ac:dyDescent="0.25">
      <c r="A90" s="581" t="s">
        <v>41</v>
      </c>
      <c r="B90" s="582">
        <v>12</v>
      </c>
      <c r="C90" s="582">
        <v>20</v>
      </c>
      <c r="D90" s="582">
        <v>1</v>
      </c>
      <c r="E90" s="582">
        <v>0</v>
      </c>
      <c r="F90" s="582">
        <v>0</v>
      </c>
      <c r="G90" s="582">
        <v>1</v>
      </c>
      <c r="H90" s="583">
        <f>Table14[[#This Row],[Economy]]/Table14[[#This Row],[BP Cost]]</f>
        <v>0</v>
      </c>
      <c r="I90" s="583">
        <f>Table14[[#This Row],[Loyalty]]/Table14[[#This Row],[BP Cost]]</f>
        <v>0</v>
      </c>
      <c r="J90" s="583">
        <f>Table14[[#This Row],[Stability]]/Table14[[#This Row],[BP Cost]]</f>
        <v>8.3333333333333329E-2</v>
      </c>
      <c r="K90" s="582">
        <v>-1</v>
      </c>
      <c r="L90" s="583">
        <f>Table14[[#This Row],[Unrest]]/Table14[[#This Row],[BP Cost]]</f>
        <v>-8.3333333333333329E-2</v>
      </c>
      <c r="M90" s="582">
        <v>0</v>
      </c>
      <c r="N90" s="582">
        <v>0</v>
      </c>
      <c r="O90" s="582">
        <v>0</v>
      </c>
      <c r="P90" s="582">
        <v>0</v>
      </c>
      <c r="Q90" s="582">
        <v>0</v>
      </c>
      <c r="R90" s="582">
        <v>0</v>
      </c>
      <c r="S90" s="582">
        <v>0</v>
      </c>
      <c r="T90" s="582">
        <v>0</v>
      </c>
      <c r="U90" s="584"/>
      <c r="V90" s="584"/>
      <c r="W90" s="584"/>
      <c r="X90" s="584"/>
      <c r="Y90" s="584" t="s">
        <v>929</v>
      </c>
      <c r="Z90" s="584"/>
      <c r="AA90" s="584" t="s">
        <v>1049</v>
      </c>
      <c r="AB90" s="595"/>
      <c r="AC90" s="596">
        <v>2</v>
      </c>
      <c r="AD90" s="596"/>
      <c r="AE90" s="596"/>
      <c r="AF90" s="596"/>
      <c r="AG90" s="596"/>
      <c r="AH90" s="596"/>
      <c r="AI90" s="596"/>
      <c r="AJ90" s="596"/>
      <c r="AK90" s="596"/>
      <c r="AL90" s="596"/>
      <c r="AM90" s="596"/>
      <c r="AN90" s="596"/>
      <c r="AO90" s="596"/>
      <c r="AP90" s="596"/>
      <c r="AQ90" s="596"/>
      <c r="AR90" s="596"/>
      <c r="AS90" s="596"/>
      <c r="AT90" s="596"/>
      <c r="AU90" s="586"/>
      <c r="AV90" s="586"/>
      <c r="AW90" s="586"/>
    </row>
    <row r="91" spans="1:49" ht="30" x14ac:dyDescent="0.25">
      <c r="A91" s="470" t="s">
        <v>42</v>
      </c>
      <c r="B91" s="466">
        <v>90</v>
      </c>
      <c r="C91" s="466">
        <v>200</v>
      </c>
      <c r="D91" s="466">
        <v>4</v>
      </c>
      <c r="E91" s="466">
        <v>4</v>
      </c>
      <c r="F91" s="466">
        <v>0</v>
      </c>
      <c r="G91" s="466">
        <v>0</v>
      </c>
      <c r="H91" s="502">
        <f>Table14[[#This Row],[Economy]]/Table14[[#This Row],[BP Cost]]</f>
        <v>4.4444444444444446E-2</v>
      </c>
      <c r="I91" s="502">
        <f>Table14[[#This Row],[Loyalty]]/Table14[[#This Row],[BP Cost]]</f>
        <v>0</v>
      </c>
      <c r="J91" s="502">
        <f>Table14[[#This Row],[Stability]]/Table14[[#This Row],[BP Cost]]</f>
        <v>0</v>
      </c>
      <c r="K91" s="466">
        <v>0</v>
      </c>
      <c r="L91" s="502">
        <f>Table14[[#This Row],[Unrest]]/Table14[[#This Row],[BP Cost]]</f>
        <v>0</v>
      </c>
      <c r="M91" s="466">
        <v>0</v>
      </c>
      <c r="N91" s="466">
        <v>0</v>
      </c>
      <c r="O91" s="466">
        <v>0</v>
      </c>
      <c r="P91" s="466">
        <v>0</v>
      </c>
      <c r="Q91" s="466">
        <v>2</v>
      </c>
      <c r="R91" s="466">
        <v>0</v>
      </c>
      <c r="S91" s="466">
        <v>0</v>
      </c>
      <c r="T91" s="466">
        <v>0</v>
      </c>
      <c r="U91" s="418" t="s">
        <v>1248</v>
      </c>
      <c r="V91" s="418" t="s">
        <v>348</v>
      </c>
      <c r="W91" s="418"/>
      <c r="X91" s="418" t="s">
        <v>1050</v>
      </c>
      <c r="Y91" s="418" t="s">
        <v>1051</v>
      </c>
      <c r="Z91" s="418" t="s">
        <v>1052</v>
      </c>
      <c r="AA91" s="418" t="s">
        <v>1053</v>
      </c>
      <c r="AB91" s="592"/>
      <c r="AC91" s="594"/>
      <c r="AD91" s="594">
        <v>4000</v>
      </c>
      <c r="AE91" s="594"/>
      <c r="AF91" s="594"/>
      <c r="AG91" s="594"/>
      <c r="AH91" s="594"/>
      <c r="AI91" s="594"/>
      <c r="AJ91" s="594"/>
      <c r="AK91" s="594"/>
      <c r="AL91" s="594"/>
      <c r="AM91" s="594"/>
      <c r="AN91" s="594">
        <v>2</v>
      </c>
      <c r="AO91" s="594">
        <v>1</v>
      </c>
      <c r="AP91" s="594">
        <v>1</v>
      </c>
      <c r="AQ91" s="594"/>
      <c r="AR91" s="594"/>
      <c r="AS91" s="594"/>
      <c r="AT91" s="594"/>
    </row>
    <row r="92" spans="1:49" s="585" customFormat="1" ht="45" x14ac:dyDescent="0.25">
      <c r="A92" s="581" t="s">
        <v>358</v>
      </c>
      <c r="B92" s="582">
        <v>2</v>
      </c>
      <c r="C92" s="582">
        <v>0</v>
      </c>
      <c r="D92" s="582">
        <v>0</v>
      </c>
      <c r="E92" s="582">
        <v>0</v>
      </c>
      <c r="F92" s="582">
        <v>0</v>
      </c>
      <c r="G92" s="582">
        <v>0</v>
      </c>
      <c r="H92" s="583">
        <f>Table14[[#This Row],[Economy]]/Table14[[#This Row],[BP Cost]]</f>
        <v>0</v>
      </c>
      <c r="I92" s="583">
        <f>Table14[[#This Row],[Loyalty]]/Table14[[#This Row],[BP Cost]]</f>
        <v>0</v>
      </c>
      <c r="J92" s="583">
        <f>Table14[[#This Row],[Stability]]/Table14[[#This Row],[BP Cost]]</f>
        <v>0</v>
      </c>
      <c r="K92" s="582">
        <v>0</v>
      </c>
      <c r="L92" s="583">
        <f>Table14[[#This Row],[Unrest]]/Table14[[#This Row],[BP Cost]]</f>
        <v>0</v>
      </c>
      <c r="M92" s="582">
        <v>0</v>
      </c>
      <c r="N92" s="582">
        <v>0</v>
      </c>
      <c r="O92" s="582">
        <v>0</v>
      </c>
      <c r="P92" s="582">
        <v>0</v>
      </c>
      <c r="Q92" s="582">
        <v>0</v>
      </c>
      <c r="R92" s="582">
        <v>0</v>
      </c>
      <c r="S92" s="582">
        <v>0</v>
      </c>
      <c r="T92" s="582">
        <v>0</v>
      </c>
      <c r="U92" s="584"/>
      <c r="V92" s="584"/>
      <c r="W92" s="584"/>
      <c r="X92" s="584"/>
      <c r="Y92" s="584" t="s">
        <v>1054</v>
      </c>
      <c r="Z92" s="584"/>
      <c r="AA92" s="584" t="s">
        <v>1055</v>
      </c>
      <c r="AB92" s="595"/>
      <c r="AC92" s="596"/>
      <c r="AD92" s="596"/>
      <c r="AE92" s="596"/>
      <c r="AF92" s="596"/>
      <c r="AG92" s="596"/>
      <c r="AH92" s="596"/>
      <c r="AI92" s="596"/>
      <c r="AJ92" s="596"/>
      <c r="AK92" s="596"/>
      <c r="AL92" s="596"/>
      <c r="AM92" s="596"/>
      <c r="AN92" s="596"/>
      <c r="AO92" s="596"/>
      <c r="AP92" s="596"/>
      <c r="AQ92" s="596"/>
      <c r="AR92" s="596"/>
      <c r="AS92" s="596"/>
      <c r="AT92" s="596"/>
      <c r="AU92" s="586"/>
      <c r="AV92" s="586"/>
      <c r="AW92" s="586"/>
    </row>
    <row r="93" spans="1:49" ht="45" x14ac:dyDescent="0.25">
      <c r="A93" s="470" t="s">
        <v>353</v>
      </c>
      <c r="B93" s="466">
        <v>3</v>
      </c>
      <c r="C93" s="466">
        <v>0</v>
      </c>
      <c r="D93" s="466">
        <v>2</v>
      </c>
      <c r="E93" s="466">
        <v>0</v>
      </c>
      <c r="F93" s="466">
        <v>0</v>
      </c>
      <c r="G93" s="466">
        <v>0</v>
      </c>
      <c r="H93" s="502">
        <f>Table14[[#This Row],[Economy]]/Table14[[#This Row],[BP Cost]]</f>
        <v>0</v>
      </c>
      <c r="I93" s="502">
        <f>Table14[[#This Row],[Loyalty]]/Table14[[#This Row],[BP Cost]]</f>
        <v>0</v>
      </c>
      <c r="J93" s="502">
        <f>Table14[[#This Row],[Stability]]/Table14[[#This Row],[BP Cost]]</f>
        <v>0</v>
      </c>
      <c r="K93" s="466">
        <v>0</v>
      </c>
      <c r="L93" s="502">
        <f>Table14[[#This Row],[Unrest]]/Table14[[#This Row],[BP Cost]]</f>
        <v>0</v>
      </c>
      <c r="M93" s="466">
        <v>0</v>
      </c>
      <c r="N93" s="466">
        <v>0</v>
      </c>
      <c r="O93" s="466">
        <v>0</v>
      </c>
      <c r="P93" s="466">
        <v>0</v>
      </c>
      <c r="Q93" s="466">
        <v>0</v>
      </c>
      <c r="R93" s="466">
        <v>0</v>
      </c>
      <c r="S93" s="466">
        <v>0</v>
      </c>
      <c r="T93" s="466">
        <v>0</v>
      </c>
      <c r="U93" s="418"/>
      <c r="V93" s="418"/>
      <c r="W93" s="418"/>
      <c r="X93" s="418"/>
      <c r="Y93" s="418" t="s">
        <v>1056</v>
      </c>
      <c r="Z93" s="418"/>
      <c r="AA93" s="418" t="s">
        <v>1057</v>
      </c>
      <c r="AB93" s="592"/>
      <c r="AC93" s="594"/>
      <c r="AD93" s="594"/>
      <c r="AE93" s="594"/>
      <c r="AF93" s="594"/>
      <c r="AG93" s="594"/>
      <c r="AH93" s="594"/>
      <c r="AI93" s="594"/>
      <c r="AJ93" s="594"/>
      <c r="AK93" s="594"/>
      <c r="AL93" s="594"/>
      <c r="AM93" s="594"/>
      <c r="AN93" s="594"/>
      <c r="AO93" s="594"/>
      <c r="AP93" s="594"/>
      <c r="AQ93" s="594"/>
      <c r="AR93" s="594"/>
      <c r="AS93" s="594"/>
      <c r="AT93" s="594"/>
    </row>
    <row r="94" spans="1:49" ht="45" x14ac:dyDescent="0.25">
      <c r="A94" s="510" t="s">
        <v>1250</v>
      </c>
      <c r="B94" s="511">
        <v>6</v>
      </c>
      <c r="C94" s="511">
        <v>10</v>
      </c>
      <c r="D94" s="511">
        <v>1</v>
      </c>
      <c r="E94" s="511">
        <v>1</v>
      </c>
      <c r="F94" s="511">
        <v>0</v>
      </c>
      <c r="G94" s="511">
        <v>0</v>
      </c>
      <c r="H94" s="512">
        <f>Table14[[#This Row],[Economy]]/Table14[[#This Row],[BP Cost]]</f>
        <v>0.16666666666666666</v>
      </c>
      <c r="I94" s="512">
        <f>Table14[[#This Row],[Loyalty]]/Table14[[#This Row],[BP Cost]]</f>
        <v>0</v>
      </c>
      <c r="J94" s="512">
        <f>Table14[[#This Row],[Stability]]/Table14[[#This Row],[BP Cost]]</f>
        <v>0</v>
      </c>
      <c r="K94" s="511">
        <v>0</v>
      </c>
      <c r="L94" s="512">
        <f>Table14[[#This Row],[Unrest]]/Table14[[#This Row],[BP Cost]]</f>
        <v>0</v>
      </c>
      <c r="M94" s="511">
        <v>0</v>
      </c>
      <c r="N94" s="511">
        <v>0</v>
      </c>
      <c r="O94" s="513">
        <v>0</v>
      </c>
      <c r="P94" s="513">
        <v>0</v>
      </c>
      <c r="Q94" s="513">
        <v>1</v>
      </c>
      <c r="R94" s="514">
        <v>0</v>
      </c>
      <c r="S94" s="513">
        <v>0</v>
      </c>
      <c r="T94" s="513">
        <v>0</v>
      </c>
      <c r="U94" s="515"/>
      <c r="V94" s="515"/>
      <c r="W94" s="515"/>
      <c r="X94" s="515"/>
      <c r="Y94" s="515" t="s">
        <v>1251</v>
      </c>
      <c r="Z94" s="515"/>
      <c r="AA94" s="516"/>
      <c r="AB94" s="592"/>
      <c r="AC94" s="594"/>
      <c r="AD94" s="594"/>
      <c r="AE94" s="594"/>
      <c r="AF94" s="594"/>
      <c r="AG94" s="594"/>
      <c r="AH94" s="594"/>
      <c r="AI94" s="594"/>
      <c r="AJ94" s="594"/>
      <c r="AK94" s="594"/>
      <c r="AL94" s="594"/>
      <c r="AM94" s="594"/>
      <c r="AN94" s="594"/>
      <c r="AO94" s="594"/>
      <c r="AP94" s="594"/>
      <c r="AQ94" s="594"/>
      <c r="AR94" s="594"/>
      <c r="AS94" s="594"/>
      <c r="AT94" s="594"/>
    </row>
    <row r="95" spans="1:49" x14ac:dyDescent="0.25">
      <c r="A95" s="510"/>
      <c r="B95" s="511"/>
      <c r="C95" s="511"/>
      <c r="D95" s="511"/>
      <c r="E95" s="511"/>
      <c r="F95" s="511"/>
      <c r="G95" s="511"/>
      <c r="H95" s="512"/>
      <c r="I95" s="512"/>
      <c r="J95" s="512"/>
      <c r="K95" s="511"/>
      <c r="L95" s="512"/>
      <c r="M95" s="511"/>
      <c r="N95" s="511"/>
      <c r="O95" s="513"/>
      <c r="P95" s="513"/>
      <c r="Q95" s="513"/>
      <c r="R95" s="514"/>
      <c r="S95" s="513"/>
      <c r="T95" s="513"/>
      <c r="U95" s="515"/>
      <c r="V95" s="515"/>
      <c r="W95" s="515"/>
      <c r="X95" s="515"/>
      <c r="Y95" s="515"/>
      <c r="Z95" s="515"/>
      <c r="AA95" s="516"/>
      <c r="AB95" s="592"/>
      <c r="AC95" s="594"/>
      <c r="AD95" s="594"/>
      <c r="AE95" s="594"/>
      <c r="AF95" s="594"/>
      <c r="AG95" s="594"/>
      <c r="AH95" s="594"/>
      <c r="AI95" s="594"/>
      <c r="AJ95" s="594"/>
      <c r="AK95" s="594"/>
      <c r="AL95" s="594"/>
      <c r="AM95" s="594"/>
      <c r="AN95" s="594"/>
      <c r="AO95" s="594"/>
      <c r="AP95" s="594"/>
      <c r="AQ95" s="594"/>
      <c r="AR95" s="594"/>
      <c r="AS95" s="594"/>
      <c r="AT95" s="594"/>
    </row>
    <row r="96" spans="1:49" x14ac:dyDescent="0.25">
      <c r="A96" s="510"/>
      <c r="B96" s="511"/>
      <c r="C96" s="511"/>
      <c r="D96" s="511"/>
      <c r="E96" s="511"/>
      <c r="F96" s="511"/>
      <c r="G96" s="511"/>
      <c r="H96" s="512"/>
      <c r="I96" s="512"/>
      <c r="J96" s="512"/>
      <c r="K96" s="511"/>
      <c r="L96" s="512"/>
      <c r="M96" s="511"/>
      <c r="N96" s="511"/>
      <c r="O96" s="513"/>
      <c r="P96" s="513"/>
      <c r="Q96" s="513"/>
      <c r="R96" s="514"/>
      <c r="S96" s="513"/>
      <c r="T96" s="513"/>
      <c r="U96" s="515"/>
      <c r="V96" s="515"/>
      <c r="W96" s="515"/>
      <c r="X96" s="515"/>
      <c r="Y96" s="515"/>
      <c r="Z96" s="515"/>
      <c r="AA96" s="516"/>
      <c r="AB96" s="600"/>
      <c r="AC96" s="601"/>
      <c r="AD96" s="601"/>
      <c r="AE96" s="601"/>
      <c r="AF96" s="601"/>
      <c r="AG96" s="601"/>
      <c r="AH96" s="601"/>
      <c r="AI96" s="601"/>
      <c r="AJ96" s="601"/>
      <c r="AK96" s="601"/>
      <c r="AL96" s="601"/>
      <c r="AM96" s="601"/>
      <c r="AN96" s="601"/>
      <c r="AO96" s="601"/>
      <c r="AP96" s="601"/>
      <c r="AQ96" s="601"/>
      <c r="AR96" s="601"/>
      <c r="AS96" s="601"/>
      <c r="AT96" s="601"/>
    </row>
  </sheetData>
  <sortState ref="AC1:AD1">
    <sortCondition ref="AC1"/>
  </sortState>
  <pageMargins left="0.25" right="0.25" top="0.25" bottom="0.25" header="0.3" footer="0.3"/>
  <pageSetup fitToHeight="0" orientation="landscape" r:id="rId1"/>
  <tableParts count="1">
    <tablePart r:id="rId2"/>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2:E14"/>
  <sheetViews>
    <sheetView topLeftCell="A5" workbookViewId="0">
      <selection activeCell="A3" sqref="A3"/>
    </sheetView>
  </sheetViews>
  <sheetFormatPr defaultColWidth="9.140625" defaultRowHeight="15" x14ac:dyDescent="0.25"/>
  <cols>
    <col min="1" max="1" width="12.85546875" style="314" bestFit="1" customWidth="1"/>
    <col min="2" max="2" width="42.28515625" style="314" customWidth="1"/>
    <col min="3" max="3" width="79.140625" style="314" customWidth="1"/>
    <col min="4" max="4" width="59" style="314" customWidth="1"/>
    <col min="5" max="5" width="73.7109375" style="314" customWidth="1"/>
    <col min="6" max="16384" width="9.140625" style="314"/>
  </cols>
  <sheetData>
    <row r="2" spans="1:5" x14ac:dyDescent="0.25">
      <c r="A2" s="314" t="s">
        <v>78</v>
      </c>
      <c r="B2" s="314" t="s">
        <v>327</v>
      </c>
      <c r="C2" s="314" t="s">
        <v>866</v>
      </c>
      <c r="D2" s="314" t="s">
        <v>867</v>
      </c>
      <c r="E2" s="314" t="s">
        <v>868</v>
      </c>
    </row>
    <row r="3" spans="1:5" ht="75" x14ac:dyDescent="0.25">
      <c r="A3" s="415" t="s">
        <v>857</v>
      </c>
      <c r="B3" s="317" t="s">
        <v>869</v>
      </c>
      <c r="C3" s="317" t="s">
        <v>870</v>
      </c>
      <c r="D3" s="317" t="s">
        <v>871</v>
      </c>
      <c r="E3" s="317" t="s">
        <v>872</v>
      </c>
    </row>
    <row r="4" spans="1:5" ht="60" x14ac:dyDescent="0.25">
      <c r="A4" s="415" t="s">
        <v>858</v>
      </c>
      <c r="D4" s="317" t="s">
        <v>873</v>
      </c>
      <c r="E4" s="314" t="s">
        <v>874</v>
      </c>
    </row>
    <row r="5" spans="1:5" ht="30" x14ac:dyDescent="0.25">
      <c r="A5" s="415" t="s">
        <v>859</v>
      </c>
      <c r="B5" s="314" t="s">
        <v>875</v>
      </c>
      <c r="C5" s="317" t="s">
        <v>876</v>
      </c>
      <c r="D5" s="317" t="s">
        <v>877</v>
      </c>
      <c r="E5" s="317" t="s">
        <v>878</v>
      </c>
    </row>
    <row r="6" spans="1:5" ht="30" x14ac:dyDescent="0.25">
      <c r="A6" s="415" t="s">
        <v>860</v>
      </c>
      <c r="B6" s="317" t="s">
        <v>879</v>
      </c>
      <c r="C6" s="314" t="s">
        <v>880</v>
      </c>
      <c r="D6" s="317" t="s">
        <v>877</v>
      </c>
      <c r="E6" s="314" t="s">
        <v>881</v>
      </c>
    </row>
    <row r="7" spans="1:5" ht="30" x14ac:dyDescent="0.25">
      <c r="A7" s="415" t="s">
        <v>861</v>
      </c>
      <c r="B7" s="314" t="s">
        <v>882</v>
      </c>
      <c r="C7" s="314" t="s">
        <v>883</v>
      </c>
      <c r="D7" s="314" t="s">
        <v>884</v>
      </c>
      <c r="E7" s="317" t="s">
        <v>885</v>
      </c>
    </row>
    <row r="8" spans="1:5" ht="60" x14ac:dyDescent="0.25">
      <c r="A8" s="415" t="s">
        <v>862</v>
      </c>
      <c r="B8" s="314" t="s">
        <v>886</v>
      </c>
      <c r="C8" s="317" t="s">
        <v>887</v>
      </c>
      <c r="D8" s="314" t="s">
        <v>888</v>
      </c>
      <c r="E8" s="317" t="s">
        <v>889</v>
      </c>
    </row>
    <row r="9" spans="1:5" ht="30" x14ac:dyDescent="0.25">
      <c r="A9" s="415" t="s">
        <v>863</v>
      </c>
      <c r="B9" s="314" t="s">
        <v>890</v>
      </c>
      <c r="C9" s="317" t="s">
        <v>891</v>
      </c>
      <c r="D9" s="317" t="s">
        <v>892</v>
      </c>
      <c r="E9" s="317" t="s">
        <v>893</v>
      </c>
    </row>
    <row r="10" spans="1:5" x14ac:dyDescent="0.25">
      <c r="A10" s="314" t="s">
        <v>224</v>
      </c>
      <c r="B10" s="314" t="s">
        <v>894</v>
      </c>
      <c r="C10" s="317" t="s">
        <v>895</v>
      </c>
      <c r="D10" s="314" t="s">
        <v>896</v>
      </c>
      <c r="E10" s="317" t="s">
        <v>897</v>
      </c>
    </row>
    <row r="11" spans="1:5" x14ac:dyDescent="0.25">
      <c r="A11" s="314" t="s">
        <v>314</v>
      </c>
      <c r="B11" s="314" t="s">
        <v>898</v>
      </c>
      <c r="C11" s="317" t="s">
        <v>899</v>
      </c>
      <c r="D11" s="314" t="s">
        <v>896</v>
      </c>
      <c r="E11" s="314" t="s">
        <v>900</v>
      </c>
    </row>
    <row r="12" spans="1:5" ht="30" x14ac:dyDescent="0.25">
      <c r="A12" s="415" t="s">
        <v>864</v>
      </c>
      <c r="B12" s="314" t="s">
        <v>886</v>
      </c>
      <c r="C12" s="317" t="s">
        <v>901</v>
      </c>
      <c r="D12" s="317" t="s">
        <v>902</v>
      </c>
      <c r="E12" s="317" t="s">
        <v>903</v>
      </c>
    </row>
    <row r="13" spans="1:5" ht="30" x14ac:dyDescent="0.25">
      <c r="A13" s="314" t="s">
        <v>315</v>
      </c>
      <c r="B13" s="314" t="s">
        <v>904</v>
      </c>
      <c r="C13" s="317" t="s">
        <v>899</v>
      </c>
      <c r="D13" s="314" t="s">
        <v>905</v>
      </c>
      <c r="E13" s="317" t="s">
        <v>906</v>
      </c>
    </row>
    <row r="14" spans="1:5" ht="45" x14ac:dyDescent="0.25">
      <c r="A14" s="415" t="s">
        <v>865</v>
      </c>
      <c r="B14" s="314" t="s">
        <v>886</v>
      </c>
      <c r="C14" s="317" t="s">
        <v>907</v>
      </c>
      <c r="D14" s="314" t="s">
        <v>908</v>
      </c>
      <c r="E14" s="317" t="s">
        <v>1090</v>
      </c>
    </row>
  </sheetData>
  <pageMargins left="0.7" right="0.7" top="0.75" bottom="0.75" header="0.3" footer="0.3"/>
  <legacy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
  <sheetViews>
    <sheetView topLeftCell="A10" zoomScale="80" zoomScaleNormal="80" workbookViewId="0">
      <selection sqref="A1:XFD1048576"/>
    </sheetView>
  </sheetViews>
  <sheetFormatPr defaultColWidth="8.85546875" defaultRowHeight="15" x14ac:dyDescent="0.25"/>
  <cols>
    <col min="1" max="16384" width="8.85546875" style="331"/>
  </cols>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CH281"/>
  <sheetViews>
    <sheetView zoomScale="75" zoomScaleNormal="75" workbookViewId="0">
      <selection activeCell="K56" sqref="K56"/>
    </sheetView>
  </sheetViews>
  <sheetFormatPr defaultRowHeight="15" x14ac:dyDescent="0.25"/>
  <cols>
    <col min="1" max="1" width="0.85546875" customWidth="1"/>
    <col min="2" max="2" width="28" customWidth="1"/>
    <col min="3" max="3" width="0.85546875" style="8" customWidth="1"/>
    <col min="4" max="4" width="12" customWidth="1"/>
    <col min="5" max="5" width="0.85546875" style="103" customWidth="1"/>
    <col min="6" max="6" width="12" style="103"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103" customWidth="1"/>
    <col min="15" max="15" width="10.28515625" style="103"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103" customWidth="1"/>
    <col min="23" max="23" width="9" style="103" customWidth="1"/>
    <col min="24" max="24" width="1" style="103" customWidth="1"/>
    <col min="25" max="25" width="10.140625" style="103" customWidth="1"/>
    <col min="26" max="26" width="0.85546875" style="103" customWidth="1"/>
    <col min="27" max="27" width="16.85546875" style="103" customWidth="1"/>
    <col min="28" max="28" width="0.85546875" style="103" customWidth="1"/>
    <col min="29" max="29" width="10.85546875" style="103"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44" width="9.140625" style="103" hidden="1" customWidth="1"/>
    <col min="45" max="45" width="9.140625" style="543" hidden="1" customWidth="1"/>
    <col min="46" max="62" width="9.140625" style="103"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453"/>
      <c r="F1" s="453"/>
      <c r="G1" s="11"/>
      <c r="H1" s="11"/>
      <c r="I1" s="11"/>
      <c r="J1" s="11"/>
      <c r="K1" s="11"/>
      <c r="L1" s="10"/>
      <c r="M1" s="11"/>
      <c r="N1" s="453"/>
      <c r="O1" s="453"/>
      <c r="P1" s="11"/>
      <c r="Q1" s="11"/>
      <c r="R1" s="11"/>
      <c r="S1" s="11"/>
      <c r="T1" s="11"/>
      <c r="U1" s="11"/>
      <c r="V1" s="453"/>
      <c r="W1" s="453"/>
      <c r="X1" s="453"/>
      <c r="Y1" s="453"/>
      <c r="Z1" s="453"/>
      <c r="AA1" s="453"/>
      <c r="AB1" s="453"/>
      <c r="AC1" s="453"/>
      <c r="AD1" s="144"/>
      <c r="AE1" s="452"/>
      <c r="AF1" s="452"/>
      <c r="AG1" s="452"/>
      <c r="AH1" s="452"/>
      <c r="AI1" s="452"/>
      <c r="AJ1" s="452"/>
      <c r="AK1" s="97"/>
      <c r="AL1" s="61"/>
    </row>
    <row r="2" spans="1:81" ht="15.75" thickBot="1" x14ac:dyDescent="0.3">
      <c r="A2" s="15"/>
      <c r="B2" s="45" t="s">
        <v>78</v>
      </c>
      <c r="C2" s="43"/>
      <c r="D2" s="674" t="s">
        <v>1857</v>
      </c>
      <c r="E2" s="744"/>
      <c r="F2" s="744"/>
      <c r="G2" s="744"/>
      <c r="H2" s="744"/>
      <c r="I2" s="744"/>
      <c r="J2" s="744"/>
      <c r="K2" s="744"/>
      <c r="L2" s="744"/>
      <c r="M2" s="675"/>
      <c r="N2" s="198"/>
      <c r="O2" s="198"/>
      <c r="Q2" s="743" t="s">
        <v>86</v>
      </c>
      <c r="R2" s="743"/>
      <c r="S2" s="743"/>
      <c r="T2" s="3"/>
      <c r="U2" s="540">
        <f>IF(AA6="","",(1+BQ92)*MIN(AU92+VLOOKUP(AA6,'Drop Down'!Y14:AC17,4,FALSE),VLOOKUP(AA6,'Drop Down'!Y14:AC17,5,FALSE)))</f>
        <v>100</v>
      </c>
      <c r="V2" s="198"/>
      <c r="W2" s="198"/>
      <c r="X2" s="198"/>
      <c r="Y2" s="450" t="s">
        <v>629</v>
      </c>
      <c r="Z2" s="198"/>
      <c r="AA2" s="126">
        <f>AQ92+AC2</f>
        <v>0</v>
      </c>
      <c r="AB2"/>
      <c r="AC2" s="39"/>
      <c r="AD2" s="97"/>
      <c r="AE2" s="452"/>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450" t="s">
        <v>46</v>
      </c>
      <c r="C4"/>
      <c r="D4" s="540">
        <f>(IF(AA6="Village",INT(AS92*0.5),IF(AA6="City",AS92*2,IF(AA6="Metropolis",AS92*U8,AS92))))*BV20+F4</f>
        <v>5</v>
      </c>
      <c r="F4" s="39"/>
      <c r="G4"/>
      <c r="H4" s="738" t="s">
        <v>640</v>
      </c>
      <c r="I4" s="738"/>
      <c r="J4" s="738"/>
      <c r="K4" s="738"/>
      <c r="M4" s="126">
        <f>(IF(IF((SUM(D16:D66)+SUM(D70:D74)+SUM(M16:M66)+SUM(M70:M72)+SUM(U16:U66)+SUM(U70:U72))&lt;1,0,(BK92+AQ6))&gt;Overall!D20,IF((SUM(D16:D66)+SUM(D70:D74)+SUM(M16:M66)+SUM(M70:M72)+SUM(U16:U66)+SUM(U70:U72))&lt;1,0,(BK92+AQ6)),Overall!D20))+O4</f>
        <v>-1</v>
      </c>
      <c r="O4" s="39"/>
      <c r="P4"/>
      <c r="Q4" s="738" t="s">
        <v>1768</v>
      </c>
      <c r="R4" s="738"/>
      <c r="S4" s="738"/>
      <c r="U4" s="126">
        <f>IF(AA6&lt;&gt;"",(1+BS92)*VLOOKUP(AA6,'Drop Down'!Y14:AF17,7,FALSE),"")</f>
        <v>2500</v>
      </c>
      <c r="V4"/>
      <c r="W4"/>
      <c r="X4"/>
      <c r="Y4" s="450" t="s">
        <v>630</v>
      </c>
      <c r="Z4" s="47"/>
      <c r="AA4" s="540">
        <f>INT(AR92+AC4)</f>
        <v>0</v>
      </c>
      <c r="AB4"/>
      <c r="AC4" s="39"/>
      <c r="AD4" s="97"/>
      <c r="AE4" s="452"/>
      <c r="AF4" s="221" t="str">
        <f>B210</f>
        <v>Minor Potion, Scroll, or Wondrous Item</v>
      </c>
      <c r="AG4" s="220" t="str">
        <f>D210</f>
        <v>×1</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450"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-1</v>
      </c>
      <c r="N6"/>
      <c r="O6" s="39"/>
      <c r="P6"/>
      <c r="Q6" s="743" t="s">
        <v>85</v>
      </c>
      <c r="R6" s="743"/>
      <c r="S6" s="743"/>
      <c r="T6" s="135"/>
      <c r="U6" s="126">
        <f>AP92</f>
        <v>0</v>
      </c>
      <c r="X6"/>
      <c r="Y6" s="447" t="s">
        <v>84</v>
      </c>
      <c r="Z6" s="76"/>
      <c r="AA6" s="126" t="str">
        <f>AP8</f>
        <v>Village</v>
      </c>
      <c r="AB6"/>
      <c r="AC6"/>
      <c r="AD6" s="97"/>
      <c r="AE6" s="452"/>
      <c r="AF6" s="221" t="str">
        <f>B212</f>
        <v/>
      </c>
      <c r="AG6" s="220" t="str">
        <f>D212</f>
        <v/>
      </c>
      <c r="AH6" s="204"/>
      <c r="AI6" s="221" t="str">
        <f>B213</f>
        <v/>
      </c>
      <c r="AJ6" s="220" t="str">
        <f>D213</f>
        <v/>
      </c>
      <c r="AK6" s="204"/>
      <c r="AL6" s="61"/>
      <c r="AN6" s="103">
        <f>IF(D4&lt;20,'Drop Down'!Q14,IF(D4&lt;61,'Drop Down'!Q15,IF(D4&lt;201,'Drop Down'!Q16,IF(D4&lt;5001,'Drop Down'!Q18,IF(D4&lt;10001,'Drop Down'!Q19,IF(D4&lt;25001,'Drop Down'!Q20,'Drop Down'!Q21))))))</f>
        <v>-4</v>
      </c>
      <c r="AP6" s="103">
        <f>IF(AP8&lt;&gt;"",VLOOKUP(AP8,'Drop Down'!Y14:AA17,3,FALSE),0)</f>
        <v>-2</v>
      </c>
      <c r="AQ6" s="103">
        <f>IF(AP8="Metropolis",AP6*U8,AP6)</f>
        <v>-2</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452"/>
      <c r="AF7" s="226"/>
      <c r="AG7" s="227"/>
      <c r="AH7" s="202"/>
      <c r="AI7" s="226"/>
      <c r="AJ7" s="227"/>
      <c r="AK7" s="204"/>
      <c r="AL7" s="61"/>
      <c r="BY7" s="132"/>
      <c r="BZ7" s="132"/>
      <c r="CA7" s="133"/>
      <c r="CB7" s="133"/>
      <c r="CC7" s="133"/>
    </row>
    <row r="8" spans="1:81" ht="15.75" customHeight="1" thickBot="1" x14ac:dyDescent="0.3">
      <c r="A8" s="15"/>
      <c r="B8" s="450" t="s">
        <v>50</v>
      </c>
      <c r="C8" s="135"/>
      <c r="D8" s="540">
        <f>AN92+F8</f>
        <v>1</v>
      </c>
      <c r="E8"/>
      <c r="F8" s="39"/>
      <c r="G8"/>
      <c r="H8" s="738" t="s">
        <v>643</v>
      </c>
      <c r="I8" s="738"/>
      <c r="J8" s="738"/>
      <c r="K8" s="738"/>
      <c r="L8" s="135"/>
      <c r="M8" s="126">
        <f>(IF(IF((SUM(D16:D66)+SUM(D70:D74)+SUM(M16:M66)+SUM(M70:M72)+SUM(U16:U66)+SUM(U70:U72))&lt;1,0,(BN92+AQ6))&gt;Overall!D24,IF((SUM(D16:D66)+SUM(D70:D74)+SUM(M16:M66)+SUM(M70:M72)+SUM(U16:U66)+SUM(U70:U72))&lt;1,0,(BN92+AQ6)),Overall!D24))+O8</f>
        <v>-1</v>
      </c>
      <c r="N8"/>
      <c r="O8" s="39"/>
      <c r="P8"/>
      <c r="Q8" s="743" t="s">
        <v>135</v>
      </c>
      <c r="R8" s="743"/>
      <c r="S8" s="743"/>
      <c r="T8" s="198"/>
      <c r="U8" s="126">
        <f>(ROUNDUP((AT92/36),0))+W8</f>
        <v>1</v>
      </c>
      <c r="V8"/>
      <c r="W8" s="39"/>
      <c r="X8"/>
      <c r="Y8" s="737" t="s">
        <v>1751</v>
      </c>
      <c r="Z8" s="737"/>
      <c r="AA8" s="737"/>
      <c r="AB8"/>
      <c r="AC8" s="621">
        <f>IF(AA6&lt;&gt;"",MIN(9,BT92+VLOOKUP(AA6,'Drop Down'!Y14:AG17,9,FALSE)),"")</f>
        <v>3</v>
      </c>
      <c r="AD8" s="97"/>
      <c r="AE8" s="452"/>
      <c r="AF8" s="221" t="str">
        <f>B214</f>
        <v/>
      </c>
      <c r="AG8" s="220" t="str">
        <f>D214</f>
        <v/>
      </c>
      <c r="AH8" s="204"/>
      <c r="AI8" s="221" t="str">
        <f>B215</f>
        <v/>
      </c>
      <c r="AJ8" s="220" t="str">
        <f>D215</f>
        <v/>
      </c>
      <c r="AK8" s="204"/>
      <c r="AL8" s="61"/>
      <c r="AN8" s="103" t="str">
        <f>IF(D4&lt;20,'Drop Down'!O14,IF(D4&lt;61,'Drop Down'!O15,IF(D4&lt;201,'Drop Down'!O16,IF(D4&lt;2001, 'Drop Down'!O17,IF(D4&lt;5001,'Drop Down'!O18,IF(D4&lt;10001,'Drop Down'!O19,IF(D4&lt;25001,'Drop Down'!O20,'Drop Down'!O21)))))))</f>
        <v>Thorp</v>
      </c>
      <c r="AP8" s="103" t="str">
        <f>IF(U8&gt;1,'Drop Down'!Y17,IF(AT92&lt;1,"",IF(AT92&lt;5,'Drop Down'!Y14,IF(AT92&lt;17,'Drop Down'!Y15,IF(AT92&lt;37,'Drop Down'!Y16,'Drop Down'!Y17)))))</f>
        <v>Village</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452"/>
      <c r="AF9" s="226"/>
      <c r="AG9" s="227"/>
      <c r="AH9" s="202"/>
      <c r="AI9" s="226"/>
      <c r="AJ9" s="227"/>
      <c r="AK9" s="204"/>
      <c r="AL9" s="61"/>
      <c r="BY9" s="132"/>
      <c r="BZ9" s="132"/>
      <c r="CA9" s="133"/>
      <c r="CB9" s="133"/>
      <c r="CC9" s="133"/>
    </row>
    <row r="10" spans="1:81" ht="15.75" customHeight="1" thickBot="1" x14ac:dyDescent="0.3">
      <c r="A10" s="15"/>
      <c r="B10" s="450"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-1</v>
      </c>
      <c r="V10"/>
      <c r="W10" s="39"/>
      <c r="X10"/>
      <c r="Y10" s="737" t="s">
        <v>1752</v>
      </c>
      <c r="Z10" s="737"/>
      <c r="AA10" s="737"/>
      <c r="AB10"/>
      <c r="AC10" s="621">
        <f>IF(AA6&lt;&gt;"",MIN(9,BU92+VLOOKUP(AA6,'Drop Down'!Y14:AG17,9,FALSE)),"")</f>
        <v>3</v>
      </c>
      <c r="AD10" s="97"/>
      <c r="AE10" s="452"/>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14"/>
      <c r="AF11" s="226"/>
      <c r="AG11" s="227"/>
      <c r="AH11" s="202"/>
      <c r="AI11" s="226"/>
      <c r="AJ11" s="227"/>
      <c r="AK11" s="204"/>
      <c r="AL11" s="61"/>
      <c r="AM11" s="613"/>
      <c r="AN11" s="613"/>
      <c r="AO11" s="613"/>
      <c r="AP11" s="613"/>
      <c r="AQ11" s="613"/>
      <c r="AR11" s="613"/>
      <c r="AS11" s="613"/>
      <c r="AT11" s="613"/>
      <c r="AU11" s="613"/>
      <c r="AV11" s="613"/>
      <c r="AW11" s="613"/>
      <c r="AX11" s="613"/>
      <c r="AY11" s="613"/>
      <c r="AZ11" s="613"/>
      <c r="BA11" s="613"/>
      <c r="BB11" s="613"/>
      <c r="BC11" s="613"/>
      <c r="BD11" s="613"/>
      <c r="BE11" s="613"/>
      <c r="BF11" s="613"/>
      <c r="BG11" s="613"/>
      <c r="BH11" s="613"/>
      <c r="BI11" s="613"/>
      <c r="BJ11" s="613"/>
      <c r="BY11" s="134"/>
      <c r="BZ11" s="134"/>
      <c r="CA11" s="133"/>
      <c r="CB11" s="133"/>
      <c r="CC11" s="133"/>
    </row>
    <row r="12" spans="1:81" ht="15.75" customHeight="1" thickBot="1" x14ac:dyDescent="0.3">
      <c r="A12" s="15"/>
      <c r="B12" s="612" t="s">
        <v>660</v>
      </c>
      <c r="D12" s="540" t="e">
        <f>IF(AA6&lt;&gt;"",BR92+VLOOKUP(AA6,'Drop Down'!Y14:AF18,8,FALSE)+VLOOKUP(W18,'Drop Down'!Y65:Z74,2,FALSE),0)</f>
        <v>#N/A</v>
      </c>
      <c r="E12" s="613"/>
      <c r="F12" s="616"/>
      <c r="G12"/>
      <c r="H12" s="611"/>
      <c r="I12" s="611"/>
      <c r="J12" s="611"/>
      <c r="K12" s="611"/>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14"/>
      <c r="AF12" s="226"/>
      <c r="AG12" s="227"/>
      <c r="AH12" s="202"/>
      <c r="AI12" s="226"/>
      <c r="AJ12" s="227"/>
      <c r="AK12" s="204"/>
      <c r="AL12" s="61"/>
      <c r="AM12" s="613"/>
      <c r="AN12" s="613"/>
      <c r="AO12" s="613"/>
      <c r="AP12" s="613"/>
      <c r="AQ12" s="613"/>
      <c r="AR12" s="613"/>
      <c r="AS12" s="613"/>
      <c r="AT12" s="613"/>
      <c r="AU12" s="613"/>
      <c r="AV12" s="613"/>
      <c r="AW12" s="613"/>
      <c r="AX12" s="613"/>
      <c r="AY12" s="613"/>
      <c r="AZ12" s="613"/>
      <c r="BA12" s="613"/>
      <c r="BB12" s="613"/>
      <c r="BC12" s="613"/>
      <c r="BD12" s="613"/>
      <c r="BE12" s="613"/>
      <c r="BF12" s="613"/>
      <c r="BG12" s="613"/>
      <c r="BH12" s="613"/>
      <c r="BI12" s="613"/>
      <c r="BJ12" s="613"/>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452"/>
      <c r="AF14" s="221" t="str">
        <f>B218</f>
        <v/>
      </c>
      <c r="AG14" s="220" t="str">
        <f>D218</f>
        <v/>
      </c>
      <c r="AH14" s="204"/>
      <c r="AI14" s="221" t="str">
        <f>B219</f>
        <v/>
      </c>
      <c r="AJ14" s="220" t="str">
        <f>D219</f>
        <v/>
      </c>
      <c r="AK14" s="204"/>
      <c r="AL14" s="452"/>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452"/>
      <c r="AF15" s="226"/>
      <c r="AG15" s="227"/>
      <c r="AH15" s="202"/>
      <c r="AI15" s="226"/>
      <c r="AJ15" s="227"/>
      <c r="AK15" s="204"/>
      <c r="AL15" s="452"/>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452"/>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451"/>
      <c r="I17" s="451"/>
      <c r="J17" s="451"/>
      <c r="K17" s="451"/>
      <c r="M17" s="3"/>
      <c r="N17" s="198"/>
      <c r="O17" s="198"/>
      <c r="Q17" s="355"/>
      <c r="R17" s="355"/>
      <c r="S17" s="355"/>
      <c r="T17" s="3"/>
      <c r="U17" s="3"/>
      <c r="V17" s="198"/>
      <c r="W17" s="198"/>
      <c r="X17" s="198"/>
      <c r="Y17" s="198"/>
      <c r="Z17" s="198"/>
      <c r="AA17" s="198"/>
      <c r="AB17" s="198"/>
      <c r="AC17" s="198"/>
      <c r="AD17" s="97"/>
      <c r="AE17" s="452"/>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507"/>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06"/>
      <c r="I19" s="506"/>
      <c r="J19" s="506"/>
      <c r="K19" s="506"/>
      <c r="M19" s="3"/>
      <c r="N19" s="198"/>
      <c r="O19" s="198"/>
      <c r="Q19" s="355"/>
      <c r="R19" s="355"/>
      <c r="S19" s="355"/>
      <c r="T19" s="3"/>
      <c r="U19" s="3"/>
      <c r="V19" s="198"/>
      <c r="W19" s="198"/>
      <c r="X19" s="198"/>
      <c r="Y19" s="198"/>
      <c r="Z19" s="198"/>
      <c r="AA19" s="198"/>
      <c r="AB19" s="198"/>
      <c r="AC19" s="198"/>
      <c r="AD19" s="97"/>
      <c r="AE19" s="507"/>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452"/>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451"/>
      <c r="I21" s="451"/>
      <c r="J21" s="451"/>
      <c r="K21" s="451"/>
      <c r="M21" s="3"/>
      <c r="N21" s="198"/>
      <c r="O21" s="198"/>
      <c r="Q21" s="355"/>
      <c r="R21" s="355"/>
      <c r="S21" s="355"/>
      <c r="T21" s="3"/>
      <c r="U21" s="3"/>
      <c r="V21" s="198"/>
      <c r="W21" s="198"/>
      <c r="X21" s="198"/>
      <c r="Y21" s="198"/>
      <c r="Z21" s="198"/>
      <c r="AA21" s="198"/>
      <c r="AB21" s="198"/>
      <c r="AC21" s="198"/>
      <c r="AD21" s="97"/>
      <c r="AE21" s="452"/>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452"/>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17"/>
      <c r="E23" s="16"/>
      <c r="F23" s="16"/>
      <c r="H23"/>
      <c r="I23"/>
      <c r="J23"/>
      <c r="M23" s="517"/>
      <c r="N23" s="16"/>
      <c r="O23" s="16"/>
      <c r="Q23" s="747"/>
      <c r="R23" s="747"/>
      <c r="S23" s="747"/>
      <c r="T23" s="3"/>
      <c r="U23" s="517"/>
      <c r="V23" s="16"/>
      <c r="W23" s="16"/>
      <c r="X23" s="16"/>
      <c r="Y23" s="16"/>
      <c r="Z23" s="16"/>
      <c r="AA23" s="16"/>
      <c r="AB23" s="16"/>
      <c r="AC23" s="16"/>
      <c r="AD23" s="97"/>
      <c r="AE23" s="507"/>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507"/>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452"/>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452"/>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452"/>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452"/>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452"/>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452"/>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17"/>
      <c r="E31" s="16"/>
      <c r="F31" s="16"/>
      <c r="H31"/>
      <c r="I31"/>
      <c r="J31"/>
      <c r="M31" s="517"/>
      <c r="N31" s="16"/>
      <c r="O31" s="16"/>
      <c r="Q31"/>
      <c r="R31"/>
      <c r="T31" s="3"/>
      <c r="U31" s="517"/>
      <c r="V31" s="16"/>
      <c r="W31" s="16"/>
      <c r="X31" s="16"/>
      <c r="Y31" s="16"/>
      <c r="Z31" s="16"/>
      <c r="AA31" s="16"/>
      <c r="AB31" s="16"/>
      <c r="AC31" s="16"/>
      <c r="AD31" s="97"/>
      <c r="AE31" s="507"/>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507"/>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452"/>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v>1</v>
      </c>
      <c r="V34" s="16"/>
      <c r="W34" s="16"/>
      <c r="X34" s="16"/>
      <c r="Y34" s="16"/>
      <c r="Z34" s="16"/>
      <c r="AA34" s="16"/>
      <c r="AB34" s="16"/>
      <c r="AC34" s="16"/>
      <c r="AD34" s="97"/>
      <c r="AE34" s="452"/>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1</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10</v>
      </c>
      <c r="AT34" s="471">
        <f>$D34*(VLOOKUP($B34,Buildings!$A$2:$AT$94,4,FALSE))+$M34*(VLOOKUP($H34,Buildings!$A$2:$AT$94,4,FALSE))+($U34+$D$275)*(VLOOKUP($Q34,Buildings!$A$2:$AT$94,4,FALSE))</f>
        <v>1</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1</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452"/>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507"/>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507"/>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452"/>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452"/>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507"/>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507"/>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452"/>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452"/>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452"/>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452"/>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452"/>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452"/>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452"/>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452"/>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452"/>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452"/>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452"/>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452"/>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452"/>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452"/>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452"/>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452"/>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452"/>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452"/>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452"/>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452"/>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452"/>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452"/>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452"/>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452"/>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452"/>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22"/>
      <c r="AD67" s="97"/>
      <c r="AE67" s="452"/>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452"/>
      <c r="AF68" s="739"/>
      <c r="AG68" s="740"/>
      <c r="AH68" s="228"/>
      <c r="AI68" s="749"/>
      <c r="AJ68" s="750"/>
      <c r="AK68" s="204"/>
      <c r="AL68" s="452"/>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452"/>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452"/>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452"/>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452"/>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452"/>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452"/>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1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1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09"/>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11"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09"/>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09"/>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09"/>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1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1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09"/>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09"/>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09"/>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09"/>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09"/>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09"/>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09"/>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09"/>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452"/>
      <c r="C91" s="298"/>
      <c r="D91" s="452"/>
      <c r="E91" s="67"/>
      <c r="F91" s="67"/>
      <c r="G91" s="452"/>
      <c r="H91" s="452"/>
      <c r="I91" s="452"/>
      <c r="J91" s="452"/>
      <c r="K91" s="452"/>
      <c r="L91" s="298"/>
      <c r="M91" s="452"/>
      <c r="N91" s="67"/>
      <c r="O91" s="67"/>
      <c r="P91" s="452"/>
      <c r="Q91" s="452"/>
      <c r="R91" s="452"/>
      <c r="S91" s="452"/>
      <c r="T91" s="452"/>
      <c r="U91" s="452"/>
      <c r="V91" s="448"/>
      <c r="W91" s="448"/>
      <c r="X91" s="448"/>
      <c r="Y91" s="448"/>
      <c r="Z91" s="448"/>
      <c r="AA91" s="448"/>
      <c r="AB91" s="448"/>
      <c r="AC91" s="448"/>
      <c r="AD91" s="97"/>
      <c r="AE91" s="452"/>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1</v>
      </c>
      <c r="AO92" s="477">
        <f>SUM(AO16:AO90)+Q275+BX32+BX38</f>
        <v>0</v>
      </c>
      <c r="AP92" s="477">
        <f>SUM(AP16:AP90)+BY32+BY38</f>
        <v>0</v>
      </c>
      <c r="AQ92" s="477">
        <f>SUM(AQ16:AQ90)+CG38</f>
        <v>0</v>
      </c>
      <c r="AR92" s="477">
        <f>SUM(AR16:AR90)+CH38</f>
        <v>0</v>
      </c>
      <c r="AS92" s="477">
        <f t="shared" ref="AS92:BJ92" si="1">SUM(AS16:AS90)</f>
        <v>10</v>
      </c>
      <c r="AT92" s="477">
        <f t="shared" si="1"/>
        <v>1</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1</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4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103"/>
      <c r="CC95" s="103"/>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103"/>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103"/>
    </row>
    <row r="99" spans="1:81" ht="4.5" customHeight="1" thickBot="1" x14ac:dyDescent="0.3">
      <c r="A99" s="2"/>
      <c r="B99" s="2"/>
      <c r="C99" s="23"/>
      <c r="D99" s="2"/>
      <c r="E99" s="449"/>
      <c r="F99" s="449"/>
      <c r="G99" s="2"/>
      <c r="H99" s="2"/>
      <c r="I99" s="2"/>
      <c r="J99" s="2"/>
      <c r="K99" s="2"/>
      <c r="L99" s="23"/>
      <c r="M99" s="2"/>
      <c r="N99" s="449"/>
      <c r="O99" s="449"/>
      <c r="P99" s="2"/>
      <c r="Q99" s="2"/>
      <c r="R99" s="2"/>
      <c r="S99" s="2"/>
      <c r="T99" s="2"/>
      <c r="U99" s="2"/>
      <c r="V99" s="200"/>
      <c r="W99" s="200"/>
      <c r="X99" s="200"/>
      <c r="Y99" s="200"/>
      <c r="Z99" s="200"/>
      <c r="AA99" s="200"/>
      <c r="AB99" s="200"/>
      <c r="AC99" s="200"/>
      <c r="AD99" s="2"/>
      <c r="AE99" s="2"/>
      <c r="AF99" s="2"/>
      <c r="AG99" s="2"/>
      <c r="AH99" s="2"/>
      <c r="AI99" s="2"/>
      <c r="AJ99" s="2"/>
      <c r="AK99" s="24"/>
      <c r="CC99" s="103"/>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103"/>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103"/>
    </row>
    <row r="102" spans="1:81" ht="15" hidden="1" customHeight="1" x14ac:dyDescent="0.25">
      <c r="B102" s="131" t="s">
        <v>365</v>
      </c>
      <c r="C102" s="131"/>
      <c r="D102" s="44" t="s">
        <v>81</v>
      </c>
      <c r="F102" s="44" t="s">
        <v>366</v>
      </c>
      <c r="H102" s="44" t="s">
        <v>367</v>
      </c>
      <c r="CC102" s="103"/>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E107" s="543"/>
      <c r="F107" s="133">
        <v>4</v>
      </c>
      <c r="H107" s="133">
        <f>D54</f>
        <v>0</v>
      </c>
      <c r="N107" s="543"/>
      <c r="O107" s="543"/>
      <c r="V107" s="543"/>
      <c r="W107" s="543"/>
      <c r="X107" s="543"/>
      <c r="Y107" s="543"/>
      <c r="Z107" s="543"/>
      <c r="AA107" s="543"/>
      <c r="AB107" s="543"/>
      <c r="AC107" s="543"/>
      <c r="AM107" s="543"/>
      <c r="AN107" s="543"/>
      <c r="AO107" s="543"/>
      <c r="AP107" s="543"/>
      <c r="AQ107" s="543"/>
      <c r="AR107" s="543"/>
      <c r="AT107" s="543"/>
      <c r="AU107" s="543"/>
      <c r="AV107" s="543"/>
      <c r="AW107" s="543"/>
      <c r="AX107" s="543"/>
      <c r="AY107" s="543"/>
      <c r="AZ107" s="543"/>
      <c r="BA107" s="543"/>
      <c r="BB107" s="543"/>
      <c r="BC107" s="543"/>
      <c r="BD107" s="543"/>
      <c r="BE107" s="543"/>
      <c r="BF107" s="543"/>
      <c r="BG107" s="543"/>
      <c r="BH107" s="543"/>
      <c r="BI107" s="543"/>
      <c r="BJ107" s="543"/>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E113" s="543"/>
      <c r="F113" s="133">
        <v>4</v>
      </c>
      <c r="H113" s="133">
        <f>M28</f>
        <v>0</v>
      </c>
      <c r="N113" s="543"/>
      <c r="O113" s="543"/>
      <c r="V113" s="543"/>
      <c r="W113" s="543"/>
      <c r="X113" s="543"/>
      <c r="Y113" s="543"/>
      <c r="Z113" s="543"/>
      <c r="AA113" s="543"/>
      <c r="AB113" s="543"/>
      <c r="AC113" s="543"/>
      <c r="AM113" s="543"/>
      <c r="AN113" s="543"/>
      <c r="AO113" s="543"/>
      <c r="AP113" s="543"/>
      <c r="AQ113" s="543"/>
      <c r="AR113" s="543"/>
      <c r="AT113" s="543"/>
      <c r="AU113" s="543"/>
      <c r="AV113" s="543"/>
      <c r="AW113" s="543"/>
      <c r="AX113" s="543"/>
      <c r="AY113" s="543"/>
      <c r="AZ113" s="543"/>
      <c r="BA113" s="543"/>
      <c r="BB113" s="543"/>
      <c r="BC113" s="543"/>
      <c r="BD113" s="543"/>
      <c r="BE113" s="543"/>
      <c r="BF113" s="543"/>
      <c r="BG113" s="543"/>
      <c r="BH113" s="543"/>
      <c r="BI113" s="543"/>
      <c r="BJ113" s="543"/>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103"/>
    </row>
    <row r="123" spans="2:81" ht="15" hidden="1" customHeight="1" x14ac:dyDescent="0.25">
      <c r="B123" s="132" t="s">
        <v>1214</v>
      </c>
      <c r="C123" s="132"/>
      <c r="D123" s="133">
        <v>30</v>
      </c>
      <c r="E123" s="543"/>
      <c r="F123" s="133">
        <v>2</v>
      </c>
      <c r="H123" s="133">
        <f>D24</f>
        <v>0</v>
      </c>
      <c r="N123" s="543"/>
      <c r="O123" s="543"/>
      <c r="V123" s="543"/>
      <c r="W123" s="543"/>
      <c r="X123" s="543"/>
      <c r="Y123" s="543"/>
      <c r="Z123" s="543"/>
      <c r="AA123" s="543"/>
      <c r="AB123" s="543"/>
      <c r="AC123" s="543"/>
      <c r="AM123" s="543"/>
      <c r="AN123" s="543"/>
      <c r="AO123" s="543"/>
      <c r="AP123" s="543"/>
      <c r="AQ123" s="543"/>
      <c r="AR123" s="543"/>
      <c r="AT123" s="543"/>
      <c r="AU123" s="543"/>
      <c r="AV123" s="543"/>
      <c r="AW123" s="543"/>
      <c r="AX123" s="543"/>
      <c r="AY123" s="543"/>
      <c r="AZ123" s="543"/>
      <c r="BA123" s="543"/>
      <c r="BB123" s="543"/>
      <c r="BC123" s="543"/>
      <c r="BD123" s="543"/>
      <c r="BE123" s="543"/>
      <c r="BF123" s="543"/>
      <c r="BG123" s="543"/>
      <c r="BH123" s="543"/>
      <c r="BI123" s="543"/>
      <c r="BJ123" s="543"/>
      <c r="CC123" s="543"/>
    </row>
    <row r="124" spans="2:81" ht="15" hidden="1" customHeight="1" x14ac:dyDescent="0.25">
      <c r="B124" s="134" t="s">
        <v>7</v>
      </c>
      <c r="C124" s="134"/>
      <c r="D124" s="133">
        <v>30</v>
      </c>
      <c r="F124" s="133">
        <v>1</v>
      </c>
      <c r="H124" s="133">
        <f>D46</f>
        <v>0</v>
      </c>
      <c r="CC124" s="103"/>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E131" s="543"/>
      <c r="F131" s="133">
        <v>1</v>
      </c>
      <c r="H131" s="133">
        <f>M42</f>
        <v>0</v>
      </c>
      <c r="N131" s="543"/>
      <c r="O131" s="543"/>
      <c r="V131" s="543"/>
      <c r="W131" s="543"/>
      <c r="X131" s="543"/>
      <c r="Y131" s="543"/>
      <c r="Z131" s="543"/>
      <c r="AA131" s="543"/>
      <c r="AB131" s="543"/>
      <c r="AC131" s="543"/>
      <c r="AM131" s="543"/>
      <c r="AN131" s="543"/>
      <c r="AO131" s="543"/>
      <c r="AP131" s="543"/>
      <c r="AQ131" s="543"/>
      <c r="AR131" s="543"/>
      <c r="AT131" s="543"/>
      <c r="AU131" s="543"/>
      <c r="AV131" s="543"/>
      <c r="AW131" s="543"/>
      <c r="AX131" s="543"/>
      <c r="AY131" s="543"/>
      <c r="AZ131" s="543"/>
      <c r="BA131" s="543"/>
      <c r="BB131" s="543"/>
      <c r="BC131" s="543"/>
      <c r="BD131" s="543"/>
      <c r="BE131" s="543"/>
      <c r="BF131" s="543"/>
      <c r="BG131" s="543"/>
      <c r="BH131" s="543"/>
      <c r="BI131" s="543"/>
      <c r="BJ131" s="543"/>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E135" s="543"/>
      <c r="F135" s="133">
        <v>1</v>
      </c>
      <c r="H135" s="133">
        <f>D18</f>
        <v>0</v>
      </c>
      <c r="N135" s="543"/>
      <c r="O135" s="543"/>
      <c r="V135" s="543"/>
      <c r="W135" s="543"/>
      <c r="X135" s="543"/>
      <c r="Y135" s="543"/>
      <c r="Z135" s="543"/>
      <c r="AA135" s="543"/>
      <c r="AB135" s="543"/>
      <c r="AC135" s="543"/>
      <c r="AM135" s="543"/>
      <c r="AN135" s="543"/>
      <c r="AO135" s="543"/>
      <c r="AP135" s="543"/>
      <c r="AQ135" s="543"/>
      <c r="AR135" s="543"/>
      <c r="AT135" s="543"/>
      <c r="AU135" s="543"/>
      <c r="AV135" s="543"/>
      <c r="AW135" s="543"/>
      <c r="AX135" s="543"/>
      <c r="AY135" s="543"/>
      <c r="AZ135" s="543"/>
      <c r="BA135" s="543"/>
      <c r="BB135" s="543"/>
      <c r="BC135" s="543"/>
      <c r="BD135" s="543"/>
      <c r="BE135" s="543"/>
      <c r="BF135" s="543"/>
      <c r="BG135" s="543"/>
      <c r="BH135" s="543"/>
      <c r="BI135" s="543"/>
      <c r="BJ135" s="543"/>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E139" s="543"/>
      <c r="F139" s="133">
        <v>2</v>
      </c>
      <c r="H139" s="133">
        <f>D40</f>
        <v>0</v>
      </c>
      <c r="N139" s="543"/>
      <c r="O139" s="543"/>
      <c r="V139" s="543"/>
      <c r="W139" s="543"/>
      <c r="X139" s="543"/>
      <c r="Y139" s="543"/>
      <c r="Z139" s="543"/>
      <c r="AA139" s="543"/>
      <c r="AB139" s="543"/>
      <c r="AC139" s="543"/>
      <c r="AM139" s="543"/>
      <c r="AN139" s="543"/>
      <c r="AO139" s="543"/>
      <c r="AP139" s="543"/>
      <c r="AQ139" s="543"/>
      <c r="AR139" s="543"/>
      <c r="AT139" s="543"/>
      <c r="AU139" s="543"/>
      <c r="AV139" s="543"/>
      <c r="AW139" s="543"/>
      <c r="AX139" s="543"/>
      <c r="AY139" s="543"/>
      <c r="AZ139" s="543"/>
      <c r="BA139" s="543"/>
      <c r="BB139" s="543"/>
      <c r="BC139" s="543"/>
      <c r="BD139" s="543"/>
      <c r="BE139" s="543"/>
      <c r="BF139" s="543"/>
      <c r="BG139" s="543"/>
      <c r="BH139" s="543"/>
      <c r="BI139" s="543"/>
      <c r="BJ139" s="543"/>
      <c r="CC139" s="130"/>
    </row>
    <row r="140" spans="2:81" ht="15" hidden="1" customHeight="1" x14ac:dyDescent="0.25">
      <c r="B140" s="132" t="s">
        <v>1225</v>
      </c>
      <c r="C140" s="132"/>
      <c r="D140" s="133">
        <v>16</v>
      </c>
      <c r="E140" s="543"/>
      <c r="F140" s="133">
        <v>1</v>
      </c>
      <c r="H140" s="133">
        <f>D56</f>
        <v>0</v>
      </c>
      <c r="N140" s="543"/>
      <c r="O140" s="543"/>
      <c r="V140" s="543"/>
      <c r="W140" s="543"/>
      <c r="X140" s="543"/>
      <c r="Y140" s="543"/>
      <c r="Z140" s="543"/>
      <c r="AA140" s="543"/>
      <c r="AB140" s="543"/>
      <c r="AC140" s="543"/>
      <c r="AM140" s="543"/>
      <c r="AN140" s="543"/>
      <c r="AO140" s="543"/>
      <c r="AP140" s="543"/>
      <c r="AQ140" s="543"/>
      <c r="AR140" s="543"/>
      <c r="AT140" s="543"/>
      <c r="AU140" s="543"/>
      <c r="AV140" s="543"/>
      <c r="AW140" s="543"/>
      <c r="AX140" s="543"/>
      <c r="AY140" s="543"/>
      <c r="AZ140" s="543"/>
      <c r="BA140" s="543"/>
      <c r="BB140" s="543"/>
      <c r="BC140" s="543"/>
      <c r="BD140" s="543"/>
      <c r="BE140" s="543"/>
      <c r="BF140" s="543"/>
      <c r="BG140" s="543"/>
      <c r="BH140" s="543"/>
      <c r="BI140" s="543"/>
      <c r="BJ140" s="543"/>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E143" s="543"/>
      <c r="F143" s="133">
        <v>2</v>
      </c>
      <c r="H143" s="133">
        <f>M44</f>
        <v>0</v>
      </c>
      <c r="N143" s="543"/>
      <c r="O143" s="543"/>
      <c r="V143" s="543"/>
      <c r="W143" s="543"/>
      <c r="X143" s="543"/>
      <c r="Y143" s="543"/>
      <c r="Z143" s="543"/>
      <c r="AA143" s="543"/>
      <c r="AB143" s="543"/>
      <c r="AC143" s="543"/>
      <c r="AM143" s="543"/>
      <c r="AN143" s="543"/>
      <c r="AO143" s="543"/>
      <c r="AP143" s="543"/>
      <c r="AQ143" s="543"/>
      <c r="AR143" s="543"/>
      <c r="AT143" s="543"/>
      <c r="AU143" s="543"/>
      <c r="AV143" s="543"/>
      <c r="AW143" s="543"/>
      <c r="AX143" s="543"/>
      <c r="AY143" s="543"/>
      <c r="AZ143" s="543"/>
      <c r="BA143" s="543"/>
      <c r="BB143" s="543"/>
      <c r="BC143" s="543"/>
      <c r="BD143" s="543"/>
      <c r="BE143" s="543"/>
      <c r="BF143" s="543"/>
      <c r="BG143" s="543"/>
      <c r="BH143" s="543"/>
      <c r="BI143" s="543"/>
      <c r="BJ143" s="543"/>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E148" s="543"/>
      <c r="F148" s="133">
        <v>1</v>
      </c>
      <c r="H148" s="133">
        <f>U30</f>
        <v>0</v>
      </c>
      <c r="N148" s="543"/>
      <c r="O148" s="543"/>
      <c r="V148" s="543"/>
      <c r="W148" s="543"/>
      <c r="X148" s="543"/>
      <c r="Y148" s="543"/>
      <c r="Z148" s="543"/>
      <c r="AA148" s="543"/>
      <c r="AB148" s="543"/>
      <c r="AC148" s="543"/>
      <c r="AM148" s="543"/>
      <c r="AN148" s="543"/>
      <c r="AO148" s="543"/>
      <c r="AP148" s="543"/>
      <c r="AQ148" s="543"/>
      <c r="AR148" s="543"/>
      <c r="AT148" s="543"/>
      <c r="AU148" s="543"/>
      <c r="AV148" s="543"/>
      <c r="AW148" s="543"/>
      <c r="AX148" s="543"/>
      <c r="AY148" s="543"/>
      <c r="AZ148" s="543"/>
      <c r="BA148" s="543"/>
      <c r="BB148" s="543"/>
      <c r="BC148" s="543"/>
      <c r="BD148" s="543"/>
      <c r="BE148" s="543"/>
      <c r="BF148" s="543"/>
      <c r="BG148" s="543"/>
      <c r="BH148" s="543"/>
      <c r="BI148" s="543"/>
      <c r="BJ148" s="543"/>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103"/>
    </row>
    <row r="151" spans="2:81" ht="15" hidden="1" customHeight="1" x14ac:dyDescent="0.25">
      <c r="B151" s="132" t="s">
        <v>16</v>
      </c>
      <c r="C151" s="132"/>
      <c r="D151" s="133">
        <v>10</v>
      </c>
      <c r="F151" s="133">
        <v>1</v>
      </c>
      <c r="H151" s="133">
        <f>M30</f>
        <v>0</v>
      </c>
      <c r="BY151" s="212"/>
      <c r="BZ151" s="201"/>
      <c r="CA151" s="213"/>
      <c r="CC151" s="103"/>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E156" s="543"/>
      <c r="F156" s="133">
        <v>1</v>
      </c>
      <c r="H156" s="133">
        <f>M18</f>
        <v>0</v>
      </c>
      <c r="N156" s="543"/>
      <c r="O156" s="543"/>
      <c r="V156" s="543"/>
      <c r="W156" s="543"/>
      <c r="X156" s="543"/>
      <c r="Y156" s="543"/>
      <c r="Z156" s="543"/>
      <c r="AA156" s="543"/>
      <c r="AB156" s="543"/>
      <c r="AC156" s="543"/>
      <c r="AM156" s="543"/>
      <c r="AN156" s="543"/>
      <c r="AO156" s="543"/>
      <c r="AP156" s="543"/>
      <c r="AQ156" s="543"/>
      <c r="AR156" s="543"/>
      <c r="AT156" s="543"/>
      <c r="AU156" s="543"/>
      <c r="AV156" s="543"/>
      <c r="AW156" s="543"/>
      <c r="AX156" s="543"/>
      <c r="AY156" s="543"/>
      <c r="AZ156" s="543"/>
      <c r="BA156" s="543"/>
      <c r="BB156" s="543"/>
      <c r="BC156" s="543"/>
      <c r="BD156" s="543"/>
      <c r="BE156" s="543"/>
      <c r="BF156" s="543"/>
      <c r="BG156" s="543"/>
      <c r="BH156" s="543"/>
      <c r="BI156" s="543"/>
      <c r="BJ156" s="543"/>
    </row>
    <row r="157" spans="2:81" ht="15" hidden="1" customHeight="1" x14ac:dyDescent="0.25">
      <c r="B157" s="132" t="s">
        <v>1246</v>
      </c>
      <c r="C157" s="132"/>
      <c r="D157" s="133">
        <v>8</v>
      </c>
      <c r="E157" s="543"/>
      <c r="F157" s="133">
        <v>2</v>
      </c>
      <c r="H157" s="133">
        <f>U58</f>
        <v>0</v>
      </c>
      <c r="N157" s="543"/>
      <c r="O157" s="543"/>
      <c r="V157" s="543"/>
      <c r="W157" s="543"/>
      <c r="X157" s="543"/>
      <c r="Y157" s="543"/>
      <c r="Z157" s="543"/>
      <c r="AA157" s="543"/>
      <c r="AB157" s="543"/>
      <c r="AC157" s="543"/>
      <c r="AM157" s="543"/>
      <c r="AN157" s="543"/>
      <c r="AO157" s="543"/>
      <c r="AP157" s="543"/>
      <c r="AQ157" s="543"/>
      <c r="AR157" s="543"/>
      <c r="AT157" s="543"/>
      <c r="AU157" s="543"/>
      <c r="AV157" s="543"/>
      <c r="AW157" s="543"/>
      <c r="AX157" s="543"/>
      <c r="AY157" s="543"/>
      <c r="AZ157" s="543"/>
      <c r="BA157" s="543"/>
      <c r="BB157" s="543"/>
      <c r="BC157" s="543"/>
      <c r="BD157" s="543"/>
      <c r="BE157" s="543"/>
      <c r="BF157" s="543"/>
      <c r="BG157" s="543"/>
      <c r="BH157" s="543"/>
      <c r="BI157" s="543"/>
      <c r="BJ157" s="543"/>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1</v>
      </c>
    </row>
    <row r="160" spans="2:81" ht="15" hidden="1" customHeight="1" x14ac:dyDescent="0.25">
      <c r="B160" s="132" t="s">
        <v>1244</v>
      </c>
      <c r="C160" s="132"/>
      <c r="D160" s="133">
        <v>8</v>
      </c>
      <c r="E160" s="543"/>
      <c r="F160" s="133">
        <v>0</v>
      </c>
      <c r="H160" s="133">
        <f>U72</f>
        <v>0</v>
      </c>
      <c r="N160" s="543"/>
      <c r="O160" s="543"/>
      <c r="V160" s="543"/>
      <c r="W160" s="543"/>
      <c r="X160" s="543"/>
      <c r="Y160" s="543"/>
      <c r="Z160" s="543"/>
      <c r="AA160" s="543"/>
      <c r="AB160" s="543"/>
      <c r="AC160" s="543"/>
      <c r="AM160" s="543"/>
      <c r="AN160" s="543"/>
      <c r="AO160" s="543"/>
      <c r="AP160" s="543"/>
      <c r="AQ160" s="543"/>
      <c r="AR160" s="543"/>
      <c r="AT160" s="543"/>
      <c r="AU160" s="543"/>
      <c r="AV160" s="543"/>
      <c r="AW160" s="543"/>
      <c r="AX160" s="543"/>
      <c r="AY160" s="543"/>
      <c r="AZ160" s="543"/>
      <c r="BA160" s="543"/>
      <c r="BB160" s="543"/>
      <c r="BC160" s="543"/>
      <c r="BD160" s="543"/>
      <c r="BE160" s="543"/>
      <c r="BF160" s="543"/>
      <c r="BG160" s="543"/>
      <c r="BH160" s="543"/>
      <c r="BI160" s="543"/>
      <c r="BJ160" s="543"/>
    </row>
    <row r="161" spans="2:62" ht="15" hidden="1" customHeight="1" x14ac:dyDescent="0.25">
      <c r="B161" s="134" t="s">
        <v>3</v>
      </c>
      <c r="C161" s="134"/>
      <c r="D161" s="133">
        <v>6</v>
      </c>
      <c r="F161" s="133">
        <v>1</v>
      </c>
      <c r="H161" s="133">
        <f>D30</f>
        <v>0</v>
      </c>
    </row>
    <row r="162" spans="2:62" ht="15" hidden="1" customHeight="1" x14ac:dyDescent="0.25">
      <c r="B162" s="134" t="s">
        <v>5</v>
      </c>
      <c r="C162" s="134"/>
      <c r="D162" s="133">
        <v>6</v>
      </c>
      <c r="F162" s="133">
        <v>1</v>
      </c>
      <c r="H162" s="133">
        <f>D38</f>
        <v>0</v>
      </c>
    </row>
    <row r="163" spans="2:62" ht="15" hidden="1" customHeight="1" x14ac:dyDescent="0.25">
      <c r="B163" s="134" t="s">
        <v>253</v>
      </c>
      <c r="C163" s="134"/>
      <c r="D163" s="133">
        <v>6</v>
      </c>
      <c r="F163" s="133">
        <v>1</v>
      </c>
      <c r="H163" s="133">
        <f>D42</f>
        <v>0</v>
      </c>
    </row>
    <row r="164" spans="2:62" ht="15" hidden="1" customHeight="1" x14ac:dyDescent="0.25">
      <c r="B164" s="134" t="s">
        <v>332</v>
      </c>
      <c r="C164" s="134"/>
      <c r="D164" s="133">
        <v>6</v>
      </c>
      <c r="F164" s="133">
        <v>1</v>
      </c>
      <c r="H164" s="133">
        <f>D52</f>
        <v>0</v>
      </c>
    </row>
    <row r="165" spans="2:62" ht="15" hidden="1" customHeight="1" x14ac:dyDescent="0.25">
      <c r="B165" s="132" t="s">
        <v>20</v>
      </c>
      <c r="C165" s="132"/>
      <c r="D165" s="133">
        <v>6</v>
      </c>
      <c r="F165" s="133">
        <v>1</v>
      </c>
      <c r="H165" s="133">
        <f>M40</f>
        <v>0</v>
      </c>
    </row>
    <row r="166" spans="2:62" ht="15" hidden="1" customHeight="1" x14ac:dyDescent="0.25">
      <c r="B166" s="132" t="s">
        <v>25</v>
      </c>
      <c r="C166" s="132"/>
      <c r="D166" s="133">
        <v>6</v>
      </c>
      <c r="F166" s="133">
        <v>1</v>
      </c>
      <c r="H166" s="133">
        <f>M60</f>
        <v>0</v>
      </c>
    </row>
    <row r="167" spans="2:62" ht="15" hidden="1" customHeight="1" x14ac:dyDescent="0.25">
      <c r="B167" s="132" t="s">
        <v>26</v>
      </c>
      <c r="C167" s="132"/>
      <c r="D167" s="133">
        <v>6</v>
      </c>
      <c r="F167" s="133">
        <v>1</v>
      </c>
      <c r="H167" s="133">
        <f>M66</f>
        <v>0</v>
      </c>
    </row>
    <row r="168" spans="2:62" ht="15" hidden="1" customHeight="1" x14ac:dyDescent="0.25">
      <c r="B168" s="132" t="s">
        <v>346</v>
      </c>
      <c r="C168" s="132"/>
      <c r="D168" s="133">
        <v>6</v>
      </c>
      <c r="F168" s="133">
        <v>1</v>
      </c>
      <c r="H168" s="133">
        <f>U22</f>
        <v>0</v>
      </c>
    </row>
    <row r="169" spans="2:62" ht="15" hidden="1" customHeight="1" x14ac:dyDescent="0.25">
      <c r="B169" s="132" t="s">
        <v>349</v>
      </c>
      <c r="C169" s="132"/>
      <c r="D169" s="133">
        <v>6</v>
      </c>
      <c r="F169" s="133">
        <v>1</v>
      </c>
      <c r="H169" s="133">
        <f>U36</f>
        <v>0</v>
      </c>
    </row>
    <row r="170" spans="2:62" ht="15" hidden="1" customHeight="1" x14ac:dyDescent="0.25">
      <c r="B170" s="132" t="s">
        <v>34</v>
      </c>
      <c r="C170" s="132"/>
      <c r="D170" s="133">
        <v>6</v>
      </c>
      <c r="F170" s="133">
        <v>1</v>
      </c>
      <c r="H170" s="133">
        <f>U42</f>
        <v>0</v>
      </c>
    </row>
    <row r="171" spans="2:62" ht="15" hidden="1" customHeight="1" x14ac:dyDescent="0.25">
      <c r="B171" s="132" t="s">
        <v>1250</v>
      </c>
      <c r="C171" s="132"/>
      <c r="D171" s="133">
        <v>6</v>
      </c>
      <c r="E171" s="543"/>
      <c r="F171" s="133">
        <v>1</v>
      </c>
      <c r="H171" s="133">
        <f>U66</f>
        <v>0</v>
      </c>
      <c r="N171" s="543"/>
      <c r="O171" s="543"/>
      <c r="V171" s="543"/>
      <c r="W171" s="543"/>
      <c r="X171" s="543"/>
      <c r="Y171" s="543"/>
      <c r="Z171" s="543"/>
      <c r="AA171" s="543"/>
      <c r="AB171" s="543"/>
      <c r="AC171" s="543"/>
      <c r="AM171" s="543"/>
      <c r="AN171" s="543"/>
      <c r="AO171" s="543"/>
      <c r="AP171" s="543"/>
      <c r="AQ171" s="543"/>
      <c r="AR171" s="543"/>
      <c r="AT171" s="543"/>
      <c r="AU171" s="543"/>
      <c r="AV171" s="543"/>
      <c r="AW171" s="543"/>
      <c r="AX171" s="543"/>
      <c r="AY171" s="543"/>
      <c r="AZ171" s="543"/>
      <c r="BA171" s="543"/>
      <c r="BB171" s="543"/>
      <c r="BC171" s="543"/>
      <c r="BD171" s="543"/>
      <c r="BE171" s="543"/>
      <c r="BF171" s="543"/>
      <c r="BG171" s="543"/>
      <c r="BH171" s="543"/>
      <c r="BI171" s="543"/>
      <c r="BJ171" s="543"/>
    </row>
    <row r="172" spans="2:62" ht="15" hidden="1" customHeight="1" x14ac:dyDescent="0.25">
      <c r="B172" s="134" t="s">
        <v>333</v>
      </c>
      <c r="C172" s="134"/>
      <c r="D172" s="133">
        <v>4</v>
      </c>
      <c r="F172" s="133">
        <v>1</v>
      </c>
      <c r="H172" s="133">
        <f>D60</f>
        <v>0</v>
      </c>
    </row>
    <row r="173" spans="2:62" ht="15" hidden="1" customHeight="1" x14ac:dyDescent="0.25">
      <c r="B173" s="134" t="s">
        <v>1216</v>
      </c>
      <c r="C173" s="134"/>
      <c r="D173" s="133">
        <v>4</v>
      </c>
      <c r="E173" s="543"/>
      <c r="F173" s="133">
        <v>1</v>
      </c>
      <c r="H173" s="133">
        <f>D32</f>
        <v>0</v>
      </c>
      <c r="N173" s="543"/>
      <c r="O173" s="543"/>
      <c r="V173" s="543"/>
      <c r="W173" s="543"/>
      <c r="X173" s="543"/>
      <c r="Y173" s="543"/>
      <c r="Z173" s="543"/>
      <c r="AA173" s="543"/>
      <c r="AB173" s="543"/>
      <c r="AC173" s="543"/>
      <c r="AM173" s="543"/>
      <c r="AN173" s="543"/>
      <c r="AO173" s="543"/>
      <c r="AP173" s="543"/>
      <c r="AQ173" s="543"/>
      <c r="AR173" s="543"/>
      <c r="AT173" s="543"/>
      <c r="AU173" s="543"/>
      <c r="AV173" s="543"/>
      <c r="AW173" s="543"/>
      <c r="AX173" s="543"/>
      <c r="AY173" s="543"/>
      <c r="AZ173" s="543"/>
      <c r="BA173" s="543"/>
      <c r="BB173" s="543"/>
      <c r="BC173" s="543"/>
      <c r="BD173" s="543"/>
      <c r="BE173" s="543"/>
      <c r="BF173" s="543"/>
      <c r="BG173" s="543"/>
      <c r="BH173" s="543"/>
      <c r="BI173" s="543"/>
      <c r="BJ173" s="543"/>
    </row>
    <row r="174" spans="2:62" ht="15" hidden="1" customHeight="1" x14ac:dyDescent="0.25">
      <c r="B174" s="134" t="s">
        <v>1218</v>
      </c>
      <c r="C174" s="134"/>
      <c r="D174" s="133">
        <v>4</v>
      </c>
      <c r="E174" s="543"/>
      <c r="F174" s="133">
        <v>1</v>
      </c>
      <c r="H174" s="133">
        <f>D36</f>
        <v>0</v>
      </c>
      <c r="N174" s="543"/>
      <c r="O174" s="543"/>
      <c r="V174" s="543"/>
      <c r="W174" s="543"/>
      <c r="X174" s="543"/>
      <c r="Y174" s="543"/>
      <c r="Z174" s="543"/>
      <c r="AA174" s="543"/>
      <c r="AB174" s="543"/>
      <c r="AC174" s="543"/>
      <c r="AM174" s="543"/>
      <c r="AN174" s="543"/>
      <c r="AO174" s="543"/>
      <c r="AP174" s="543"/>
      <c r="AQ174" s="543"/>
      <c r="AR174" s="543"/>
      <c r="AT174" s="543"/>
      <c r="AU174" s="543"/>
      <c r="AV174" s="543"/>
      <c r="AW174" s="543"/>
      <c r="AX174" s="543"/>
      <c r="AY174" s="543"/>
      <c r="AZ174" s="543"/>
      <c r="BA174" s="543"/>
      <c r="BB174" s="543"/>
      <c r="BC174" s="543"/>
      <c r="BD174" s="543"/>
      <c r="BE174" s="543"/>
      <c r="BF174" s="543"/>
      <c r="BG174" s="543"/>
      <c r="BH174" s="543"/>
      <c r="BI174" s="543"/>
      <c r="BJ174" s="543"/>
    </row>
    <row r="175" spans="2:62" ht="15" hidden="1" customHeight="1" x14ac:dyDescent="0.25">
      <c r="B175" s="134" t="s">
        <v>11</v>
      </c>
      <c r="C175" s="134"/>
      <c r="D175" s="133">
        <v>4</v>
      </c>
      <c r="F175" s="133">
        <v>1</v>
      </c>
      <c r="H175" s="133">
        <f>D62</f>
        <v>0</v>
      </c>
    </row>
    <row r="176" spans="2:62" ht="15" hidden="1" customHeight="1" x14ac:dyDescent="0.25">
      <c r="B176" s="132" t="s">
        <v>15</v>
      </c>
      <c r="C176" s="132"/>
      <c r="D176" s="133">
        <v>4</v>
      </c>
      <c r="F176" s="133">
        <v>1</v>
      </c>
      <c r="H176" s="133">
        <f>M24</f>
        <v>0</v>
      </c>
    </row>
    <row r="177" spans="2:62" ht="15" hidden="1" customHeight="1" x14ac:dyDescent="0.25">
      <c r="B177" s="132" t="s">
        <v>1226</v>
      </c>
      <c r="C177" s="132"/>
      <c r="D177" s="133">
        <v>4</v>
      </c>
      <c r="E177" s="543"/>
      <c r="F177" s="133">
        <v>1</v>
      </c>
      <c r="H177" s="133">
        <f>D58</f>
        <v>0</v>
      </c>
      <c r="N177" s="543"/>
      <c r="O177" s="543"/>
      <c r="V177" s="543"/>
      <c r="W177" s="543"/>
      <c r="X177" s="543"/>
      <c r="Y177" s="543"/>
      <c r="Z177" s="543"/>
      <c r="AA177" s="543"/>
      <c r="AB177" s="543"/>
      <c r="AC177" s="543"/>
      <c r="AM177" s="543"/>
      <c r="AN177" s="543"/>
      <c r="AO177" s="543"/>
      <c r="AP177" s="543"/>
      <c r="AQ177" s="543"/>
      <c r="AR177" s="543"/>
      <c r="AT177" s="543"/>
      <c r="AU177" s="543"/>
      <c r="AV177" s="543"/>
      <c r="AW177" s="543"/>
      <c r="AX177" s="543"/>
      <c r="AY177" s="543"/>
      <c r="AZ177" s="543"/>
      <c r="BA177" s="543"/>
      <c r="BB177" s="543"/>
      <c r="BC177" s="543"/>
      <c r="BD177" s="543"/>
      <c r="BE177" s="543"/>
      <c r="BF177" s="543"/>
      <c r="BG177" s="543"/>
      <c r="BH177" s="543"/>
      <c r="BI177" s="543"/>
      <c r="BJ177" s="543"/>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463" t="s">
        <v>368</v>
      </c>
      <c r="C183" s="44"/>
      <c r="D183" s="44"/>
      <c r="E183" s="44"/>
      <c r="F183" s="44"/>
    </row>
    <row r="184" spans="2:62" ht="15" hidden="1" customHeight="1" x14ac:dyDescent="0.25">
      <c r="B184" t="str">
        <f t="array" ref="B184">IF(ISERROR(INDEX($B$103:$B$181,SMALL(IF($H$103:$H$181=0,"",ROW($H$103:$H$181)),1)-ROW($H$103:$H$181)+1)),"",INDEX($B$103:$B$181,SMALL(IF($H$103:$H$181=0,"",ROW($H$103:$H$181)),1)-ROW($H$103:$H$181)+1))</f>
        <v>Shrine</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x14ac:dyDescent="0.25">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1</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Minor Potion, Scroll, or Wondrous Item</v>
      </c>
      <c r="C210" s="134"/>
      <c r="D210" s="217" t="str">
        <f>IF(ISERROR(INDEX($F$192:$F$206,MATCH($B210,$B$192:$B$206,0))),"",CONCATENATE("×",INDEX($F$192:$F$206,MATCH($B210,$B$192:$B$206,0))))</f>
        <v>×1</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x14ac:dyDescent="0.25">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x14ac:dyDescent="0.25">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x14ac:dyDescent="0.25">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x14ac:dyDescent="0.25">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x14ac:dyDescent="0.25">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x14ac:dyDescent="0.25">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x14ac:dyDescent="0.25">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x14ac:dyDescent="0.25">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x14ac:dyDescent="0.25">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x14ac:dyDescent="0.25">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x14ac:dyDescent="0.25">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x14ac:dyDescent="0.25">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x14ac:dyDescent="0.25">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x14ac:dyDescent="0.25">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x14ac:dyDescent="0.25">
      <c r="B228" s="212" t="s">
        <v>175</v>
      </c>
      <c r="C228" s="201"/>
      <c r="D228" s="482">
        <f>SUM(F194:F199)</f>
        <v>0</v>
      </c>
      <c r="E228"/>
      <c r="G228" s="103"/>
      <c r="K228" s="3"/>
      <c r="L228"/>
      <c r="M228" s="8"/>
      <c r="P228" s="103"/>
      <c r="S228" s="3"/>
      <c r="AD228" s="103"/>
      <c r="AM228"/>
    </row>
    <row r="229" spans="1:59" ht="15" hidden="1" customHeight="1" x14ac:dyDescent="0.25">
      <c r="B229" s="212" t="s">
        <v>442</v>
      </c>
      <c r="C229" s="201"/>
      <c r="D229" s="482">
        <f>SUM(F200:F206)</f>
        <v>1</v>
      </c>
      <c r="E229"/>
      <c r="G229" s="103"/>
      <c r="K229" s="3"/>
      <c r="L229"/>
      <c r="M229" s="8"/>
      <c r="P229" s="103"/>
      <c r="S229" s="3"/>
      <c r="AD229" s="103"/>
      <c r="AM229"/>
    </row>
    <row r="230" spans="1:59" ht="15" hidden="1" customHeight="1" x14ac:dyDescent="0.25">
      <c r="D230" s="8"/>
      <c r="G230" s="103"/>
      <c r="K230" s="3"/>
      <c r="L230"/>
      <c r="M230" s="8"/>
      <c r="P230" s="103"/>
      <c r="S230" s="3"/>
      <c r="AD230" s="103"/>
      <c r="AM230"/>
    </row>
    <row r="231" spans="1:59" ht="4.5" hidden="1" customHeight="1" thickBot="1" x14ac:dyDescent="0.3">
      <c r="D231" s="8"/>
      <c r="G231" s="103"/>
      <c r="K231" s="3"/>
      <c r="L231"/>
      <c r="M231" s="8"/>
      <c r="P231" s="103"/>
      <c r="S231" s="3"/>
      <c r="AD231" s="103"/>
      <c r="AM231"/>
    </row>
    <row r="232" spans="1:59" x14ac:dyDescent="0.25">
      <c r="A232" s="9"/>
      <c r="B232" s="481" t="s">
        <v>1145</v>
      </c>
      <c r="C232" s="445"/>
      <c r="D232" s="481" t="s">
        <v>84</v>
      </c>
      <c r="E232" s="443"/>
      <c r="F232" s="761" t="s">
        <v>48</v>
      </c>
      <c r="G232" s="761"/>
      <c r="H232" s="761"/>
      <c r="I232"/>
      <c r="J232" s="761" t="s">
        <v>1144</v>
      </c>
      <c r="K232" s="761"/>
      <c r="L232" s="443"/>
      <c r="M232" s="481" t="s">
        <v>49</v>
      </c>
      <c r="N232" s="443"/>
      <c r="O232" s="481" t="s">
        <v>50</v>
      </c>
      <c r="P232" s="443"/>
      <c r="Q232" s="481" t="s">
        <v>51</v>
      </c>
      <c r="R232" s="12"/>
      <c r="AM232"/>
      <c r="AN232" s="103" t="s">
        <v>1139</v>
      </c>
      <c r="AR232"/>
      <c r="AS232"/>
      <c r="AT232" s="103" t="s">
        <v>366</v>
      </c>
      <c r="AV232" t="s">
        <v>1140</v>
      </c>
      <c r="AW232" t="s">
        <v>1141</v>
      </c>
      <c r="AX232"/>
      <c r="AY232" t="s">
        <v>1142</v>
      </c>
      <c r="AZ232" t="s">
        <v>1143</v>
      </c>
    </row>
    <row r="233" spans="1:59" ht="3" customHeight="1" thickBot="1" x14ac:dyDescent="0.3">
      <c r="A233" s="15"/>
      <c r="B233" s="479"/>
      <c r="C233" s="213"/>
      <c r="D233" s="213"/>
      <c r="E233" s="479"/>
      <c r="F233" s="479"/>
      <c r="G233" s="479"/>
      <c r="H233" s="213"/>
      <c r="I233" s="213"/>
      <c r="J233" s="479"/>
      <c r="K233" s="479"/>
      <c r="L233" s="479"/>
      <c r="M233" s="479"/>
      <c r="N233" s="479"/>
      <c r="O233" s="479"/>
      <c r="P233" s="479"/>
      <c r="Q233" s="479"/>
      <c r="R233" s="14"/>
      <c r="AM233"/>
      <c r="AR233"/>
      <c r="AS233"/>
      <c r="AV233"/>
      <c r="AW233"/>
      <c r="AX233"/>
      <c r="AY233"/>
      <c r="AZ233"/>
    </row>
    <row r="234" spans="1:59" ht="15.75" thickBot="1" x14ac:dyDescent="0.3">
      <c r="A234" s="15"/>
      <c r="B234" s="410"/>
      <c r="C234" s="213"/>
      <c r="D234" s="446"/>
      <c r="E234" s="479"/>
      <c r="F234" s="410"/>
      <c r="G234" s="479"/>
      <c r="H234" s="446"/>
      <c r="I234" s="213"/>
      <c r="J234" s="739"/>
      <c r="K234" s="740"/>
      <c r="L234" s="479"/>
      <c r="M234" s="444" t="str">
        <f t="shared" ref="M234:M272" si="3">IF(B234&lt;&gt;0,IF(AV234&gt;0,IF($AZ234=1,IF($J234="Economy",1,0),($AN234*(IF($F234="Lawful",1,0)+IF($H234="Evil",1,0)))),0),"")</f>
        <v/>
      </c>
      <c r="N234" s="479"/>
      <c r="O234" s="444" t="str">
        <f t="shared" ref="O234:O272" si="4">IF(B234&lt;&gt;0,IF(AW234&gt;0,IF($AZ234=1,IF($J234="Loyalty",1,0),($AN234*(IF($F234="Chaotic",1,0)+IF($H234="Good",1,0)))),0),"")</f>
        <v/>
      </c>
      <c r="P234" s="479"/>
      <c r="Q234" s="444" t="str">
        <f t="shared" ref="Q234:Q272" si="5">IF(B234&lt;&gt;0,IF(AY234&gt;0,IF($AZ234=1,IF($J234="Stability",1,0),($AN234*(IF($F234="Neutral",1,0)+IF($H234="Neutral",1,0)))),0),"")</f>
        <v/>
      </c>
      <c r="R234" s="14"/>
      <c r="AM234"/>
      <c r="AN234" s="103">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479"/>
      <c r="C235" s="213"/>
      <c r="D235" s="213"/>
      <c r="E235" s="479"/>
      <c r="F235" s="479"/>
      <c r="G235" s="479"/>
      <c r="H235" s="213"/>
      <c r="I235" s="213"/>
      <c r="J235" s="760"/>
      <c r="K235" s="760"/>
      <c r="L235" s="213"/>
      <c r="M235" s="479" t="str">
        <f t="shared" si="3"/>
        <v/>
      </c>
      <c r="N235" s="479"/>
      <c r="O235" s="479" t="str">
        <f t="shared" si="4"/>
        <v/>
      </c>
      <c r="P235" s="479"/>
      <c r="Q235" s="479"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479"/>
      <c r="F236" s="410"/>
      <c r="G236" s="479"/>
      <c r="H236" s="446"/>
      <c r="I236" s="213"/>
      <c r="J236" s="739"/>
      <c r="K236" s="740"/>
      <c r="L236" s="213"/>
      <c r="M236" s="444" t="str">
        <f t="shared" si="3"/>
        <v/>
      </c>
      <c r="N236" s="479"/>
      <c r="O236" s="444" t="str">
        <f t="shared" si="4"/>
        <v/>
      </c>
      <c r="P236" s="479"/>
      <c r="Q236" s="444" t="str">
        <f t="shared" si="5"/>
        <v/>
      </c>
      <c r="R236" s="14"/>
      <c r="AN236" s="103">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479"/>
      <c r="C237" s="213"/>
      <c r="D237" s="213"/>
      <c r="E237" s="479"/>
      <c r="F237" s="479"/>
      <c r="G237" s="479"/>
      <c r="H237" s="213"/>
      <c r="I237" s="213"/>
      <c r="J237" s="760"/>
      <c r="K237" s="760"/>
      <c r="L237" s="213"/>
      <c r="M237" s="479" t="str">
        <f t="shared" si="3"/>
        <v/>
      </c>
      <c r="N237" s="479"/>
      <c r="O237" s="479" t="str">
        <f t="shared" si="4"/>
        <v/>
      </c>
      <c r="P237" s="479"/>
      <c r="Q237" s="479"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479"/>
      <c r="F238" s="410"/>
      <c r="G238" s="479"/>
      <c r="H238" s="446"/>
      <c r="I238" s="213"/>
      <c r="J238" s="739"/>
      <c r="K238" s="740"/>
      <c r="L238" s="213"/>
      <c r="M238" s="444" t="str">
        <f t="shared" si="3"/>
        <v/>
      </c>
      <c r="N238" s="479"/>
      <c r="O238" s="444" t="str">
        <f t="shared" si="4"/>
        <v/>
      </c>
      <c r="P238" s="479"/>
      <c r="Q238" s="444" t="str">
        <f t="shared" si="5"/>
        <v/>
      </c>
      <c r="R238" s="14"/>
      <c r="AN238" s="103">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479"/>
      <c r="C239" s="213"/>
      <c r="D239" s="213"/>
      <c r="E239" s="479"/>
      <c r="F239" s="479"/>
      <c r="G239" s="479"/>
      <c r="H239" s="213"/>
      <c r="I239" s="213"/>
      <c r="J239" s="760"/>
      <c r="K239" s="760"/>
      <c r="L239" s="213"/>
      <c r="M239" s="479" t="str">
        <f t="shared" si="3"/>
        <v/>
      </c>
      <c r="N239" s="479"/>
      <c r="O239" s="479" t="str">
        <f t="shared" si="4"/>
        <v/>
      </c>
      <c r="P239" s="479"/>
      <c r="Q239" s="479"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479"/>
      <c r="F240" s="410"/>
      <c r="G240" s="479"/>
      <c r="H240" s="446"/>
      <c r="I240" s="213"/>
      <c r="J240" s="739"/>
      <c r="K240" s="740"/>
      <c r="L240" s="213"/>
      <c r="M240" s="444" t="str">
        <f t="shared" si="3"/>
        <v/>
      </c>
      <c r="N240" s="479"/>
      <c r="O240" s="444" t="str">
        <f t="shared" si="4"/>
        <v/>
      </c>
      <c r="P240" s="479"/>
      <c r="Q240" s="444" t="str">
        <f t="shared" si="5"/>
        <v/>
      </c>
      <c r="R240" s="14"/>
      <c r="AN240" s="103">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479"/>
      <c r="C241" s="213"/>
      <c r="D241" s="479"/>
      <c r="E241" s="479"/>
      <c r="F241" s="479"/>
      <c r="G241" s="479"/>
      <c r="H241" s="479"/>
      <c r="I241" s="479"/>
      <c r="J241" s="760"/>
      <c r="K241" s="760"/>
      <c r="L241" s="213"/>
      <c r="M241" s="479" t="str">
        <f t="shared" si="3"/>
        <v/>
      </c>
      <c r="N241" s="479"/>
      <c r="O241" s="479" t="str">
        <f t="shared" si="4"/>
        <v/>
      </c>
      <c r="P241" s="479"/>
      <c r="Q241" s="479"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479"/>
      <c r="F242" s="410"/>
      <c r="G242" s="479"/>
      <c r="H242" s="446"/>
      <c r="I242" s="213"/>
      <c r="J242" s="739"/>
      <c r="K242" s="740"/>
      <c r="L242" s="213"/>
      <c r="M242" s="444" t="str">
        <f t="shared" si="3"/>
        <v/>
      </c>
      <c r="N242" s="479"/>
      <c r="O242" s="444" t="str">
        <f t="shared" si="4"/>
        <v/>
      </c>
      <c r="P242" s="479"/>
      <c r="Q242" s="444" t="str">
        <f t="shared" si="5"/>
        <v/>
      </c>
      <c r="R242" s="14"/>
      <c r="AN242" s="103">
        <f>IF(D242="Temple",2,IF(D242="Cathedral",4,0))</f>
        <v>0</v>
      </c>
      <c r="AV242">
        <f t="shared" si="6"/>
        <v>0</v>
      </c>
      <c r="AW242">
        <f t="shared" si="8"/>
        <v>0</v>
      </c>
      <c r="AX242"/>
      <c r="AY242">
        <f t="shared" si="9"/>
        <v>0</v>
      </c>
      <c r="AZ242">
        <f t="shared" si="7"/>
        <v>0</v>
      </c>
    </row>
    <row r="243" spans="1:52" ht="3" customHeight="1" thickBot="1" x14ac:dyDescent="0.3">
      <c r="A243" s="15"/>
      <c r="B243" s="479"/>
      <c r="C243" s="213"/>
      <c r="D243" s="479"/>
      <c r="E243" s="479"/>
      <c r="F243" s="479"/>
      <c r="G243" s="479"/>
      <c r="H243" s="479"/>
      <c r="I243" s="479"/>
      <c r="J243" s="760"/>
      <c r="K243" s="760"/>
      <c r="L243" s="213"/>
      <c r="M243" s="479" t="str">
        <f t="shared" si="3"/>
        <v/>
      </c>
      <c r="N243" s="479"/>
      <c r="O243" s="479" t="str">
        <f t="shared" si="4"/>
        <v/>
      </c>
      <c r="P243" s="479"/>
      <c r="Q243" s="479" t="str">
        <f t="shared" si="5"/>
        <v/>
      </c>
      <c r="R243" s="14"/>
      <c r="AV243">
        <f t="shared" si="6"/>
        <v>0</v>
      </c>
      <c r="AW243">
        <f t="shared" si="8"/>
        <v>0</v>
      </c>
      <c r="AX243"/>
      <c r="AY243">
        <f t="shared" si="9"/>
        <v>0</v>
      </c>
      <c r="AZ243">
        <f t="shared" si="7"/>
        <v>0</v>
      </c>
    </row>
    <row r="244" spans="1:52" ht="15.75" thickBot="1" x14ac:dyDescent="0.3">
      <c r="A244" s="15"/>
      <c r="B244" s="410"/>
      <c r="C244" s="213"/>
      <c r="D244" s="446"/>
      <c r="E244" s="479"/>
      <c r="F244" s="410"/>
      <c r="G244" s="479"/>
      <c r="H244" s="446"/>
      <c r="I244" s="213"/>
      <c r="J244" s="739"/>
      <c r="K244" s="740"/>
      <c r="L244" s="213"/>
      <c r="M244" s="444" t="str">
        <f t="shared" si="3"/>
        <v/>
      </c>
      <c r="N244" s="479"/>
      <c r="O244" s="444" t="str">
        <f t="shared" si="4"/>
        <v/>
      </c>
      <c r="P244" s="479"/>
      <c r="Q244" s="444" t="str">
        <f t="shared" si="5"/>
        <v/>
      </c>
      <c r="R244" s="14"/>
      <c r="AN244" s="103">
        <f>IF(D244="Temple",2,IF(D244="Cathedral",4,0))</f>
        <v>0</v>
      </c>
      <c r="AV244">
        <f t="shared" si="6"/>
        <v>0</v>
      </c>
      <c r="AW244">
        <f t="shared" si="8"/>
        <v>0</v>
      </c>
      <c r="AX244"/>
      <c r="AY244">
        <f t="shared" si="9"/>
        <v>0</v>
      </c>
      <c r="AZ244">
        <f t="shared" si="7"/>
        <v>0</v>
      </c>
    </row>
    <row r="245" spans="1:52" ht="3" customHeight="1" thickBot="1" x14ac:dyDescent="0.3">
      <c r="A245" s="15"/>
      <c r="B245" s="479"/>
      <c r="C245" s="213"/>
      <c r="D245" s="479"/>
      <c r="E245" s="479"/>
      <c r="F245" s="479"/>
      <c r="G245" s="479"/>
      <c r="H245" s="479"/>
      <c r="I245" s="479"/>
      <c r="J245" s="760"/>
      <c r="K245" s="760"/>
      <c r="L245" s="213"/>
      <c r="M245" s="479" t="str">
        <f t="shared" si="3"/>
        <v/>
      </c>
      <c r="N245" s="479"/>
      <c r="O245" s="479" t="str">
        <f t="shared" si="4"/>
        <v/>
      </c>
      <c r="P245" s="479"/>
      <c r="Q245" s="479" t="str">
        <f t="shared" si="5"/>
        <v/>
      </c>
      <c r="R245" s="14"/>
      <c r="AV245">
        <f t="shared" si="6"/>
        <v>0</v>
      </c>
      <c r="AW245">
        <f t="shared" si="8"/>
        <v>0</v>
      </c>
      <c r="AX245"/>
      <c r="AY245">
        <f t="shared" si="9"/>
        <v>0</v>
      </c>
      <c r="AZ245">
        <f t="shared" si="7"/>
        <v>0</v>
      </c>
    </row>
    <row r="246" spans="1:52" ht="15.75" thickBot="1" x14ac:dyDescent="0.3">
      <c r="A246" s="15"/>
      <c r="B246" s="410"/>
      <c r="C246" s="213"/>
      <c r="D246" s="446"/>
      <c r="E246" s="479"/>
      <c r="F246" s="410"/>
      <c r="G246" s="479"/>
      <c r="H246" s="446"/>
      <c r="I246" s="213"/>
      <c r="J246" s="739"/>
      <c r="K246" s="740"/>
      <c r="L246" s="213"/>
      <c r="M246" s="444" t="str">
        <f t="shared" si="3"/>
        <v/>
      </c>
      <c r="N246" s="479"/>
      <c r="O246" s="444" t="str">
        <f t="shared" si="4"/>
        <v/>
      </c>
      <c r="P246" s="479"/>
      <c r="Q246" s="444" t="str">
        <f t="shared" si="5"/>
        <v/>
      </c>
      <c r="R246" s="14"/>
      <c r="AN246" s="103">
        <f>IF(D246="Temple",2,IF(D246="Cathedral",4,0))</f>
        <v>0</v>
      </c>
      <c r="AV246">
        <f t="shared" si="6"/>
        <v>0</v>
      </c>
      <c r="AW246">
        <f t="shared" si="8"/>
        <v>0</v>
      </c>
      <c r="AX246"/>
      <c r="AY246">
        <f t="shared" si="9"/>
        <v>0</v>
      </c>
      <c r="AZ246">
        <f t="shared" si="7"/>
        <v>0</v>
      </c>
    </row>
    <row r="247" spans="1:52" ht="3" customHeight="1" thickBot="1" x14ac:dyDescent="0.3">
      <c r="A247" s="15"/>
      <c r="B247" s="479"/>
      <c r="C247" s="213"/>
      <c r="D247" s="479"/>
      <c r="E247" s="479"/>
      <c r="F247" s="479"/>
      <c r="G247" s="479"/>
      <c r="H247" s="479"/>
      <c r="I247" s="479"/>
      <c r="J247" s="760"/>
      <c r="K247" s="760"/>
      <c r="L247" s="213"/>
      <c r="M247" s="479" t="str">
        <f t="shared" si="3"/>
        <v/>
      </c>
      <c r="N247" s="479"/>
      <c r="O247" s="479" t="str">
        <f t="shared" si="4"/>
        <v/>
      </c>
      <c r="P247" s="479"/>
      <c r="Q247" s="479" t="str">
        <f t="shared" si="5"/>
        <v/>
      </c>
      <c r="R247" s="14"/>
      <c r="AV247">
        <f t="shared" si="6"/>
        <v>0</v>
      </c>
      <c r="AW247">
        <f t="shared" si="8"/>
        <v>0</v>
      </c>
      <c r="AX247"/>
      <c r="AY247">
        <f t="shared" si="9"/>
        <v>0</v>
      </c>
      <c r="AZ247">
        <f t="shared" si="7"/>
        <v>0</v>
      </c>
    </row>
    <row r="248" spans="1:52" ht="15.75" thickBot="1" x14ac:dyDescent="0.3">
      <c r="A248" s="15"/>
      <c r="B248" s="410"/>
      <c r="C248" s="213"/>
      <c r="D248" s="446"/>
      <c r="E248" s="479"/>
      <c r="F248" s="410"/>
      <c r="G248" s="479"/>
      <c r="H248" s="446"/>
      <c r="I248" s="213"/>
      <c r="J248" s="739"/>
      <c r="K248" s="740"/>
      <c r="L248" s="213"/>
      <c r="M248" s="444" t="str">
        <f t="shared" si="3"/>
        <v/>
      </c>
      <c r="N248" s="479"/>
      <c r="O248" s="444" t="str">
        <f t="shared" si="4"/>
        <v/>
      </c>
      <c r="P248" s="479"/>
      <c r="Q248" s="444" t="str">
        <f t="shared" si="5"/>
        <v/>
      </c>
      <c r="R248" s="14"/>
      <c r="AN248" s="103">
        <f>IF(D248="Temple",2,IF(D248="Cathedral",4,0))</f>
        <v>0</v>
      </c>
      <c r="AV248">
        <f t="shared" si="6"/>
        <v>0</v>
      </c>
      <c r="AW248">
        <f t="shared" si="8"/>
        <v>0</v>
      </c>
      <c r="AX248"/>
      <c r="AY248">
        <f t="shared" si="9"/>
        <v>0</v>
      </c>
      <c r="AZ248">
        <f t="shared" si="7"/>
        <v>0</v>
      </c>
    </row>
    <row r="249" spans="1:52" ht="3" customHeight="1" thickBot="1" x14ac:dyDescent="0.3">
      <c r="A249" s="15"/>
      <c r="B249" s="479"/>
      <c r="C249" s="213"/>
      <c r="D249" s="479"/>
      <c r="E249" s="479"/>
      <c r="F249" s="479"/>
      <c r="G249" s="479"/>
      <c r="H249" s="479"/>
      <c r="I249" s="479"/>
      <c r="J249" s="760"/>
      <c r="K249" s="760"/>
      <c r="L249" s="213"/>
      <c r="M249" s="479" t="str">
        <f t="shared" si="3"/>
        <v/>
      </c>
      <c r="N249" s="479"/>
      <c r="O249" s="479" t="str">
        <f t="shared" si="4"/>
        <v/>
      </c>
      <c r="P249" s="479"/>
      <c r="Q249" s="479" t="str">
        <f t="shared" si="5"/>
        <v/>
      </c>
      <c r="R249" s="14"/>
      <c r="AV249">
        <f t="shared" si="6"/>
        <v>0</v>
      </c>
      <c r="AW249">
        <f t="shared" si="8"/>
        <v>0</v>
      </c>
      <c r="AX249"/>
      <c r="AY249">
        <f t="shared" si="9"/>
        <v>0</v>
      </c>
      <c r="AZ249">
        <f t="shared" si="7"/>
        <v>0</v>
      </c>
    </row>
    <row r="250" spans="1:52" ht="15.75" thickBot="1" x14ac:dyDescent="0.3">
      <c r="A250" s="15"/>
      <c r="B250" s="410"/>
      <c r="C250" s="213"/>
      <c r="D250" s="446"/>
      <c r="E250" s="479"/>
      <c r="F250" s="410"/>
      <c r="G250" s="479"/>
      <c r="H250" s="446"/>
      <c r="I250" s="213"/>
      <c r="J250" s="739"/>
      <c r="K250" s="740"/>
      <c r="L250" s="213"/>
      <c r="M250" s="444" t="str">
        <f t="shared" si="3"/>
        <v/>
      </c>
      <c r="N250" s="479"/>
      <c r="O250" s="444" t="str">
        <f t="shared" si="4"/>
        <v/>
      </c>
      <c r="P250" s="479"/>
      <c r="Q250" s="444" t="str">
        <f t="shared" si="5"/>
        <v/>
      </c>
      <c r="R250" s="14"/>
      <c r="AN250" s="103">
        <f>IF(D250="Temple",2,IF(D250="Cathedral",4,0))</f>
        <v>0</v>
      </c>
      <c r="AV250">
        <f t="shared" si="6"/>
        <v>0</v>
      </c>
      <c r="AW250">
        <f t="shared" si="8"/>
        <v>0</v>
      </c>
      <c r="AX250"/>
      <c r="AY250">
        <f t="shared" si="9"/>
        <v>0</v>
      </c>
      <c r="AZ250">
        <f t="shared" si="7"/>
        <v>0</v>
      </c>
    </row>
    <row r="251" spans="1:52" ht="3" customHeight="1" thickBot="1" x14ac:dyDescent="0.3">
      <c r="A251" s="15"/>
      <c r="B251" s="479"/>
      <c r="C251" s="213"/>
      <c r="D251" s="479"/>
      <c r="E251" s="479"/>
      <c r="F251" s="479"/>
      <c r="G251" s="479"/>
      <c r="H251" s="479"/>
      <c r="I251" s="479"/>
      <c r="J251" s="760"/>
      <c r="K251" s="760"/>
      <c r="L251" s="213"/>
      <c r="M251" s="479" t="str">
        <f t="shared" si="3"/>
        <v/>
      </c>
      <c r="N251" s="479"/>
      <c r="O251" s="479" t="str">
        <f t="shared" si="4"/>
        <v/>
      </c>
      <c r="P251" s="479"/>
      <c r="Q251" s="479" t="str">
        <f t="shared" si="5"/>
        <v/>
      </c>
      <c r="R251" s="14"/>
      <c r="AV251">
        <f t="shared" si="6"/>
        <v>0</v>
      </c>
      <c r="AW251">
        <f t="shared" si="8"/>
        <v>0</v>
      </c>
      <c r="AX251"/>
      <c r="AY251">
        <f t="shared" si="9"/>
        <v>0</v>
      </c>
      <c r="AZ251">
        <f t="shared" si="7"/>
        <v>0</v>
      </c>
    </row>
    <row r="252" spans="1:52" ht="15.75" thickBot="1" x14ac:dyDescent="0.3">
      <c r="A252" s="15"/>
      <c r="B252" s="410"/>
      <c r="C252" s="213"/>
      <c r="D252" s="446"/>
      <c r="E252" s="479"/>
      <c r="F252" s="410"/>
      <c r="G252" s="479"/>
      <c r="H252" s="446"/>
      <c r="I252" s="213"/>
      <c r="J252" s="739"/>
      <c r="K252" s="740"/>
      <c r="L252" s="213"/>
      <c r="M252" s="444" t="str">
        <f t="shared" si="3"/>
        <v/>
      </c>
      <c r="N252" s="479"/>
      <c r="O252" s="444" t="str">
        <f t="shared" si="4"/>
        <v/>
      </c>
      <c r="P252" s="479"/>
      <c r="Q252" s="444" t="str">
        <f t="shared" si="5"/>
        <v/>
      </c>
      <c r="R252" s="14"/>
      <c r="AN252" s="103">
        <f>IF(D252="Temple",2,IF(D252="Cathedral",4,0))</f>
        <v>0</v>
      </c>
      <c r="AV252">
        <f t="shared" si="6"/>
        <v>0</v>
      </c>
      <c r="AW252">
        <f t="shared" si="8"/>
        <v>0</v>
      </c>
      <c r="AX252"/>
      <c r="AY252">
        <f t="shared" si="9"/>
        <v>0</v>
      </c>
      <c r="AZ252">
        <f t="shared" si="7"/>
        <v>0</v>
      </c>
    </row>
    <row r="253" spans="1:52" ht="3" customHeight="1" thickBot="1" x14ac:dyDescent="0.3">
      <c r="A253" s="15"/>
      <c r="B253" s="479"/>
      <c r="C253" s="213"/>
      <c r="D253" s="479"/>
      <c r="E253" s="479"/>
      <c r="F253" s="479"/>
      <c r="G253" s="479"/>
      <c r="H253" s="479"/>
      <c r="I253" s="479"/>
      <c r="J253" s="760"/>
      <c r="K253" s="760"/>
      <c r="L253" s="213"/>
      <c r="M253" s="479" t="str">
        <f t="shared" si="3"/>
        <v/>
      </c>
      <c r="N253" s="479"/>
      <c r="O253" s="479" t="str">
        <f t="shared" si="4"/>
        <v/>
      </c>
      <c r="P253" s="479"/>
      <c r="Q253" s="479" t="str">
        <f t="shared" si="5"/>
        <v/>
      </c>
      <c r="R253" s="14"/>
      <c r="AV253">
        <f t="shared" si="6"/>
        <v>0</v>
      </c>
      <c r="AW253">
        <f t="shared" si="8"/>
        <v>0</v>
      </c>
      <c r="AX253"/>
      <c r="AY253">
        <f t="shared" si="9"/>
        <v>0</v>
      </c>
      <c r="AZ253">
        <f t="shared" si="7"/>
        <v>0</v>
      </c>
    </row>
    <row r="254" spans="1:52" ht="15.75" thickBot="1" x14ac:dyDescent="0.3">
      <c r="A254" s="15"/>
      <c r="B254" s="410"/>
      <c r="C254" s="213"/>
      <c r="D254" s="446"/>
      <c r="E254" s="479"/>
      <c r="F254" s="410"/>
      <c r="G254" s="479"/>
      <c r="H254" s="446"/>
      <c r="I254" s="213"/>
      <c r="J254" s="739"/>
      <c r="K254" s="740"/>
      <c r="L254" s="213"/>
      <c r="M254" s="444" t="str">
        <f>IF(B254&lt;&gt;0,IF(AV254&gt;0,IF($AZ254=1,IF($J254="Economy",1,0),($AN254*(IF($F254="Lawful",1,0)+IF($H170="Evil",1,0)))),0),"")</f>
        <v/>
      </c>
      <c r="N254" s="479"/>
      <c r="O254" s="444" t="str">
        <f>IF(B254&lt;&gt;0,IF(AW254&gt;0,IF($AZ254=1,IF($J254="Loyalty",1,0),($AN254*(IF($F254="Chaotic",1,0)+IF($H170="Good",1,0)))),0),"")</f>
        <v/>
      </c>
      <c r="P254" s="479"/>
      <c r="Q254" s="444" t="str">
        <f>IF(B254&lt;&gt;0,IF(AY254&gt;0,IF($AZ254=1,IF($J254="Stability",1,0),($AN254*(IF($F254="Neutral",1,0)+IF($H170="Neutral",1,0)))),0),"")</f>
        <v/>
      </c>
      <c r="R254" s="14"/>
      <c r="AN254" s="103">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479"/>
      <c r="C255" s="213"/>
      <c r="D255" s="479"/>
      <c r="E255" s="479"/>
      <c r="F255" s="479"/>
      <c r="G255" s="479"/>
      <c r="H255" s="479"/>
      <c r="I255" s="479"/>
      <c r="J255" s="760"/>
      <c r="K255" s="760"/>
      <c r="L255" s="213"/>
      <c r="M255" s="479" t="str">
        <f>IF(B255&lt;&gt;0,IF(AV255&gt;0,IF($AZ255=1,IF($J255="Economy",1,0),($AN255*(IF($F255="Lawful",1,0)+IF($H172="Evil",1,0)))),0),"")</f>
        <v/>
      </c>
      <c r="N255" s="479"/>
      <c r="O255" s="479" t="str">
        <f>IF(B255&lt;&gt;0,IF(AW255&gt;0,IF($AZ255=1,IF($J255="Loyalty",1,0),($AN255*(IF($F255="Chaotic",1,0)+IF($H172="Good",1,0)))),0),"")</f>
        <v/>
      </c>
      <c r="P255" s="479"/>
      <c r="Q255" s="479"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479"/>
      <c r="F256" s="410"/>
      <c r="G256" s="479"/>
      <c r="H256" s="446"/>
      <c r="I256" s="213"/>
      <c r="J256" s="739"/>
      <c r="K256" s="740"/>
      <c r="L256" s="213"/>
      <c r="M256" s="444" t="str">
        <f>IF(B256&lt;&gt;0,IF(AV256&gt;0,IF($AZ256=1,IF($J256="Economy",1,0),($AN256*(IF($F256="Lawful",1,0)+IF($H175="Evil",1,0)))),0),"")</f>
        <v/>
      </c>
      <c r="N256" s="479"/>
      <c r="O256" s="444" t="str">
        <f>IF(B256&lt;&gt;0,IF(AW256&gt;0,IF($AZ256=1,IF($J256="Loyalty",1,0),($AN256*(IF($F256="Chaotic",1,0)+IF($H175="Good",1,0)))),0),"")</f>
        <v/>
      </c>
      <c r="P256" s="479"/>
      <c r="Q256" s="444" t="str">
        <f>IF(B256&lt;&gt;0,IF(AY256&gt;0,IF($AZ256=1,IF($J256="Stability",1,0),($AN256*(IF($F256="Neutral",1,0)+IF($H175="Neutral",1,0)))),0),"")</f>
        <v/>
      </c>
      <c r="R256" s="14"/>
      <c r="AN256" s="103">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479"/>
      <c r="C257" s="213"/>
      <c r="D257" s="479"/>
      <c r="E257" s="479"/>
      <c r="F257" s="479"/>
      <c r="G257" s="479"/>
      <c r="H257" s="479"/>
      <c r="I257" s="479"/>
      <c r="J257" s="760"/>
      <c r="K257" s="760"/>
      <c r="L257" s="213"/>
      <c r="M257" s="479" t="str">
        <f>IF(B257&lt;&gt;0,IF(AV257&gt;0,IF($AZ257=1,IF($J257="Economy",1,0),($AN257*(IF($F257="Lawful",1,0)+IF($H176="Evil",1,0)))),0),"")</f>
        <v/>
      </c>
      <c r="N257" s="479"/>
      <c r="O257" s="479" t="str">
        <f>IF(B257&lt;&gt;0,IF(AW257&gt;0,IF($AZ257=1,IF($J257="Loyalty",1,0),($AN257*(IF($F257="Chaotic",1,0)+IF($H176="Good",1,0)))),0),"")</f>
        <v/>
      </c>
      <c r="P257" s="479"/>
      <c r="Q257" s="479"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479"/>
      <c r="F258" s="410"/>
      <c r="G258" s="479"/>
      <c r="H258" s="446"/>
      <c r="I258" s="213"/>
      <c r="J258" s="739"/>
      <c r="K258" s="740"/>
      <c r="L258" s="213"/>
      <c r="M258" s="444" t="str">
        <f t="shared" ref="M258:M263" si="10">IF(B258&lt;&gt;0,IF(AV258&gt;0,IF($AZ258=1,IF($J258="Economy",1,0),($AN258*(IF($F258="Lawful",1,0)+IF($H178="Evil",1,0)))),0),"")</f>
        <v/>
      </c>
      <c r="N258" s="479"/>
      <c r="O258" s="444" t="str">
        <f t="shared" ref="O258:O263" si="11">IF(B258&lt;&gt;0,IF(AW258&gt;0,IF($AZ258=1,IF($J258="Loyalty",1,0),($AN258*(IF($F258="Chaotic",1,0)+IF($H178="Good",1,0)))),0),"")</f>
        <v/>
      </c>
      <c r="P258" s="479"/>
      <c r="Q258" s="444" t="str">
        <f t="shared" ref="Q258:Q263" si="12">IF(B258&lt;&gt;0,IF(AY258&gt;0,IF($AZ258=1,IF($J258="Stability",1,0),($AN258*(IF($F258="Neutral",1,0)+IF($H178="Neutral",1,0)))),0),"")</f>
        <v/>
      </c>
      <c r="R258" s="14"/>
      <c r="AN258" s="103">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479"/>
      <c r="C259" s="213"/>
      <c r="D259" s="479"/>
      <c r="E259" s="479"/>
      <c r="F259" s="479"/>
      <c r="G259" s="479"/>
      <c r="H259" s="479"/>
      <c r="I259" s="479"/>
      <c r="J259" s="760"/>
      <c r="K259" s="760"/>
      <c r="L259" s="213"/>
      <c r="M259" s="479" t="str">
        <f t="shared" si="10"/>
        <v/>
      </c>
      <c r="N259" s="479"/>
      <c r="O259" s="479" t="str">
        <f t="shared" si="11"/>
        <v/>
      </c>
      <c r="P259" s="479"/>
      <c r="Q259" s="479"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479"/>
      <c r="F260" s="410"/>
      <c r="G260" s="479"/>
      <c r="H260" s="446"/>
      <c r="I260" s="213"/>
      <c r="J260" s="739"/>
      <c r="K260" s="740"/>
      <c r="L260" s="213"/>
      <c r="M260" s="444" t="str">
        <f t="shared" si="10"/>
        <v/>
      </c>
      <c r="N260" s="479"/>
      <c r="O260" s="444" t="str">
        <f t="shared" si="11"/>
        <v/>
      </c>
      <c r="P260" s="479"/>
      <c r="Q260" s="444" t="str">
        <f t="shared" si="12"/>
        <v/>
      </c>
      <c r="R260" s="14"/>
      <c r="AN260" s="103">
        <f t="shared" si="13"/>
        <v>0</v>
      </c>
      <c r="AV260">
        <f t="shared" si="14"/>
        <v>0</v>
      </c>
      <c r="AW260">
        <f t="shared" si="15"/>
        <v>0</v>
      </c>
      <c r="AX260"/>
      <c r="AY260">
        <f t="shared" si="16"/>
        <v>0</v>
      </c>
      <c r="AZ260">
        <f t="shared" si="7"/>
        <v>0</v>
      </c>
    </row>
    <row r="261" spans="1:52" ht="3" customHeight="1" thickBot="1" x14ac:dyDescent="0.3">
      <c r="A261" s="15"/>
      <c r="B261" s="479"/>
      <c r="C261" s="213"/>
      <c r="D261" s="479"/>
      <c r="E261" s="479"/>
      <c r="F261" s="479"/>
      <c r="G261" s="479"/>
      <c r="H261" s="479"/>
      <c r="I261" s="479"/>
      <c r="J261" s="760"/>
      <c r="K261" s="760"/>
      <c r="L261" s="213"/>
      <c r="M261" s="479" t="str">
        <f t="shared" si="10"/>
        <v/>
      </c>
      <c r="N261" s="479"/>
      <c r="O261" s="479" t="str">
        <f t="shared" si="11"/>
        <v/>
      </c>
      <c r="P261" s="479"/>
      <c r="Q261" s="479"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479"/>
      <c r="F262" s="410"/>
      <c r="G262" s="479"/>
      <c r="H262" s="446"/>
      <c r="I262" s="213"/>
      <c r="J262" s="739"/>
      <c r="K262" s="740"/>
      <c r="L262" s="213"/>
      <c r="M262" s="444" t="str">
        <f t="shared" si="10"/>
        <v/>
      </c>
      <c r="N262" s="479"/>
      <c r="O262" s="444" t="str">
        <f t="shared" si="11"/>
        <v/>
      </c>
      <c r="P262" s="479"/>
      <c r="Q262" s="444" t="str">
        <f t="shared" si="12"/>
        <v/>
      </c>
      <c r="R262" s="14"/>
      <c r="AN262" s="103">
        <f t="shared" si="13"/>
        <v>0</v>
      </c>
      <c r="AV262">
        <f t="shared" si="14"/>
        <v>0</v>
      </c>
      <c r="AW262">
        <f t="shared" si="15"/>
        <v>0</v>
      </c>
      <c r="AX262"/>
      <c r="AY262">
        <f t="shared" si="16"/>
        <v>0</v>
      </c>
      <c r="AZ262">
        <f t="shared" si="7"/>
        <v>0</v>
      </c>
    </row>
    <row r="263" spans="1:52" ht="3" customHeight="1" thickBot="1" x14ac:dyDescent="0.3">
      <c r="A263" s="15"/>
      <c r="B263" s="479"/>
      <c r="C263" s="213"/>
      <c r="D263" s="479"/>
      <c r="E263" s="479"/>
      <c r="F263" s="479"/>
      <c r="G263" s="479"/>
      <c r="H263" s="479"/>
      <c r="I263" s="479"/>
      <c r="J263" s="760"/>
      <c r="K263" s="760"/>
      <c r="L263" s="213"/>
      <c r="M263" s="479" t="str">
        <f t="shared" si="10"/>
        <v/>
      </c>
      <c r="N263" s="479"/>
      <c r="O263" s="479" t="str">
        <f t="shared" si="11"/>
        <v/>
      </c>
      <c r="P263" s="479"/>
      <c r="Q263" s="479"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479"/>
      <c r="F264" s="410"/>
      <c r="G264" s="479"/>
      <c r="H264" s="446"/>
      <c r="I264" s="213"/>
      <c r="J264" s="739"/>
      <c r="K264" s="740"/>
      <c r="L264" s="213"/>
      <c r="M264" s="444" t="str">
        <f t="shared" si="3"/>
        <v/>
      </c>
      <c r="N264" s="479"/>
      <c r="O264" s="444" t="str">
        <f t="shared" si="4"/>
        <v/>
      </c>
      <c r="P264" s="479"/>
      <c r="Q264" s="444" t="str">
        <f t="shared" si="5"/>
        <v/>
      </c>
      <c r="R264" s="14"/>
      <c r="AN264" s="103">
        <f t="shared" si="13"/>
        <v>0</v>
      </c>
      <c r="AV264">
        <f t="shared" si="6"/>
        <v>0</v>
      </c>
      <c r="AW264">
        <f t="shared" si="8"/>
        <v>0</v>
      </c>
      <c r="AX264"/>
      <c r="AY264">
        <f t="shared" si="9"/>
        <v>0</v>
      </c>
      <c r="AZ264">
        <f t="shared" si="7"/>
        <v>0</v>
      </c>
    </row>
    <row r="265" spans="1:52" ht="3" customHeight="1" thickBot="1" x14ac:dyDescent="0.3">
      <c r="A265" s="15"/>
      <c r="B265" s="479"/>
      <c r="C265" s="213"/>
      <c r="D265" s="479"/>
      <c r="E265" s="479"/>
      <c r="F265" s="479"/>
      <c r="G265" s="479"/>
      <c r="H265" s="479"/>
      <c r="I265" s="479"/>
      <c r="J265" s="760"/>
      <c r="K265" s="760"/>
      <c r="L265" s="213"/>
      <c r="M265" s="479" t="str">
        <f t="shared" si="3"/>
        <v/>
      </c>
      <c r="N265" s="479"/>
      <c r="O265" s="479" t="str">
        <f t="shared" si="4"/>
        <v/>
      </c>
      <c r="P265" s="479"/>
      <c r="Q265" s="479" t="str">
        <f t="shared" si="5"/>
        <v/>
      </c>
      <c r="R265" s="14"/>
      <c r="AV265">
        <f t="shared" si="6"/>
        <v>0</v>
      </c>
      <c r="AW265">
        <f t="shared" si="8"/>
        <v>0</v>
      </c>
      <c r="AX265"/>
      <c r="AY265">
        <f t="shared" si="9"/>
        <v>0</v>
      </c>
      <c r="AZ265">
        <f t="shared" si="7"/>
        <v>0</v>
      </c>
    </row>
    <row r="266" spans="1:52" ht="15.75" thickBot="1" x14ac:dyDescent="0.3">
      <c r="A266" s="15"/>
      <c r="B266" s="410"/>
      <c r="C266" s="213"/>
      <c r="D266" s="446"/>
      <c r="E266" s="479"/>
      <c r="F266" s="410"/>
      <c r="G266" s="479"/>
      <c r="H266" s="446"/>
      <c r="I266" s="213"/>
      <c r="J266" s="739"/>
      <c r="K266" s="740"/>
      <c r="L266" s="213"/>
      <c r="M266" s="444" t="str">
        <f t="shared" si="3"/>
        <v/>
      </c>
      <c r="N266" s="479"/>
      <c r="O266" s="444" t="str">
        <f t="shared" si="4"/>
        <v/>
      </c>
      <c r="P266" s="479"/>
      <c r="Q266" s="444" t="str">
        <f t="shared" si="5"/>
        <v/>
      </c>
      <c r="R266" s="14"/>
      <c r="AN266" s="103">
        <f t="shared" si="13"/>
        <v>0</v>
      </c>
      <c r="AV266">
        <f t="shared" si="6"/>
        <v>0</v>
      </c>
      <c r="AW266">
        <f t="shared" si="8"/>
        <v>0</v>
      </c>
      <c r="AX266"/>
      <c r="AY266">
        <f t="shared" si="9"/>
        <v>0</v>
      </c>
      <c r="AZ266">
        <f t="shared" si="7"/>
        <v>0</v>
      </c>
    </row>
    <row r="267" spans="1:52" ht="3" customHeight="1" thickBot="1" x14ac:dyDescent="0.3">
      <c r="A267" s="15"/>
      <c r="B267" s="479"/>
      <c r="C267" s="213"/>
      <c r="D267" s="479"/>
      <c r="E267" s="479"/>
      <c r="F267" s="479"/>
      <c r="G267" s="479"/>
      <c r="H267" s="479"/>
      <c r="I267" s="479"/>
      <c r="J267" s="760"/>
      <c r="K267" s="760"/>
      <c r="L267" s="213"/>
      <c r="M267" s="479" t="str">
        <f t="shared" si="3"/>
        <v/>
      </c>
      <c r="N267" s="479"/>
      <c r="O267" s="479" t="str">
        <f t="shared" si="4"/>
        <v/>
      </c>
      <c r="P267" s="479"/>
      <c r="Q267" s="479" t="str">
        <f t="shared" si="5"/>
        <v/>
      </c>
      <c r="R267" s="14"/>
      <c r="AV267">
        <f t="shared" si="6"/>
        <v>0</v>
      </c>
      <c r="AW267">
        <f t="shared" si="8"/>
        <v>0</v>
      </c>
      <c r="AX267"/>
      <c r="AY267">
        <f t="shared" si="9"/>
        <v>0</v>
      </c>
      <c r="AZ267">
        <f t="shared" si="7"/>
        <v>0</v>
      </c>
    </row>
    <row r="268" spans="1:52" ht="15.75" thickBot="1" x14ac:dyDescent="0.3">
      <c r="A268" s="15"/>
      <c r="B268" s="410"/>
      <c r="C268" s="213"/>
      <c r="D268" s="446"/>
      <c r="E268" s="479"/>
      <c r="F268" s="410"/>
      <c r="G268" s="479"/>
      <c r="H268" s="446"/>
      <c r="I268" s="213"/>
      <c r="J268" s="739"/>
      <c r="K268" s="740"/>
      <c r="L268" s="213"/>
      <c r="M268" s="444" t="str">
        <f t="shared" si="3"/>
        <v/>
      </c>
      <c r="N268" s="479"/>
      <c r="O268" s="444" t="str">
        <f t="shared" si="4"/>
        <v/>
      </c>
      <c r="P268" s="479"/>
      <c r="Q268" s="444" t="str">
        <f t="shared" si="5"/>
        <v/>
      </c>
      <c r="R268" s="14"/>
      <c r="AN268" s="103">
        <f>IF(D268="Temple",2,IF(D268="Cathedral",4,0))</f>
        <v>0</v>
      </c>
      <c r="AV268">
        <f t="shared" si="6"/>
        <v>0</v>
      </c>
      <c r="AW268">
        <f t="shared" si="8"/>
        <v>0</v>
      </c>
      <c r="AX268"/>
      <c r="AY268">
        <f t="shared" si="9"/>
        <v>0</v>
      </c>
      <c r="AZ268">
        <f t="shared" si="7"/>
        <v>0</v>
      </c>
    </row>
    <row r="269" spans="1:52" ht="3" customHeight="1" thickBot="1" x14ac:dyDescent="0.3">
      <c r="A269" s="15"/>
      <c r="B269" s="479"/>
      <c r="C269" s="213"/>
      <c r="D269" s="479"/>
      <c r="E269" s="479"/>
      <c r="F269" s="479"/>
      <c r="G269" s="479"/>
      <c r="H269" s="479"/>
      <c r="I269" s="479"/>
      <c r="J269" s="760"/>
      <c r="K269" s="760"/>
      <c r="L269" s="213"/>
      <c r="M269" s="479" t="str">
        <f t="shared" si="3"/>
        <v/>
      </c>
      <c r="N269" s="479"/>
      <c r="O269" s="479" t="str">
        <f t="shared" si="4"/>
        <v/>
      </c>
      <c r="P269" s="479"/>
      <c r="Q269" s="479" t="str">
        <f t="shared" si="5"/>
        <v/>
      </c>
      <c r="R269" s="14"/>
      <c r="AV269">
        <f t="shared" si="6"/>
        <v>0</v>
      </c>
      <c r="AW269">
        <f t="shared" si="8"/>
        <v>0</v>
      </c>
      <c r="AX269"/>
      <c r="AY269">
        <f t="shared" si="9"/>
        <v>0</v>
      </c>
      <c r="AZ269">
        <f t="shared" si="7"/>
        <v>0</v>
      </c>
    </row>
    <row r="270" spans="1:52" ht="15.75" thickBot="1" x14ac:dyDescent="0.3">
      <c r="A270" s="15"/>
      <c r="B270" s="410"/>
      <c r="C270" s="213"/>
      <c r="D270" s="446"/>
      <c r="E270" s="479"/>
      <c r="F270" s="410"/>
      <c r="G270" s="479"/>
      <c r="H270" s="446"/>
      <c r="I270" s="213"/>
      <c r="J270" s="739"/>
      <c r="K270" s="740"/>
      <c r="L270" s="213"/>
      <c r="M270" s="444" t="str">
        <f t="shared" si="3"/>
        <v/>
      </c>
      <c r="N270" s="479"/>
      <c r="O270" s="444" t="str">
        <f t="shared" si="4"/>
        <v/>
      </c>
      <c r="P270" s="479"/>
      <c r="Q270" s="444" t="str">
        <f t="shared" si="5"/>
        <v/>
      </c>
      <c r="R270" s="14"/>
      <c r="AN270" s="103">
        <f t="shared" si="13"/>
        <v>0</v>
      </c>
      <c r="AV270">
        <f t="shared" si="6"/>
        <v>0</v>
      </c>
      <c r="AW270">
        <f t="shared" si="8"/>
        <v>0</v>
      </c>
      <c r="AX270"/>
      <c r="AY270">
        <f t="shared" si="9"/>
        <v>0</v>
      </c>
      <c r="AZ270">
        <f t="shared" si="7"/>
        <v>0</v>
      </c>
    </row>
    <row r="271" spans="1:52" ht="3" customHeight="1" thickBot="1" x14ac:dyDescent="0.3">
      <c r="A271" s="15"/>
      <c r="B271" s="479"/>
      <c r="C271" s="213"/>
      <c r="D271" s="479"/>
      <c r="E271" s="479"/>
      <c r="F271" s="479"/>
      <c r="G271" s="479"/>
      <c r="H271" s="479"/>
      <c r="I271" s="479"/>
      <c r="J271" s="760"/>
      <c r="K271" s="760"/>
      <c r="L271" s="213"/>
      <c r="M271" s="479" t="str">
        <f t="shared" si="3"/>
        <v/>
      </c>
      <c r="N271" s="479"/>
      <c r="O271" s="479" t="str">
        <f t="shared" si="4"/>
        <v/>
      </c>
      <c r="P271" s="479"/>
      <c r="Q271" s="479" t="str">
        <f t="shared" si="5"/>
        <v/>
      </c>
      <c r="R271" s="14"/>
      <c r="AV271">
        <f t="shared" si="6"/>
        <v>0</v>
      </c>
      <c r="AW271">
        <f t="shared" si="8"/>
        <v>0</v>
      </c>
      <c r="AX271"/>
      <c r="AY271">
        <f t="shared" si="9"/>
        <v>0</v>
      </c>
      <c r="AZ271">
        <f t="shared" si="7"/>
        <v>0</v>
      </c>
    </row>
    <row r="272" spans="1:52" ht="15.75" thickBot="1" x14ac:dyDescent="0.3">
      <c r="A272" s="15"/>
      <c r="B272" s="410"/>
      <c r="C272" s="213"/>
      <c r="D272" s="446"/>
      <c r="E272" s="479"/>
      <c r="F272" s="410"/>
      <c r="G272" s="479"/>
      <c r="H272" s="446"/>
      <c r="I272" s="213"/>
      <c r="J272" s="739"/>
      <c r="K272" s="740"/>
      <c r="L272" s="213"/>
      <c r="M272" s="444" t="str">
        <f t="shared" si="3"/>
        <v/>
      </c>
      <c r="N272" s="479"/>
      <c r="O272" s="444" t="str">
        <f t="shared" si="4"/>
        <v/>
      </c>
      <c r="P272" s="479"/>
      <c r="Q272" s="444" t="str">
        <f t="shared" si="5"/>
        <v/>
      </c>
      <c r="R272" s="14"/>
      <c r="AN272" s="103">
        <f t="shared" si="13"/>
        <v>0</v>
      </c>
      <c r="AV272">
        <f t="shared" si="6"/>
        <v>0</v>
      </c>
      <c r="AW272">
        <f t="shared" si="8"/>
        <v>0</v>
      </c>
      <c r="AX272"/>
      <c r="AY272">
        <f t="shared" si="9"/>
        <v>0</v>
      </c>
      <c r="AZ272">
        <f t="shared" si="7"/>
        <v>0</v>
      </c>
    </row>
    <row r="273" spans="1:18" ht="3" customHeight="1" thickBot="1" x14ac:dyDescent="0.3">
      <c r="A273" s="307"/>
      <c r="B273" s="2"/>
      <c r="C273" s="23"/>
      <c r="D273" s="2"/>
      <c r="E273" s="480"/>
      <c r="F273" s="480"/>
      <c r="G273" s="2"/>
      <c r="H273" s="2"/>
      <c r="I273" s="2"/>
      <c r="J273" s="699"/>
      <c r="K273" s="699"/>
      <c r="L273" s="23"/>
      <c r="M273" s="2">
        <f>IF(AT273&gt;0,IF($AX273=1,IF($J273="Economy",1,0),($AN273*(IF($F273="Lawful",1,0)+IF($H273="Evil",1,0)))),0)</f>
        <v>0</v>
      </c>
      <c r="N273" s="480"/>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103">
        <f>SUM(M234:M272)</f>
        <v>0</v>
      </c>
      <c r="O275" s="103">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sortState ref="B144:H158">
    <sortCondition ref="B144:B158"/>
  </sortState>
  <mergeCells count="200">
    <mergeCell ref="H78:K78"/>
    <mergeCell ref="H80:K80"/>
    <mergeCell ref="B84:AC84"/>
    <mergeCell ref="B86:F86"/>
    <mergeCell ref="B88:F88"/>
    <mergeCell ref="B90:F90"/>
    <mergeCell ref="H86:O86"/>
    <mergeCell ref="H88:O88"/>
    <mergeCell ref="H90:O90"/>
    <mergeCell ref="Q86:W86"/>
    <mergeCell ref="Q88:W88"/>
    <mergeCell ref="Q90:W90"/>
    <mergeCell ref="W36:AC36"/>
    <mergeCell ref="W18:AC18"/>
    <mergeCell ref="W20:AC20"/>
    <mergeCell ref="W26:AC26"/>
    <mergeCell ref="W28:AC28"/>
    <mergeCell ref="W30:AC30"/>
    <mergeCell ref="W38:AC38"/>
    <mergeCell ref="J255:K255"/>
    <mergeCell ref="J256:K256"/>
    <mergeCell ref="J247:K247"/>
    <mergeCell ref="J248:K248"/>
    <mergeCell ref="J249:K249"/>
    <mergeCell ref="J250:K250"/>
    <mergeCell ref="J251:K251"/>
    <mergeCell ref="J252:K252"/>
    <mergeCell ref="J253:K253"/>
    <mergeCell ref="J254:K254"/>
    <mergeCell ref="H22:K22"/>
    <mergeCell ref="H50:K50"/>
    <mergeCell ref="H52:K52"/>
    <mergeCell ref="H54:K54"/>
    <mergeCell ref="H58:K58"/>
    <mergeCell ref="J238:K238"/>
    <mergeCell ref="J239:K239"/>
    <mergeCell ref="J257:K257"/>
    <mergeCell ref="J258:K258"/>
    <mergeCell ref="J259:K259"/>
    <mergeCell ref="J260:K260"/>
    <mergeCell ref="J261:K261"/>
    <mergeCell ref="J262:K262"/>
    <mergeCell ref="J263:K263"/>
    <mergeCell ref="J273:K273"/>
    <mergeCell ref="J264:K264"/>
    <mergeCell ref="J265:K265"/>
    <mergeCell ref="J266:K266"/>
    <mergeCell ref="J267:K267"/>
    <mergeCell ref="J268:K268"/>
    <mergeCell ref="J269:K269"/>
    <mergeCell ref="J270:K270"/>
    <mergeCell ref="J271:K271"/>
    <mergeCell ref="J272:K272"/>
    <mergeCell ref="J240:K240"/>
    <mergeCell ref="J241:K241"/>
    <mergeCell ref="J242:K242"/>
    <mergeCell ref="J243:K243"/>
    <mergeCell ref="J244:K244"/>
    <mergeCell ref="J245:K245"/>
    <mergeCell ref="J246:K246"/>
    <mergeCell ref="B190:E190"/>
    <mergeCell ref="B208:D208"/>
    <mergeCell ref="B226:E226"/>
    <mergeCell ref="F232:H232"/>
    <mergeCell ref="J232:K232"/>
    <mergeCell ref="J234:K234"/>
    <mergeCell ref="J235:K235"/>
    <mergeCell ref="J236:K236"/>
    <mergeCell ref="J237:K237"/>
    <mergeCell ref="Q64:S64"/>
    <mergeCell ref="Q72:S72"/>
    <mergeCell ref="Q58:S58"/>
    <mergeCell ref="Q66:S66"/>
    <mergeCell ref="AF72:AG72"/>
    <mergeCell ref="AF74:AG74"/>
    <mergeCell ref="AI74:AJ74"/>
    <mergeCell ref="AI72:AJ72"/>
    <mergeCell ref="B101:F101"/>
    <mergeCell ref="AF70:AG70"/>
    <mergeCell ref="AF68:AG68"/>
    <mergeCell ref="H74:K74"/>
    <mergeCell ref="Q70:S70"/>
    <mergeCell ref="H72:K72"/>
    <mergeCell ref="AI68:AJ68"/>
    <mergeCell ref="H70:K70"/>
    <mergeCell ref="AI70:AJ70"/>
    <mergeCell ref="Q74:S74"/>
    <mergeCell ref="B92:AJ92"/>
    <mergeCell ref="B94:AJ98"/>
    <mergeCell ref="B68:AC68"/>
    <mergeCell ref="AI58:AJ58"/>
    <mergeCell ref="AI62:AJ62"/>
    <mergeCell ref="AI60:AJ60"/>
    <mergeCell ref="Q42:S42"/>
    <mergeCell ref="Q44:S44"/>
    <mergeCell ref="Q46:S46"/>
    <mergeCell ref="Q48:S48"/>
    <mergeCell ref="Q50:S50"/>
    <mergeCell ref="Q52:S52"/>
    <mergeCell ref="B14:AC14"/>
    <mergeCell ref="D2:M2"/>
    <mergeCell ref="H56:I56"/>
    <mergeCell ref="H24:K24"/>
    <mergeCell ref="H42:K42"/>
    <mergeCell ref="H10:K10"/>
    <mergeCell ref="H48:K48"/>
    <mergeCell ref="Q40:S40"/>
    <mergeCell ref="H26:K26"/>
    <mergeCell ref="Q28:S28"/>
    <mergeCell ref="Q36:S36"/>
    <mergeCell ref="H16:K16"/>
    <mergeCell ref="H18:K18"/>
    <mergeCell ref="H28:K28"/>
    <mergeCell ref="Q16:S16"/>
    <mergeCell ref="Q18:S18"/>
    <mergeCell ref="Q23:S23"/>
    <mergeCell ref="H20:K20"/>
    <mergeCell ref="AF22:AJ22"/>
    <mergeCell ref="AF24:AG24"/>
    <mergeCell ref="AF26:AG26"/>
    <mergeCell ref="Q2:S2"/>
    <mergeCell ref="Q6:S6"/>
    <mergeCell ref="Q8:S8"/>
    <mergeCell ref="Q32:S32"/>
    <mergeCell ref="Q34:S34"/>
    <mergeCell ref="Q10:S10"/>
    <mergeCell ref="Q12:S12"/>
    <mergeCell ref="Q22:S22"/>
    <mergeCell ref="AF2:AJ2"/>
    <mergeCell ref="AI26:AJ26"/>
    <mergeCell ref="AI24:AJ24"/>
    <mergeCell ref="AF28:AG28"/>
    <mergeCell ref="AI28:AJ28"/>
    <mergeCell ref="AF30:AG30"/>
    <mergeCell ref="AI30:AJ30"/>
    <mergeCell ref="AF32:AG32"/>
    <mergeCell ref="AI32:AJ32"/>
    <mergeCell ref="W16:AC16"/>
    <mergeCell ref="W24:AC24"/>
    <mergeCell ref="Q4:S4"/>
    <mergeCell ref="AI34:AJ34"/>
    <mergeCell ref="H6:K6"/>
    <mergeCell ref="H60:K60"/>
    <mergeCell ref="H62:K62"/>
    <mergeCell ref="H64:K64"/>
    <mergeCell ref="H66:K66"/>
    <mergeCell ref="H4:K4"/>
    <mergeCell ref="H8:K8"/>
    <mergeCell ref="Q20:S20"/>
    <mergeCell ref="Q24:S24"/>
    <mergeCell ref="Q26:S26"/>
    <mergeCell ref="H46:K46"/>
    <mergeCell ref="H30:K30"/>
    <mergeCell ref="H32:K32"/>
    <mergeCell ref="H34:K34"/>
    <mergeCell ref="H36:K36"/>
    <mergeCell ref="H38:K38"/>
    <mergeCell ref="H40:K40"/>
    <mergeCell ref="H44:K44"/>
    <mergeCell ref="Q30:S30"/>
    <mergeCell ref="Q62:S62"/>
    <mergeCell ref="Q54:S54"/>
    <mergeCell ref="Q56:S56"/>
    <mergeCell ref="Q60:S60"/>
    <mergeCell ref="Q38:S38"/>
    <mergeCell ref="AI66:AJ66"/>
    <mergeCell ref="AF56:AG56"/>
    <mergeCell ref="AF54:AG54"/>
    <mergeCell ref="AF52:AG52"/>
    <mergeCell ref="AF50:AG50"/>
    <mergeCell ref="AF66:AG66"/>
    <mergeCell ref="AF64:AG64"/>
    <mergeCell ref="AF62:AG62"/>
    <mergeCell ref="AF60:AG60"/>
    <mergeCell ref="AF58:AG58"/>
    <mergeCell ref="AI64:AJ64"/>
    <mergeCell ref="Y8:AA8"/>
    <mergeCell ref="Y10:AA10"/>
    <mergeCell ref="B76:AC76"/>
    <mergeCell ref="Q78:S78"/>
    <mergeCell ref="Q80:S80"/>
    <mergeCell ref="AI44:AJ44"/>
    <mergeCell ref="AF40:AG40"/>
    <mergeCell ref="AI40:AJ40"/>
    <mergeCell ref="AI36:AJ36"/>
    <mergeCell ref="AI54:AJ54"/>
    <mergeCell ref="AI52:AJ52"/>
    <mergeCell ref="AI50:AJ50"/>
    <mergeCell ref="AI56:AJ56"/>
    <mergeCell ref="AF34:AG34"/>
    <mergeCell ref="AF48:AG48"/>
    <mergeCell ref="AF46:AG46"/>
    <mergeCell ref="AF44:AG44"/>
    <mergeCell ref="AF42:AG42"/>
    <mergeCell ref="AF38:AG38"/>
    <mergeCell ref="AI48:AJ48"/>
    <mergeCell ref="AI46:AJ46"/>
    <mergeCell ref="AF36:AG36"/>
    <mergeCell ref="AI42:AJ42"/>
    <mergeCell ref="AI38:AJ3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W18:AC18">
      <formula1>Terrain</formula1>
    </dataValidation>
    <dataValidation type="list" allowBlank="1" showInputMessage="1" showErrorMessage="1" sqref="W20:AC20">
      <formula1>RiverCoast</formula1>
    </dataValidation>
    <dataValidation type="list" allowBlank="1" showInputMessage="1" showErrorMessage="1" sqref="W26:AC26 W28:AC28 W30:AC30">
      <formula1>NatAdv</formula1>
    </dataValidation>
    <dataValidation type="list" allowBlank="1" showInputMessage="1" showErrorMessage="1" sqref="W38:AC38">
      <formula1>ExSettlements</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F234 F236 F238 F240 F242 F244 F246 F248 F250 F252 F254 F256 F258 F260 F262 F264 F266 F268 F270 F272">
      <formula1>AlignLC</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s>
  <printOptions horizontalCentered="1" verticalCentered="1"/>
  <pageMargins left="0.70866141732283472" right="0.70866141732283472" top="0.74803149606299213" bottom="0.74803149606299213" header="0.31496062992125984" footer="0.31496062992125984"/>
  <pageSetup paperSize="9" scale="82" orientation="portrait" r:id="rId1"/>
  <headerFooter>
    <oddHeader>&amp;A</oddHeader>
    <oddFooter>&amp;LAdrian&amp;CPage &amp;P&amp;R&amp;D</oddFooter>
  </headerFooter>
  <legacyDrawing r:id="rId2"/>
  <extLst>
    <ext xmlns:x14="http://schemas.microsoft.com/office/spreadsheetml/2009/9/main" uri="{CCE6A557-97BC-4b89-ADB6-D9C93CAAB3DF}">
      <x14:dataValidations xmlns:xm="http://schemas.microsoft.com/office/excel/2006/main" count="20">
        <x14:dataValidation type="list" allowBlank="1" showInputMessage="1" showErrorMessage="1">
          <x14:formula1>
            <xm:f>'Drop Down'!A$2:A$5</xm:f>
          </x14:formula1>
          <xm:sqref>J235 J237 J239</xm:sqref>
        </x14:dataValidation>
        <x14:dataValidation type="list" allowBlank="1" showInputMessage="1" showErrorMessage="1">
          <x14:formula1>
            <xm:f>'Drop Down'!G$5:G$7</xm:f>
          </x14:formula1>
          <xm:sqref>I234:I240 H235 H237 H239</xm:sqref>
        </x14:dataValidation>
        <x14:dataValidation type="list" allowBlank="1" showInputMessage="1" showErrorMessage="1">
          <x14:formula1>
            <xm:f>'Drop Down'!H$5:H$7</xm:f>
          </x14:formula1>
          <xm:sqref>I272</xm:sqref>
        </x14:dataValidation>
        <x14:dataValidation type="list" allowBlank="1" showInputMessage="1" showErrorMessage="1">
          <x14:formula1>
            <xm:f>'Drop Down'!H$5:H$7</xm:f>
          </x14:formula1>
          <xm:sqref>I270</xm:sqref>
        </x14:dataValidation>
        <x14:dataValidation type="list" allowBlank="1" showInputMessage="1" showErrorMessage="1">
          <x14:formula1>
            <xm:f>'Drop Down'!H$5:H$7</xm:f>
          </x14:formula1>
          <xm:sqref>I268</xm:sqref>
        </x14:dataValidation>
        <x14:dataValidation type="list" allowBlank="1" showInputMessage="1" showErrorMessage="1">
          <x14:formula1>
            <xm:f>'Drop Down'!H$5:H$7</xm:f>
          </x14:formula1>
          <xm:sqref>I266</xm:sqref>
        </x14:dataValidation>
        <x14:dataValidation type="list" allowBlank="1" showInputMessage="1" showErrorMessage="1">
          <x14:formula1>
            <xm:f>'Drop Down'!H$5:H$7</xm:f>
          </x14:formula1>
          <xm:sqref>I264</xm:sqref>
        </x14:dataValidation>
        <x14:dataValidation type="list" allowBlank="1" showInputMessage="1" showErrorMessage="1">
          <x14:formula1>
            <xm:f>'Drop Down'!H$5:H$7</xm:f>
          </x14:formula1>
          <xm:sqref>I262</xm:sqref>
        </x14:dataValidation>
        <x14:dataValidation type="list" allowBlank="1" showInputMessage="1" showErrorMessage="1">
          <x14:formula1>
            <xm:f>'Drop Down'!H$5:H$7</xm:f>
          </x14:formula1>
          <xm:sqref>I260</xm:sqref>
        </x14:dataValidation>
        <x14:dataValidation type="list" allowBlank="1" showInputMessage="1" showErrorMessage="1">
          <x14:formula1>
            <xm:f>'Drop Down'!H$5:H$7</xm:f>
          </x14:formula1>
          <xm:sqref>I258</xm:sqref>
        </x14:dataValidation>
        <x14:dataValidation type="list" allowBlank="1" showInputMessage="1" showErrorMessage="1">
          <x14:formula1>
            <xm:f>'Drop Down'!H$5:H$7</xm:f>
          </x14:formula1>
          <xm:sqref>I256</xm:sqref>
        </x14:dataValidation>
        <x14:dataValidation type="list" allowBlank="1" showInputMessage="1" showErrorMessage="1">
          <x14:formula1>
            <xm:f>'Drop Down'!H$5:H$7</xm:f>
          </x14:formula1>
          <xm:sqref>I254</xm:sqref>
        </x14:dataValidation>
        <x14:dataValidation type="list" allowBlank="1" showInputMessage="1" showErrorMessage="1">
          <x14:formula1>
            <xm:f>'Drop Down'!H$5:H$7</xm:f>
          </x14:formula1>
          <xm:sqref>I252</xm:sqref>
        </x14:dataValidation>
        <x14:dataValidation type="list" allowBlank="1" showInputMessage="1" showErrorMessage="1">
          <x14:formula1>
            <xm:f>'Drop Down'!H$5:H$7</xm:f>
          </x14:formula1>
          <xm:sqref>I250</xm:sqref>
        </x14:dataValidation>
        <x14:dataValidation type="list" allowBlank="1" showInputMessage="1" showErrorMessage="1">
          <x14:formula1>
            <xm:f>'Drop Down'!H$5:H$7</xm:f>
          </x14:formula1>
          <xm:sqref>I248</xm:sqref>
        </x14:dataValidation>
        <x14:dataValidation type="list" allowBlank="1" showInputMessage="1" showErrorMessage="1">
          <x14:formula1>
            <xm:f>'Drop Down'!H$5:H$7</xm:f>
          </x14:formula1>
          <xm:sqref>I246</xm:sqref>
        </x14:dataValidation>
        <x14:dataValidation type="list" allowBlank="1" showInputMessage="1" showErrorMessage="1">
          <x14:formula1>
            <xm:f>'Drop Down'!H$5:H$7</xm:f>
          </x14:formula1>
          <xm:sqref>I244</xm:sqref>
        </x14:dataValidation>
        <x14:dataValidation type="list" allowBlank="1" showInputMessage="1" showErrorMessage="1">
          <x14:formula1>
            <xm:f>'Drop Down'!H$5:H$7</xm:f>
          </x14:formula1>
          <xm:sqref>I242</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Down'!C$16:C$19</xm:f>
          </x14:formula1>
          <xm:sqref>D235 D237 D239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O1:O46"/>
  <sheetViews>
    <sheetView topLeftCell="A46" zoomScale="85" zoomScaleNormal="85" workbookViewId="0">
      <selection activeCell="H48" sqref="H48"/>
    </sheetView>
  </sheetViews>
  <sheetFormatPr defaultRowHeight="15" x14ac:dyDescent="0.25"/>
  <sheetData>
    <row r="1" spans="15:15" ht="31.5" customHeight="1" x14ac:dyDescent="0.25"/>
    <row r="2" spans="15:15" x14ac:dyDescent="0.25">
      <c r="O2" s="1"/>
    </row>
    <row r="3" spans="15:15" x14ac:dyDescent="0.25">
      <c r="O3" s="1"/>
    </row>
    <row r="4" spans="15:15" x14ac:dyDescent="0.25">
      <c r="O4" s="1"/>
    </row>
    <row r="5" spans="15:15" x14ac:dyDescent="0.25">
      <c r="O5" s="1"/>
    </row>
    <row r="6" spans="15:15" x14ac:dyDescent="0.25">
      <c r="O6" s="1"/>
    </row>
    <row r="7" spans="15:15" x14ac:dyDescent="0.25">
      <c r="O7" s="1"/>
    </row>
    <row r="8" spans="15:15" x14ac:dyDescent="0.25">
      <c r="O8" s="1"/>
    </row>
    <row r="9" spans="15:15" x14ac:dyDescent="0.25">
      <c r="O9" s="1"/>
    </row>
    <row r="10" spans="15:15" x14ac:dyDescent="0.25">
      <c r="O10" s="1"/>
    </row>
    <row r="11" spans="15:15" x14ac:dyDescent="0.25">
      <c r="O11" s="1"/>
    </row>
    <row r="12" spans="15:15" x14ac:dyDescent="0.25">
      <c r="O12" s="1"/>
    </row>
    <row r="13" spans="15:15" x14ac:dyDescent="0.25">
      <c r="O13" s="1"/>
    </row>
    <row r="14" spans="15:15" x14ac:dyDescent="0.25">
      <c r="O14" s="1"/>
    </row>
    <row r="15" spans="15:15" x14ac:dyDescent="0.25">
      <c r="O15" s="1"/>
    </row>
    <row r="16" spans="15:15" x14ac:dyDescent="0.25">
      <c r="O16" s="1"/>
    </row>
    <row r="17" spans="15:15" x14ac:dyDescent="0.25">
      <c r="O17" s="1"/>
    </row>
    <row r="18" spans="15:15" x14ac:dyDescent="0.25">
      <c r="O18" s="1"/>
    </row>
    <row r="19" spans="15:15" x14ac:dyDescent="0.25">
      <c r="O19" s="1"/>
    </row>
    <row r="20" spans="15:15" x14ac:dyDescent="0.25">
      <c r="O20" s="1"/>
    </row>
    <row r="21" spans="15:15" x14ac:dyDescent="0.25">
      <c r="O21" s="1"/>
    </row>
    <row r="22" spans="15:15" x14ac:dyDescent="0.25">
      <c r="O22" s="1"/>
    </row>
    <row r="23" spans="15:15" x14ac:dyDescent="0.25">
      <c r="O23" s="1"/>
    </row>
    <row r="24" spans="15:15" x14ac:dyDescent="0.25">
      <c r="O24" s="1"/>
    </row>
    <row r="25" spans="15:15" x14ac:dyDescent="0.25">
      <c r="O25" s="1"/>
    </row>
    <row r="26" spans="15:15" x14ac:dyDescent="0.25">
      <c r="O26" s="1"/>
    </row>
    <row r="27" spans="15:15" x14ac:dyDescent="0.25">
      <c r="O27" s="1"/>
    </row>
    <row r="28" spans="15:15" x14ac:dyDescent="0.25">
      <c r="O28" s="1"/>
    </row>
    <row r="29" spans="15:15" x14ac:dyDescent="0.25">
      <c r="O29" s="1"/>
    </row>
    <row r="30" spans="15:15" x14ac:dyDescent="0.25">
      <c r="O30" s="1"/>
    </row>
    <row r="31" spans="15:15" x14ac:dyDescent="0.25">
      <c r="O31" s="1"/>
    </row>
    <row r="32" spans="15:15" x14ac:dyDescent="0.25">
      <c r="O32" s="1"/>
    </row>
    <row r="33" spans="15:15" x14ac:dyDescent="0.25">
      <c r="O33" s="1"/>
    </row>
    <row r="34" spans="15:15" x14ac:dyDescent="0.25">
      <c r="O34" s="1"/>
    </row>
    <row r="35" spans="15:15" x14ac:dyDescent="0.25">
      <c r="O35" s="1"/>
    </row>
    <row r="36" spans="15:15" x14ac:dyDescent="0.25">
      <c r="O36" s="1"/>
    </row>
    <row r="37" spans="15:15" x14ac:dyDescent="0.25">
      <c r="O37" s="1"/>
    </row>
    <row r="38" spans="15:15" x14ac:dyDescent="0.25">
      <c r="O38" s="1"/>
    </row>
    <row r="39" spans="15:15" x14ac:dyDescent="0.25">
      <c r="O39" s="1"/>
    </row>
    <row r="40" spans="15:15" x14ac:dyDescent="0.25">
      <c r="O40" s="1"/>
    </row>
    <row r="41" spans="15:15" x14ac:dyDescent="0.25">
      <c r="O41" s="1"/>
    </row>
    <row r="42" spans="15:15" x14ac:dyDescent="0.25">
      <c r="O42" s="1"/>
    </row>
    <row r="43" spans="15:15" x14ac:dyDescent="0.25">
      <c r="O43" s="1"/>
    </row>
    <row r="44" spans="15:15" x14ac:dyDescent="0.25">
      <c r="O44" s="1"/>
    </row>
    <row r="45" spans="15:15" x14ac:dyDescent="0.25">
      <c r="O45" s="1"/>
    </row>
    <row r="46" spans="15:15" ht="30" customHeight="1"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pageSetUpPr fitToPage="1"/>
  </sheetPr>
  <dimension ref="A1:CH281"/>
  <sheetViews>
    <sheetView topLeftCell="A17" zoomScale="90" zoomScaleNormal="90" workbookViewId="0">
      <selection activeCell="D2" sqref="D2:M2"/>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H16:K16"/>
    <mergeCell ref="Q16:S16"/>
    <mergeCell ref="H18:K18"/>
    <mergeCell ref="Q18:S18"/>
    <mergeCell ref="D2:M2"/>
    <mergeCell ref="Q2:S2"/>
    <mergeCell ref="W16:AC16"/>
    <mergeCell ref="W18:AC18"/>
    <mergeCell ref="Q12:S12"/>
    <mergeCell ref="B14:AC14"/>
    <mergeCell ref="AF2:AJ2"/>
    <mergeCell ref="H4:K4"/>
    <mergeCell ref="Q4:S4"/>
    <mergeCell ref="H6:K6"/>
    <mergeCell ref="Q6:S6"/>
    <mergeCell ref="H8:K8"/>
    <mergeCell ref="Q8:S8"/>
    <mergeCell ref="H10:K10"/>
    <mergeCell ref="Q10:S10"/>
    <mergeCell ref="Y8:AA8"/>
    <mergeCell ref="Y10:AA10"/>
    <mergeCell ref="AF24:AG24"/>
    <mergeCell ref="AI24:AJ24"/>
    <mergeCell ref="W24:AC24"/>
    <mergeCell ref="W20:AC20"/>
    <mergeCell ref="AF22:AJ22"/>
    <mergeCell ref="Q23:S23"/>
    <mergeCell ref="H26:K26"/>
    <mergeCell ref="Q26:S26"/>
    <mergeCell ref="AF26:AG26"/>
    <mergeCell ref="AI26:AJ26"/>
    <mergeCell ref="H20:K20"/>
    <mergeCell ref="Q20:S20"/>
    <mergeCell ref="H22:K22"/>
    <mergeCell ref="Q22:S22"/>
    <mergeCell ref="H24:K24"/>
    <mergeCell ref="Q24:S24"/>
    <mergeCell ref="AF28:AG28"/>
    <mergeCell ref="AI28:AJ28"/>
    <mergeCell ref="H30:K30"/>
    <mergeCell ref="Q30:S30"/>
    <mergeCell ref="AF30:AG30"/>
    <mergeCell ref="AI30:AJ30"/>
    <mergeCell ref="W26:AC26"/>
    <mergeCell ref="W28:AC28"/>
    <mergeCell ref="W30:AC30"/>
    <mergeCell ref="H28:K28"/>
    <mergeCell ref="Q28:S28"/>
    <mergeCell ref="AF32:AG32"/>
    <mergeCell ref="AI32:AJ32"/>
    <mergeCell ref="H34:K34"/>
    <mergeCell ref="Q34:S34"/>
    <mergeCell ref="AF34:AG34"/>
    <mergeCell ref="AI34:AJ34"/>
    <mergeCell ref="H36:K36"/>
    <mergeCell ref="Q36:S36"/>
    <mergeCell ref="AF36:AG36"/>
    <mergeCell ref="AI36:AJ36"/>
    <mergeCell ref="W36:AC36"/>
    <mergeCell ref="H32:K32"/>
    <mergeCell ref="Q32:S32"/>
    <mergeCell ref="AF38:AG38"/>
    <mergeCell ref="AI38:AJ38"/>
    <mergeCell ref="Q40:S40"/>
    <mergeCell ref="AF40:AG40"/>
    <mergeCell ref="AI40:AJ40"/>
    <mergeCell ref="H42:K42"/>
    <mergeCell ref="Q42:S42"/>
    <mergeCell ref="AF42:AG42"/>
    <mergeCell ref="AI42:AJ42"/>
    <mergeCell ref="H40:K40"/>
    <mergeCell ref="W38:AC38"/>
    <mergeCell ref="H38:K38"/>
    <mergeCell ref="Q38:S38"/>
    <mergeCell ref="H44:K44"/>
    <mergeCell ref="Q44:S44"/>
    <mergeCell ref="AF44:AG44"/>
    <mergeCell ref="AI44:AJ44"/>
    <mergeCell ref="H46:K46"/>
    <mergeCell ref="Q46:S46"/>
    <mergeCell ref="AF46:AG46"/>
    <mergeCell ref="AI46:AJ4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AF54:AG54"/>
    <mergeCell ref="AI54:AJ54"/>
    <mergeCell ref="H54:K54"/>
    <mergeCell ref="AF56:AG56"/>
    <mergeCell ref="AI56:AJ56"/>
    <mergeCell ref="H58:K58"/>
    <mergeCell ref="Q58:S58"/>
    <mergeCell ref="AF58:AG58"/>
    <mergeCell ref="AI58:AJ58"/>
    <mergeCell ref="H60:K60"/>
    <mergeCell ref="Q60:S60"/>
    <mergeCell ref="AF60:AG60"/>
    <mergeCell ref="AI60:AJ60"/>
    <mergeCell ref="Q56:S56"/>
    <mergeCell ref="H56:I56"/>
    <mergeCell ref="H62:K62"/>
    <mergeCell ref="Q62:S62"/>
    <mergeCell ref="AF62:AG62"/>
    <mergeCell ref="AI62:AJ62"/>
    <mergeCell ref="H64:K64"/>
    <mergeCell ref="Q64:S64"/>
    <mergeCell ref="AF64:AG64"/>
    <mergeCell ref="AI64:AJ64"/>
    <mergeCell ref="AF66:AG66"/>
    <mergeCell ref="AI66:AJ66"/>
    <mergeCell ref="H66:K66"/>
    <mergeCell ref="Q66:S66"/>
    <mergeCell ref="AI72:AJ72"/>
    <mergeCell ref="J237:K237"/>
    <mergeCell ref="J238:K238"/>
    <mergeCell ref="J232:K232"/>
    <mergeCell ref="J234:K234"/>
    <mergeCell ref="J235:K235"/>
    <mergeCell ref="J236:K236"/>
    <mergeCell ref="AF68:AG68"/>
    <mergeCell ref="AI68:AJ68"/>
    <mergeCell ref="H70:K70"/>
    <mergeCell ref="Q70:S70"/>
    <mergeCell ref="AF70:AG70"/>
    <mergeCell ref="AI70:AJ70"/>
    <mergeCell ref="H72:K72"/>
    <mergeCell ref="Q72:S72"/>
    <mergeCell ref="AF72:AG72"/>
    <mergeCell ref="B68:AC68"/>
    <mergeCell ref="H74:K74"/>
    <mergeCell ref="Q74:S74"/>
    <mergeCell ref="AF74:AG74"/>
    <mergeCell ref="AI74:AJ74"/>
    <mergeCell ref="B76:AC76"/>
    <mergeCell ref="H78:K78"/>
    <mergeCell ref="Q78:S78"/>
    <mergeCell ref="H80:K80"/>
    <mergeCell ref="Q80:S80"/>
    <mergeCell ref="B84:AC84"/>
    <mergeCell ref="B86:F86"/>
    <mergeCell ref="H86:O86"/>
    <mergeCell ref="Q86:W86"/>
    <mergeCell ref="B88:F88"/>
    <mergeCell ref="H88:O88"/>
    <mergeCell ref="Q88:W88"/>
    <mergeCell ref="B90:F90"/>
    <mergeCell ref="H90:O90"/>
    <mergeCell ref="Q90:W90"/>
    <mergeCell ref="B92:AJ92"/>
    <mergeCell ref="B94:AJ98"/>
    <mergeCell ref="B101:F101"/>
    <mergeCell ref="B190:E190"/>
    <mergeCell ref="B208:D208"/>
    <mergeCell ref="B226:E226"/>
    <mergeCell ref="F232:H232"/>
    <mergeCell ref="J256:K256"/>
    <mergeCell ref="J257:K257"/>
    <mergeCell ref="J240:K240"/>
    <mergeCell ref="J241:K241"/>
    <mergeCell ref="J242:K242"/>
    <mergeCell ref="J243:K243"/>
    <mergeCell ref="J244:K244"/>
    <mergeCell ref="J245:K245"/>
    <mergeCell ref="J239:K239"/>
    <mergeCell ref="J255:K255"/>
    <mergeCell ref="J246:K246"/>
    <mergeCell ref="J247:K247"/>
    <mergeCell ref="J248:K248"/>
    <mergeCell ref="J249:K249"/>
    <mergeCell ref="J250:K250"/>
    <mergeCell ref="J251:K251"/>
    <mergeCell ref="J252:K252"/>
    <mergeCell ref="J253:K253"/>
    <mergeCell ref="J254:K254"/>
    <mergeCell ref="J267:K267"/>
    <mergeCell ref="J268:K268"/>
    <mergeCell ref="J269:K269"/>
    <mergeCell ref="J270:K270"/>
    <mergeCell ref="J271:K271"/>
    <mergeCell ref="J272:K272"/>
    <mergeCell ref="J273:K273"/>
    <mergeCell ref="J258:K258"/>
    <mergeCell ref="J259:K259"/>
    <mergeCell ref="J260:K260"/>
    <mergeCell ref="J261:K261"/>
    <mergeCell ref="J262:K262"/>
    <mergeCell ref="J263:K263"/>
    <mergeCell ref="J264:K264"/>
    <mergeCell ref="J265:K265"/>
    <mergeCell ref="J266:K266"/>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rintOptions horizontalCentered="1" verticalCentered="1"/>
  <pageMargins left="0.70866141732283472" right="0.70866141732283472" top="0.74803149606299213" bottom="0.74803149606299213" header="0.31496062992125984" footer="0.31496062992125984"/>
  <pageSetup paperSize="9" scale="82" orientation="portrait" r:id="rId1"/>
  <headerFooter>
    <oddHeader>&amp;A</oddHeader>
    <oddFooter>&amp;LAdrian&amp;CPage &amp;P&amp;R&amp;D</oddFooter>
  </headerFooter>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A46"/>
  <sheetViews>
    <sheetView zoomScale="85" zoomScaleNormal="85" workbookViewId="0">
      <selection activeCell="B3" sqref="B3"/>
    </sheetView>
  </sheetViews>
  <sheetFormatPr defaultRowHeight="15" x14ac:dyDescent="0.25"/>
  <sheetData>
    <row r="1" ht="31.5" customHeight="1" x14ac:dyDescent="0.25"/>
    <row r="46" ht="30.75" customHeight="1" x14ac:dyDescent="0.2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pageSetUpPr fitToPage="1"/>
  </sheetPr>
  <dimension ref="A1:CH281"/>
  <sheetViews>
    <sheetView topLeftCell="D1" zoomScale="90" zoomScaleNormal="9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B76:AC76"/>
    <mergeCell ref="H78:K78"/>
    <mergeCell ref="H74:K74"/>
    <mergeCell ref="Q74:S74"/>
    <mergeCell ref="Q78:S78"/>
    <mergeCell ref="H80:K80"/>
    <mergeCell ref="Q80:S80"/>
    <mergeCell ref="B84:AC84"/>
    <mergeCell ref="B86:F86"/>
    <mergeCell ref="H86:O86"/>
    <mergeCell ref="Q86:W86"/>
    <mergeCell ref="Q10:S10"/>
    <mergeCell ref="H16:K16"/>
    <mergeCell ref="Q16:S16"/>
    <mergeCell ref="H18:K18"/>
    <mergeCell ref="Q18:S18"/>
    <mergeCell ref="H20:K20"/>
    <mergeCell ref="Q20:S20"/>
    <mergeCell ref="H72:K72"/>
    <mergeCell ref="Q72:S72"/>
    <mergeCell ref="H70:K70"/>
    <mergeCell ref="Q70:S70"/>
    <mergeCell ref="Q24:S24"/>
    <mergeCell ref="H48:K48"/>
    <mergeCell ref="Q48:S48"/>
    <mergeCell ref="B68:AC68"/>
    <mergeCell ref="W16:AC16"/>
    <mergeCell ref="W18:AC18"/>
    <mergeCell ref="W24:AC24"/>
    <mergeCell ref="W26:AC26"/>
    <mergeCell ref="W28:AC28"/>
    <mergeCell ref="W36:AC36"/>
    <mergeCell ref="H38:K38"/>
    <mergeCell ref="Q38:S38"/>
    <mergeCell ref="H62:K62"/>
    <mergeCell ref="D2:M2"/>
    <mergeCell ref="Q2:S2"/>
    <mergeCell ref="AF2:AJ2"/>
    <mergeCell ref="H4:K4"/>
    <mergeCell ref="Q4:S4"/>
    <mergeCell ref="H6:K6"/>
    <mergeCell ref="Q6:S6"/>
    <mergeCell ref="H8:K8"/>
    <mergeCell ref="Q8:S8"/>
    <mergeCell ref="Y8:AA8"/>
    <mergeCell ref="Q62:S62"/>
    <mergeCell ref="AF62:AG62"/>
    <mergeCell ref="H42:K42"/>
    <mergeCell ref="Q42:S42"/>
    <mergeCell ref="AF42:AG42"/>
    <mergeCell ref="AI42:AJ42"/>
    <mergeCell ref="H44:K44"/>
    <mergeCell ref="Q44:S44"/>
    <mergeCell ref="AF44:AG44"/>
    <mergeCell ref="AI44:AJ44"/>
    <mergeCell ref="H46:K46"/>
    <mergeCell ref="Q46:S46"/>
    <mergeCell ref="AF46:AG46"/>
    <mergeCell ref="AI46:AJ46"/>
    <mergeCell ref="H58:K58"/>
    <mergeCell ref="Q58:S58"/>
    <mergeCell ref="AF58:AG58"/>
    <mergeCell ref="AI58:AJ58"/>
    <mergeCell ref="H60:K60"/>
    <mergeCell ref="Q60:S60"/>
    <mergeCell ref="AF60:AG60"/>
    <mergeCell ref="AI48:AJ48"/>
    <mergeCell ref="H50:K50"/>
    <mergeCell ref="Q50:S50"/>
    <mergeCell ref="Q40:S40"/>
    <mergeCell ref="AF40:AG40"/>
    <mergeCell ref="AI40:AJ40"/>
    <mergeCell ref="H40:K40"/>
    <mergeCell ref="AF24:AG24"/>
    <mergeCell ref="AI24:AJ24"/>
    <mergeCell ref="H26:K26"/>
    <mergeCell ref="Q26:S26"/>
    <mergeCell ref="AF26:AG26"/>
    <mergeCell ref="AI26:AJ26"/>
    <mergeCell ref="H34:K34"/>
    <mergeCell ref="Q34:S34"/>
    <mergeCell ref="AF34:AG34"/>
    <mergeCell ref="AI34:AJ34"/>
    <mergeCell ref="H36:K36"/>
    <mergeCell ref="Q36:S36"/>
    <mergeCell ref="AF36:AG36"/>
    <mergeCell ref="AF50:AG50"/>
    <mergeCell ref="AI50:AJ50"/>
    <mergeCell ref="AI60:AJ60"/>
    <mergeCell ref="H52:K52"/>
    <mergeCell ref="Q52:S52"/>
    <mergeCell ref="AF52:AG52"/>
    <mergeCell ref="AI52:AJ52"/>
    <mergeCell ref="Q54:S54"/>
    <mergeCell ref="AF54:AG54"/>
    <mergeCell ref="AI54:AJ54"/>
    <mergeCell ref="AF56:AG56"/>
    <mergeCell ref="AI56:AJ56"/>
    <mergeCell ref="Y10:AA10"/>
    <mergeCell ref="Q12:S12"/>
    <mergeCell ref="B14:AC14"/>
    <mergeCell ref="W20:AC20"/>
    <mergeCell ref="AF22:AJ22"/>
    <mergeCell ref="Q23:S23"/>
    <mergeCell ref="W30:AC30"/>
    <mergeCell ref="W38:AC38"/>
    <mergeCell ref="H28:K28"/>
    <mergeCell ref="Q28:S28"/>
    <mergeCell ref="AF28:AG28"/>
    <mergeCell ref="AI28:AJ28"/>
    <mergeCell ref="H30:K30"/>
    <mergeCell ref="Q30:S30"/>
    <mergeCell ref="AF30:AG30"/>
    <mergeCell ref="AI30:AJ30"/>
    <mergeCell ref="H32:K32"/>
    <mergeCell ref="Q32:S32"/>
    <mergeCell ref="AF32:AG32"/>
    <mergeCell ref="AI32:AJ32"/>
    <mergeCell ref="H22:K22"/>
    <mergeCell ref="AF38:AG38"/>
    <mergeCell ref="AI38:AJ38"/>
    <mergeCell ref="H10:K10"/>
    <mergeCell ref="Q22:S22"/>
    <mergeCell ref="H24:K24"/>
    <mergeCell ref="AI36:AJ36"/>
    <mergeCell ref="AF74:AG74"/>
    <mergeCell ref="AI74:AJ74"/>
    <mergeCell ref="H64:K64"/>
    <mergeCell ref="Q64:S64"/>
    <mergeCell ref="AF64:AG64"/>
    <mergeCell ref="AI64:AJ64"/>
    <mergeCell ref="AF72:AG72"/>
    <mergeCell ref="AF68:AG68"/>
    <mergeCell ref="AI68:AJ68"/>
    <mergeCell ref="AF70:AG70"/>
    <mergeCell ref="AI70:AJ70"/>
    <mergeCell ref="AI72:AJ72"/>
    <mergeCell ref="AF66:AG66"/>
    <mergeCell ref="AI66:AJ66"/>
    <mergeCell ref="H66:K66"/>
    <mergeCell ref="Q66:S66"/>
    <mergeCell ref="Q56:S56"/>
    <mergeCell ref="H54:K54"/>
    <mergeCell ref="H56:I56"/>
    <mergeCell ref="AF48:AG48"/>
    <mergeCell ref="AI62:AJ62"/>
    <mergeCell ref="B88:F88"/>
    <mergeCell ref="H88:O88"/>
    <mergeCell ref="Q88:W88"/>
    <mergeCell ref="B90:F90"/>
    <mergeCell ref="H90:O90"/>
    <mergeCell ref="Q90:W90"/>
    <mergeCell ref="B92:AJ92"/>
    <mergeCell ref="B94:AJ98"/>
    <mergeCell ref="B101:F101"/>
    <mergeCell ref="B190:E190"/>
    <mergeCell ref="B208:D208"/>
    <mergeCell ref="B226:E226"/>
    <mergeCell ref="F232:H232"/>
    <mergeCell ref="J256:K256"/>
    <mergeCell ref="J257:K257"/>
    <mergeCell ref="J258:K258"/>
    <mergeCell ref="J259:K259"/>
    <mergeCell ref="J232:K232"/>
    <mergeCell ref="J234:K234"/>
    <mergeCell ref="J235:K235"/>
    <mergeCell ref="J236:K236"/>
    <mergeCell ref="J237:K237"/>
    <mergeCell ref="J238:K238"/>
    <mergeCell ref="J239:K239"/>
    <mergeCell ref="J246:K246"/>
    <mergeCell ref="J247:K247"/>
    <mergeCell ref="J248:K248"/>
    <mergeCell ref="J249:K249"/>
    <mergeCell ref="J250:K250"/>
    <mergeCell ref="J251:K251"/>
    <mergeCell ref="J252:K252"/>
    <mergeCell ref="J253:K253"/>
    <mergeCell ref="J260:K260"/>
    <mergeCell ref="J261:K261"/>
    <mergeCell ref="J262:K262"/>
    <mergeCell ref="J263:K263"/>
    <mergeCell ref="J240:K240"/>
    <mergeCell ref="J241:K241"/>
    <mergeCell ref="J242:K242"/>
    <mergeCell ref="J243:K243"/>
    <mergeCell ref="J244:K244"/>
    <mergeCell ref="J254:K254"/>
    <mergeCell ref="J255:K255"/>
    <mergeCell ref="J245:K245"/>
    <mergeCell ref="J273:K273"/>
    <mergeCell ref="J264:K264"/>
    <mergeCell ref="J265:K265"/>
    <mergeCell ref="J266:K266"/>
    <mergeCell ref="J267:K267"/>
    <mergeCell ref="J268:K268"/>
    <mergeCell ref="J269:K269"/>
    <mergeCell ref="J270:K270"/>
    <mergeCell ref="J271:K271"/>
    <mergeCell ref="J272:K272"/>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pageSetUpPr fitToPage="1"/>
  </sheetPr>
  <dimension ref="A1:CH281"/>
  <sheetViews>
    <sheetView zoomScale="90" zoomScaleNormal="9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B76:AC76"/>
    <mergeCell ref="H78:K78"/>
    <mergeCell ref="H74:K74"/>
    <mergeCell ref="Q74:S74"/>
    <mergeCell ref="Q78:S78"/>
    <mergeCell ref="H80:K80"/>
    <mergeCell ref="Q80:S80"/>
    <mergeCell ref="B84:AC84"/>
    <mergeCell ref="B86:F86"/>
    <mergeCell ref="H86:O86"/>
    <mergeCell ref="Q86:W86"/>
    <mergeCell ref="Q10:S10"/>
    <mergeCell ref="H16:K16"/>
    <mergeCell ref="Q16:S16"/>
    <mergeCell ref="H18:K18"/>
    <mergeCell ref="Q18:S18"/>
    <mergeCell ref="H20:K20"/>
    <mergeCell ref="Q20:S20"/>
    <mergeCell ref="H72:K72"/>
    <mergeCell ref="Q72:S72"/>
    <mergeCell ref="H70:K70"/>
    <mergeCell ref="Q70:S70"/>
    <mergeCell ref="Q24:S24"/>
    <mergeCell ref="H48:K48"/>
    <mergeCell ref="Q48:S48"/>
    <mergeCell ref="B68:AC68"/>
    <mergeCell ref="W16:AC16"/>
    <mergeCell ref="W18:AC18"/>
    <mergeCell ref="W24:AC24"/>
    <mergeCell ref="W26:AC26"/>
    <mergeCell ref="W28:AC28"/>
    <mergeCell ref="W36:AC36"/>
    <mergeCell ref="H38:K38"/>
    <mergeCell ref="Q38:S38"/>
    <mergeCell ref="H62:K62"/>
    <mergeCell ref="D2:M2"/>
    <mergeCell ref="Q2:S2"/>
    <mergeCell ref="AF2:AJ2"/>
    <mergeCell ref="H4:K4"/>
    <mergeCell ref="Q4:S4"/>
    <mergeCell ref="H6:K6"/>
    <mergeCell ref="Q6:S6"/>
    <mergeCell ref="H8:K8"/>
    <mergeCell ref="Q8:S8"/>
    <mergeCell ref="Y8:AA8"/>
    <mergeCell ref="Q62:S62"/>
    <mergeCell ref="AF62:AG62"/>
    <mergeCell ref="H42:K42"/>
    <mergeCell ref="Q42:S42"/>
    <mergeCell ref="AF42:AG42"/>
    <mergeCell ref="AI42:AJ42"/>
    <mergeCell ref="H44:K44"/>
    <mergeCell ref="Q44:S44"/>
    <mergeCell ref="AF44:AG44"/>
    <mergeCell ref="AI44:AJ44"/>
    <mergeCell ref="H46:K46"/>
    <mergeCell ref="Q46:S46"/>
    <mergeCell ref="AF46:AG46"/>
    <mergeCell ref="AI46:AJ46"/>
    <mergeCell ref="H58:K58"/>
    <mergeCell ref="Q58:S58"/>
    <mergeCell ref="AF58:AG58"/>
    <mergeCell ref="AI58:AJ58"/>
    <mergeCell ref="H60:K60"/>
    <mergeCell ref="Q60:S60"/>
    <mergeCell ref="AF60:AG60"/>
    <mergeCell ref="AI48:AJ48"/>
    <mergeCell ref="H50:K50"/>
    <mergeCell ref="Q50:S50"/>
    <mergeCell ref="Q40:S40"/>
    <mergeCell ref="AF40:AG40"/>
    <mergeCell ref="AI40:AJ40"/>
    <mergeCell ref="H40:K40"/>
    <mergeCell ref="AF24:AG24"/>
    <mergeCell ref="AI24:AJ24"/>
    <mergeCell ref="H26:K26"/>
    <mergeCell ref="Q26:S26"/>
    <mergeCell ref="AF26:AG26"/>
    <mergeCell ref="AI26:AJ26"/>
    <mergeCell ref="H34:K34"/>
    <mergeCell ref="Q34:S34"/>
    <mergeCell ref="AF34:AG34"/>
    <mergeCell ref="AI34:AJ34"/>
    <mergeCell ref="H36:K36"/>
    <mergeCell ref="Q36:S36"/>
    <mergeCell ref="AF36:AG36"/>
    <mergeCell ref="AF50:AG50"/>
    <mergeCell ref="AI50:AJ50"/>
    <mergeCell ref="AI60:AJ60"/>
    <mergeCell ref="H52:K52"/>
    <mergeCell ref="Q52:S52"/>
    <mergeCell ref="AF52:AG52"/>
    <mergeCell ref="AI52:AJ52"/>
    <mergeCell ref="Q54:S54"/>
    <mergeCell ref="AF54:AG54"/>
    <mergeCell ref="AI54:AJ54"/>
    <mergeCell ref="AF56:AG56"/>
    <mergeCell ref="AI56:AJ56"/>
    <mergeCell ref="Y10:AA10"/>
    <mergeCell ref="Q12:S12"/>
    <mergeCell ref="B14:AC14"/>
    <mergeCell ref="W20:AC20"/>
    <mergeCell ref="AF22:AJ22"/>
    <mergeCell ref="Q23:S23"/>
    <mergeCell ref="W30:AC30"/>
    <mergeCell ref="W38:AC38"/>
    <mergeCell ref="H28:K28"/>
    <mergeCell ref="Q28:S28"/>
    <mergeCell ref="AF28:AG28"/>
    <mergeCell ref="AI28:AJ28"/>
    <mergeCell ref="H30:K30"/>
    <mergeCell ref="Q30:S30"/>
    <mergeCell ref="AF30:AG30"/>
    <mergeCell ref="AI30:AJ30"/>
    <mergeCell ref="H32:K32"/>
    <mergeCell ref="Q32:S32"/>
    <mergeCell ref="AF32:AG32"/>
    <mergeCell ref="AI32:AJ32"/>
    <mergeCell ref="H22:K22"/>
    <mergeCell ref="AF38:AG38"/>
    <mergeCell ref="AI38:AJ38"/>
    <mergeCell ref="H10:K10"/>
    <mergeCell ref="Q22:S22"/>
    <mergeCell ref="H24:K24"/>
    <mergeCell ref="AI36:AJ36"/>
    <mergeCell ref="AF74:AG74"/>
    <mergeCell ref="AI74:AJ74"/>
    <mergeCell ref="H64:K64"/>
    <mergeCell ref="Q64:S64"/>
    <mergeCell ref="AF64:AG64"/>
    <mergeCell ref="AI64:AJ64"/>
    <mergeCell ref="AF72:AG72"/>
    <mergeCell ref="AF68:AG68"/>
    <mergeCell ref="AI68:AJ68"/>
    <mergeCell ref="AF70:AG70"/>
    <mergeCell ref="AI70:AJ70"/>
    <mergeCell ref="AI72:AJ72"/>
    <mergeCell ref="AF66:AG66"/>
    <mergeCell ref="AI66:AJ66"/>
    <mergeCell ref="H66:K66"/>
    <mergeCell ref="Q66:S66"/>
    <mergeCell ref="Q56:S56"/>
    <mergeCell ref="H54:K54"/>
    <mergeCell ref="H56:I56"/>
    <mergeCell ref="AF48:AG48"/>
    <mergeCell ref="AI62:AJ62"/>
    <mergeCell ref="B88:F88"/>
    <mergeCell ref="H88:O88"/>
    <mergeCell ref="Q88:W88"/>
    <mergeCell ref="B90:F90"/>
    <mergeCell ref="H90:O90"/>
    <mergeCell ref="Q90:W90"/>
    <mergeCell ref="B92:AJ92"/>
    <mergeCell ref="B94:AJ98"/>
    <mergeCell ref="B101:F101"/>
    <mergeCell ref="B190:E190"/>
    <mergeCell ref="B208:D208"/>
    <mergeCell ref="B226:E226"/>
    <mergeCell ref="F232:H232"/>
    <mergeCell ref="J256:K256"/>
    <mergeCell ref="J257:K257"/>
    <mergeCell ref="J258:K258"/>
    <mergeCell ref="J259:K259"/>
    <mergeCell ref="J232:K232"/>
    <mergeCell ref="J234:K234"/>
    <mergeCell ref="J235:K235"/>
    <mergeCell ref="J236:K236"/>
    <mergeCell ref="J237:K237"/>
    <mergeCell ref="J238:K238"/>
    <mergeCell ref="J239:K239"/>
    <mergeCell ref="J246:K246"/>
    <mergeCell ref="J247:K247"/>
    <mergeCell ref="J248:K248"/>
    <mergeCell ref="J249:K249"/>
    <mergeCell ref="J250:K250"/>
    <mergeCell ref="J251:K251"/>
    <mergeCell ref="J252:K252"/>
    <mergeCell ref="J253:K253"/>
    <mergeCell ref="J260:K260"/>
    <mergeCell ref="J261:K261"/>
    <mergeCell ref="J262:K262"/>
    <mergeCell ref="J263:K263"/>
    <mergeCell ref="J240:K240"/>
    <mergeCell ref="J241:K241"/>
    <mergeCell ref="J242:K242"/>
    <mergeCell ref="J243:K243"/>
    <mergeCell ref="J244:K244"/>
    <mergeCell ref="J254:K254"/>
    <mergeCell ref="J255:K255"/>
    <mergeCell ref="J245:K245"/>
    <mergeCell ref="J273:K273"/>
    <mergeCell ref="J264:K264"/>
    <mergeCell ref="J265:K265"/>
    <mergeCell ref="J266:K266"/>
    <mergeCell ref="J267:K267"/>
    <mergeCell ref="J268:K268"/>
    <mergeCell ref="J269:K269"/>
    <mergeCell ref="J270:K270"/>
    <mergeCell ref="J271:K271"/>
    <mergeCell ref="J272:K272"/>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CH281"/>
  <sheetViews>
    <sheetView zoomScale="90" zoomScaleNormal="9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B76:AC76"/>
    <mergeCell ref="H78:K78"/>
    <mergeCell ref="H74:K74"/>
    <mergeCell ref="Q74:S74"/>
    <mergeCell ref="Q78:S78"/>
    <mergeCell ref="H80:K80"/>
    <mergeCell ref="Q80:S80"/>
    <mergeCell ref="B84:AC84"/>
    <mergeCell ref="B86:F86"/>
    <mergeCell ref="H86:O86"/>
    <mergeCell ref="Q86:W86"/>
    <mergeCell ref="Q10:S10"/>
    <mergeCell ref="H16:K16"/>
    <mergeCell ref="Q16:S16"/>
    <mergeCell ref="H18:K18"/>
    <mergeCell ref="Q18:S18"/>
    <mergeCell ref="H20:K20"/>
    <mergeCell ref="Q20:S20"/>
    <mergeCell ref="H72:K72"/>
    <mergeCell ref="Q72:S72"/>
    <mergeCell ref="H70:K70"/>
    <mergeCell ref="Q70:S70"/>
    <mergeCell ref="Q24:S24"/>
    <mergeCell ref="H48:K48"/>
    <mergeCell ref="Q48:S48"/>
    <mergeCell ref="B68:AC68"/>
    <mergeCell ref="W16:AC16"/>
    <mergeCell ref="W18:AC18"/>
    <mergeCell ref="W24:AC24"/>
    <mergeCell ref="W26:AC26"/>
    <mergeCell ref="W28:AC28"/>
    <mergeCell ref="W36:AC36"/>
    <mergeCell ref="H38:K38"/>
    <mergeCell ref="Q38:S38"/>
    <mergeCell ref="H62:K62"/>
    <mergeCell ref="D2:M2"/>
    <mergeCell ref="Q2:S2"/>
    <mergeCell ref="AF2:AJ2"/>
    <mergeCell ref="H4:K4"/>
    <mergeCell ref="Q4:S4"/>
    <mergeCell ref="H6:K6"/>
    <mergeCell ref="Q6:S6"/>
    <mergeCell ref="H8:K8"/>
    <mergeCell ref="Q8:S8"/>
    <mergeCell ref="Y8:AA8"/>
    <mergeCell ref="Q62:S62"/>
    <mergeCell ref="AF62:AG62"/>
    <mergeCell ref="H42:K42"/>
    <mergeCell ref="Q42:S42"/>
    <mergeCell ref="AF42:AG42"/>
    <mergeCell ref="AI42:AJ42"/>
    <mergeCell ref="H44:K44"/>
    <mergeCell ref="Q44:S44"/>
    <mergeCell ref="AF44:AG44"/>
    <mergeCell ref="AI44:AJ44"/>
    <mergeCell ref="H46:K46"/>
    <mergeCell ref="Q46:S46"/>
    <mergeCell ref="AF46:AG46"/>
    <mergeCell ref="AI46:AJ46"/>
    <mergeCell ref="H58:K58"/>
    <mergeCell ref="Q58:S58"/>
    <mergeCell ref="AF58:AG58"/>
    <mergeCell ref="AI58:AJ58"/>
    <mergeCell ref="H60:K60"/>
    <mergeCell ref="Q60:S60"/>
    <mergeCell ref="AF60:AG60"/>
    <mergeCell ref="AI48:AJ48"/>
    <mergeCell ref="H50:K50"/>
    <mergeCell ref="Q50:S50"/>
    <mergeCell ref="Q40:S40"/>
    <mergeCell ref="AF40:AG40"/>
    <mergeCell ref="AI40:AJ40"/>
    <mergeCell ref="H40:K40"/>
    <mergeCell ref="AF24:AG24"/>
    <mergeCell ref="AI24:AJ24"/>
    <mergeCell ref="H26:K26"/>
    <mergeCell ref="Q26:S26"/>
    <mergeCell ref="AF26:AG26"/>
    <mergeCell ref="AI26:AJ26"/>
    <mergeCell ref="H34:K34"/>
    <mergeCell ref="Q34:S34"/>
    <mergeCell ref="AF34:AG34"/>
    <mergeCell ref="AI34:AJ34"/>
    <mergeCell ref="H36:K36"/>
    <mergeCell ref="Q36:S36"/>
    <mergeCell ref="AF36:AG36"/>
    <mergeCell ref="AF50:AG50"/>
    <mergeCell ref="AI50:AJ50"/>
    <mergeCell ref="AI60:AJ60"/>
    <mergeCell ref="H52:K52"/>
    <mergeCell ref="Q52:S52"/>
    <mergeCell ref="AF52:AG52"/>
    <mergeCell ref="AI52:AJ52"/>
    <mergeCell ref="Q54:S54"/>
    <mergeCell ref="AF54:AG54"/>
    <mergeCell ref="AI54:AJ54"/>
    <mergeCell ref="AF56:AG56"/>
    <mergeCell ref="AI56:AJ56"/>
    <mergeCell ref="Y10:AA10"/>
    <mergeCell ref="Q12:S12"/>
    <mergeCell ref="B14:AC14"/>
    <mergeCell ref="W20:AC20"/>
    <mergeCell ref="AF22:AJ22"/>
    <mergeCell ref="Q23:S23"/>
    <mergeCell ref="W30:AC30"/>
    <mergeCell ref="W38:AC38"/>
    <mergeCell ref="H28:K28"/>
    <mergeCell ref="Q28:S28"/>
    <mergeCell ref="AF28:AG28"/>
    <mergeCell ref="AI28:AJ28"/>
    <mergeCell ref="H30:K30"/>
    <mergeCell ref="Q30:S30"/>
    <mergeCell ref="AF30:AG30"/>
    <mergeCell ref="AI30:AJ30"/>
    <mergeCell ref="H32:K32"/>
    <mergeCell ref="Q32:S32"/>
    <mergeCell ref="AF32:AG32"/>
    <mergeCell ref="AI32:AJ32"/>
    <mergeCell ref="H22:K22"/>
    <mergeCell ref="AF38:AG38"/>
    <mergeCell ref="AI38:AJ38"/>
    <mergeCell ref="H10:K10"/>
    <mergeCell ref="Q22:S22"/>
    <mergeCell ref="H24:K24"/>
    <mergeCell ref="AI36:AJ36"/>
    <mergeCell ref="AF74:AG74"/>
    <mergeCell ref="AI74:AJ74"/>
    <mergeCell ref="H64:K64"/>
    <mergeCell ref="Q64:S64"/>
    <mergeCell ref="AF64:AG64"/>
    <mergeCell ref="AI64:AJ64"/>
    <mergeCell ref="AF72:AG72"/>
    <mergeCell ref="AF68:AG68"/>
    <mergeCell ref="AI68:AJ68"/>
    <mergeCell ref="AF70:AG70"/>
    <mergeCell ref="AI70:AJ70"/>
    <mergeCell ref="AI72:AJ72"/>
    <mergeCell ref="AF66:AG66"/>
    <mergeCell ref="AI66:AJ66"/>
    <mergeCell ref="H66:K66"/>
    <mergeCell ref="Q66:S66"/>
    <mergeCell ref="Q56:S56"/>
    <mergeCell ref="H54:K54"/>
    <mergeCell ref="H56:I56"/>
    <mergeCell ref="AF48:AG48"/>
    <mergeCell ref="AI62:AJ62"/>
    <mergeCell ref="B88:F88"/>
    <mergeCell ref="H88:O88"/>
    <mergeCell ref="Q88:W88"/>
    <mergeCell ref="B90:F90"/>
    <mergeCell ref="H90:O90"/>
    <mergeCell ref="Q90:W90"/>
    <mergeCell ref="B92:AJ92"/>
    <mergeCell ref="B94:AJ98"/>
    <mergeCell ref="B101:F101"/>
    <mergeCell ref="B190:E190"/>
    <mergeCell ref="B208:D208"/>
    <mergeCell ref="B226:E226"/>
    <mergeCell ref="F232:H232"/>
    <mergeCell ref="J256:K256"/>
    <mergeCell ref="J257:K257"/>
    <mergeCell ref="J258:K258"/>
    <mergeCell ref="J259:K259"/>
    <mergeCell ref="J232:K232"/>
    <mergeCell ref="J234:K234"/>
    <mergeCell ref="J235:K235"/>
    <mergeCell ref="J236:K236"/>
    <mergeCell ref="J237:K237"/>
    <mergeCell ref="J238:K238"/>
    <mergeCell ref="J239:K239"/>
    <mergeCell ref="J246:K246"/>
    <mergeCell ref="J247:K247"/>
    <mergeCell ref="J248:K248"/>
    <mergeCell ref="J249:K249"/>
    <mergeCell ref="J250:K250"/>
    <mergeCell ref="J251:K251"/>
    <mergeCell ref="J252:K252"/>
    <mergeCell ref="J253:K253"/>
    <mergeCell ref="J260:K260"/>
    <mergeCell ref="J261:K261"/>
    <mergeCell ref="J262:K262"/>
    <mergeCell ref="J263:K263"/>
    <mergeCell ref="J240:K240"/>
    <mergeCell ref="J241:K241"/>
    <mergeCell ref="J242:K242"/>
    <mergeCell ref="J243:K243"/>
    <mergeCell ref="J244:K244"/>
    <mergeCell ref="J254:K254"/>
    <mergeCell ref="J255:K255"/>
    <mergeCell ref="J245:K245"/>
    <mergeCell ref="J273:K273"/>
    <mergeCell ref="J264:K264"/>
    <mergeCell ref="J265:K265"/>
    <mergeCell ref="J266:K266"/>
    <mergeCell ref="J267:K267"/>
    <mergeCell ref="J268:K268"/>
    <mergeCell ref="J269:K269"/>
    <mergeCell ref="J270:K270"/>
    <mergeCell ref="J271:K271"/>
    <mergeCell ref="J272:K272"/>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CH281"/>
  <sheetViews>
    <sheetView zoomScale="90" zoomScaleNormal="90" workbookViewId="0">
      <selection activeCell="D2" sqref="D2:M2"/>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50:K250"/>
    <mergeCell ref="J251:K251"/>
    <mergeCell ref="J252:K252"/>
    <mergeCell ref="J253:K253"/>
    <mergeCell ref="J254:K254"/>
    <mergeCell ref="W16:AC16"/>
    <mergeCell ref="W18:AC18"/>
    <mergeCell ref="W24:AC24"/>
    <mergeCell ref="W26:AC26"/>
    <mergeCell ref="W28:AC28"/>
    <mergeCell ref="W36:AC36"/>
    <mergeCell ref="H20:K20"/>
    <mergeCell ref="Q20:S20"/>
    <mergeCell ref="Q22:S22"/>
    <mergeCell ref="H58:K58"/>
    <mergeCell ref="Q58:S58"/>
    <mergeCell ref="Q42:S42"/>
    <mergeCell ref="H74:K74"/>
    <mergeCell ref="Q74:S74"/>
    <mergeCell ref="Q60:S60"/>
    <mergeCell ref="H28:K28"/>
    <mergeCell ref="Q28:S28"/>
    <mergeCell ref="AI72:AJ72"/>
    <mergeCell ref="H62:K62"/>
    <mergeCell ref="Q62:S62"/>
    <mergeCell ref="AF62:AG62"/>
    <mergeCell ref="AI62:AJ62"/>
    <mergeCell ref="AF66:AG66"/>
    <mergeCell ref="AI66:AJ66"/>
    <mergeCell ref="AF68:AG68"/>
    <mergeCell ref="AI68:AJ68"/>
    <mergeCell ref="H72:K72"/>
    <mergeCell ref="Q72:S72"/>
    <mergeCell ref="AF72:AG72"/>
    <mergeCell ref="AF64:AG64"/>
    <mergeCell ref="AI64:AJ64"/>
    <mergeCell ref="AI70:AJ70"/>
    <mergeCell ref="H70:K70"/>
    <mergeCell ref="Q70:S70"/>
    <mergeCell ref="AF70:AG70"/>
    <mergeCell ref="H66:K66"/>
    <mergeCell ref="Q66:S66"/>
    <mergeCell ref="B68:AC68"/>
    <mergeCell ref="AF28:AG28"/>
    <mergeCell ref="AI28:AJ28"/>
    <mergeCell ref="H30:K30"/>
    <mergeCell ref="Q30:S30"/>
    <mergeCell ref="AF30:AG30"/>
    <mergeCell ref="AI30:AJ30"/>
    <mergeCell ref="H32:K32"/>
    <mergeCell ref="Q32:S32"/>
    <mergeCell ref="H54:K54"/>
    <mergeCell ref="AF44:AG44"/>
    <mergeCell ref="AI44:AJ44"/>
    <mergeCell ref="H34:K34"/>
    <mergeCell ref="Q34:S34"/>
    <mergeCell ref="AF34:AG34"/>
    <mergeCell ref="AI34:AJ34"/>
    <mergeCell ref="H36:K36"/>
    <mergeCell ref="Q36:S36"/>
    <mergeCell ref="AF36:AG36"/>
    <mergeCell ref="AI36:AJ36"/>
    <mergeCell ref="H38:K38"/>
    <mergeCell ref="Q38:S38"/>
    <mergeCell ref="AF38:AG38"/>
    <mergeCell ref="AI38:AJ38"/>
    <mergeCell ref="AF40:AG40"/>
    <mergeCell ref="D2:M2"/>
    <mergeCell ref="Q2:S2"/>
    <mergeCell ref="AF2:AJ2"/>
    <mergeCell ref="H4:K4"/>
    <mergeCell ref="Q4:S4"/>
    <mergeCell ref="H6:K6"/>
    <mergeCell ref="Q6:S6"/>
    <mergeCell ref="H8:K8"/>
    <mergeCell ref="Q8:S8"/>
    <mergeCell ref="Y8:AA8"/>
    <mergeCell ref="H42:K42"/>
    <mergeCell ref="AI42:AJ42"/>
    <mergeCell ref="H44:K44"/>
    <mergeCell ref="Q44:S44"/>
    <mergeCell ref="AF58:AG58"/>
    <mergeCell ref="H60:K60"/>
    <mergeCell ref="AF52:AG52"/>
    <mergeCell ref="AI52:AJ52"/>
    <mergeCell ref="Q54:S54"/>
    <mergeCell ref="AF54:AG54"/>
    <mergeCell ref="AI54:AJ54"/>
    <mergeCell ref="AF56:AG56"/>
    <mergeCell ref="AI56:AJ56"/>
    <mergeCell ref="AF60:AG60"/>
    <mergeCell ref="H56:I56"/>
    <mergeCell ref="AI32:AJ32"/>
    <mergeCell ref="AI58:AJ58"/>
    <mergeCell ref="AI60:AJ60"/>
    <mergeCell ref="H40:K40"/>
    <mergeCell ref="Q56:S56"/>
    <mergeCell ref="H64:K64"/>
    <mergeCell ref="Q64:S64"/>
    <mergeCell ref="Q40:S40"/>
    <mergeCell ref="H46:K46"/>
    <mergeCell ref="Q46:S46"/>
    <mergeCell ref="AF46:AG46"/>
    <mergeCell ref="AI46:AJ46"/>
    <mergeCell ref="H48:K48"/>
    <mergeCell ref="Q48:S48"/>
    <mergeCell ref="AF48:AG48"/>
    <mergeCell ref="AI48:AJ48"/>
    <mergeCell ref="H50:K50"/>
    <mergeCell ref="Q50:S50"/>
    <mergeCell ref="AF50:AG50"/>
    <mergeCell ref="AI50:AJ50"/>
    <mergeCell ref="H52:K52"/>
    <mergeCell ref="AF42:AG42"/>
    <mergeCell ref="Q52:S52"/>
    <mergeCell ref="AI40:AJ40"/>
    <mergeCell ref="Y10:AA10"/>
    <mergeCell ref="Q12:S12"/>
    <mergeCell ref="B14:AC14"/>
    <mergeCell ref="W20:AC20"/>
    <mergeCell ref="AF22:AJ22"/>
    <mergeCell ref="Q23:S23"/>
    <mergeCell ref="W30:AC30"/>
    <mergeCell ref="W38:AC38"/>
    <mergeCell ref="H24:K24"/>
    <mergeCell ref="Q24:S24"/>
    <mergeCell ref="AF24:AG24"/>
    <mergeCell ref="AI24:AJ24"/>
    <mergeCell ref="H26:K26"/>
    <mergeCell ref="Q26:S26"/>
    <mergeCell ref="AF26:AG26"/>
    <mergeCell ref="AI26:AJ26"/>
    <mergeCell ref="H22:K22"/>
    <mergeCell ref="H10:K10"/>
    <mergeCell ref="Q10:S10"/>
    <mergeCell ref="H16:K16"/>
    <mergeCell ref="Q16:S16"/>
    <mergeCell ref="H18:K18"/>
    <mergeCell ref="Q18:S18"/>
    <mergeCell ref="AF32:AG32"/>
    <mergeCell ref="AF74:AG74"/>
    <mergeCell ref="AI74:AJ74"/>
    <mergeCell ref="B76:AC76"/>
    <mergeCell ref="H78:K78"/>
    <mergeCell ref="Q78:S78"/>
    <mergeCell ref="H80:K80"/>
    <mergeCell ref="Q80:S80"/>
    <mergeCell ref="B84:AC84"/>
    <mergeCell ref="B86:F86"/>
    <mergeCell ref="H86:O86"/>
    <mergeCell ref="Q86:W86"/>
    <mergeCell ref="B88:F88"/>
    <mergeCell ref="H88:O88"/>
    <mergeCell ref="Q88:W88"/>
    <mergeCell ref="B90:F90"/>
    <mergeCell ref="H90:O90"/>
    <mergeCell ref="Q90:W90"/>
    <mergeCell ref="B92:AJ92"/>
    <mergeCell ref="B94:AJ98"/>
    <mergeCell ref="B101:F101"/>
    <mergeCell ref="B190:E190"/>
    <mergeCell ref="B208:D208"/>
    <mergeCell ref="B226:E226"/>
    <mergeCell ref="F232:H232"/>
    <mergeCell ref="J256:K256"/>
    <mergeCell ref="J257:K257"/>
    <mergeCell ref="J240:K240"/>
    <mergeCell ref="J241:K241"/>
    <mergeCell ref="J242:K242"/>
    <mergeCell ref="J243:K243"/>
    <mergeCell ref="J244:K244"/>
    <mergeCell ref="J245:K245"/>
    <mergeCell ref="J237:K237"/>
    <mergeCell ref="J238:K238"/>
    <mergeCell ref="J239:K239"/>
    <mergeCell ref="J232:K232"/>
    <mergeCell ref="J234:K234"/>
    <mergeCell ref="J235:K235"/>
    <mergeCell ref="J236:K236"/>
    <mergeCell ref="J255:K255"/>
    <mergeCell ref="J246:K246"/>
    <mergeCell ref="J247:K247"/>
    <mergeCell ref="J248:K248"/>
    <mergeCell ref="J249:K249"/>
    <mergeCell ref="J267:K267"/>
    <mergeCell ref="J268:K268"/>
    <mergeCell ref="J269:K269"/>
    <mergeCell ref="J270:K270"/>
    <mergeCell ref="J271:K271"/>
    <mergeCell ref="J272:K272"/>
    <mergeCell ref="J273:K273"/>
    <mergeCell ref="J258:K258"/>
    <mergeCell ref="J259:K259"/>
    <mergeCell ref="J260:K260"/>
    <mergeCell ref="J261:K261"/>
    <mergeCell ref="J262:K262"/>
    <mergeCell ref="J263:K263"/>
    <mergeCell ref="J264:K264"/>
    <mergeCell ref="J265:K265"/>
    <mergeCell ref="J266:K266"/>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3"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CH281"/>
  <sheetViews>
    <sheetView zoomScale="90" zoomScaleNormal="9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W16:AC16"/>
    <mergeCell ref="W18:AC18"/>
    <mergeCell ref="W24:AC24"/>
    <mergeCell ref="W26:AC26"/>
    <mergeCell ref="W28:AC28"/>
    <mergeCell ref="W36:AC36"/>
    <mergeCell ref="B76:AC76"/>
    <mergeCell ref="H78:K78"/>
    <mergeCell ref="J246:K246"/>
    <mergeCell ref="H72:K72"/>
    <mergeCell ref="Q72:S72"/>
    <mergeCell ref="Q56:S56"/>
    <mergeCell ref="H64:K64"/>
    <mergeCell ref="Q64:S64"/>
    <mergeCell ref="Q78:S78"/>
    <mergeCell ref="H80:K80"/>
    <mergeCell ref="Q80:S80"/>
    <mergeCell ref="B84:AC84"/>
    <mergeCell ref="B86:F86"/>
    <mergeCell ref="H86:O86"/>
    <mergeCell ref="Q86:W86"/>
    <mergeCell ref="B88:F88"/>
    <mergeCell ref="H88:O88"/>
    <mergeCell ref="Q88:W88"/>
    <mergeCell ref="AF72:AG72"/>
    <mergeCell ref="AI72:AJ72"/>
    <mergeCell ref="H66:K66"/>
    <mergeCell ref="Q66:S66"/>
    <mergeCell ref="B68:AC68"/>
    <mergeCell ref="H74:K74"/>
    <mergeCell ref="Q74:S74"/>
    <mergeCell ref="AF74:AG74"/>
    <mergeCell ref="AI74:AJ74"/>
    <mergeCell ref="AI24:AJ24"/>
    <mergeCell ref="H26:K26"/>
    <mergeCell ref="AF66:AG66"/>
    <mergeCell ref="AI66:AJ66"/>
    <mergeCell ref="AF68:AG68"/>
    <mergeCell ref="AI68:AJ68"/>
    <mergeCell ref="H70:K70"/>
    <mergeCell ref="Q70:S70"/>
    <mergeCell ref="AF70:AG70"/>
    <mergeCell ref="AI70:AJ70"/>
    <mergeCell ref="AI26:AJ26"/>
    <mergeCell ref="AI50:AJ50"/>
    <mergeCell ref="AI28:AJ28"/>
    <mergeCell ref="H30:K30"/>
    <mergeCell ref="Q30:S30"/>
    <mergeCell ref="AF30:AG30"/>
    <mergeCell ref="AI30:AJ30"/>
    <mergeCell ref="H32:K32"/>
    <mergeCell ref="Q32:S32"/>
    <mergeCell ref="AF32:AG32"/>
    <mergeCell ref="AI32:AJ32"/>
    <mergeCell ref="H34:K34"/>
    <mergeCell ref="Q34:S34"/>
    <mergeCell ref="AF34:AG34"/>
    <mergeCell ref="H10:K10"/>
    <mergeCell ref="Q10:S10"/>
    <mergeCell ref="H16:K16"/>
    <mergeCell ref="H60:K60"/>
    <mergeCell ref="Q60:S60"/>
    <mergeCell ref="AF60:AG60"/>
    <mergeCell ref="Q16:S16"/>
    <mergeCell ref="H18:K18"/>
    <mergeCell ref="Q18:S18"/>
    <mergeCell ref="H20:K20"/>
    <mergeCell ref="Q20:S20"/>
    <mergeCell ref="H22:K22"/>
    <mergeCell ref="Q22:S22"/>
    <mergeCell ref="H24:K24"/>
    <mergeCell ref="Q24:S24"/>
    <mergeCell ref="AF24:AG24"/>
    <mergeCell ref="Q26:S26"/>
    <mergeCell ref="AF26:AG26"/>
    <mergeCell ref="H52:K52"/>
    <mergeCell ref="Q52:S52"/>
    <mergeCell ref="AF52:AG52"/>
    <mergeCell ref="H28:K28"/>
    <mergeCell ref="Q28:S28"/>
    <mergeCell ref="AF28:AG28"/>
    <mergeCell ref="D2:M2"/>
    <mergeCell ref="Q2:S2"/>
    <mergeCell ref="AF2:AJ2"/>
    <mergeCell ref="H4:K4"/>
    <mergeCell ref="Q4:S4"/>
    <mergeCell ref="H6:K6"/>
    <mergeCell ref="Q6:S6"/>
    <mergeCell ref="H8:K8"/>
    <mergeCell ref="Q8:S8"/>
    <mergeCell ref="Y8:AA8"/>
    <mergeCell ref="AI34:AJ34"/>
    <mergeCell ref="Q48:S48"/>
    <mergeCell ref="AF48:AG48"/>
    <mergeCell ref="AI48:AJ48"/>
    <mergeCell ref="H50:K50"/>
    <mergeCell ref="AI52:AJ52"/>
    <mergeCell ref="Q54:S54"/>
    <mergeCell ref="Q50:S50"/>
    <mergeCell ref="AF50:AG50"/>
    <mergeCell ref="H36:K36"/>
    <mergeCell ref="Q36:S36"/>
    <mergeCell ref="AF36:AG36"/>
    <mergeCell ref="AI36:AJ36"/>
    <mergeCell ref="H38:K38"/>
    <mergeCell ref="Q38:S38"/>
    <mergeCell ref="AF38:AG38"/>
    <mergeCell ref="AI38:AJ38"/>
    <mergeCell ref="Q40:S40"/>
    <mergeCell ref="AF40:AG40"/>
    <mergeCell ref="AI40:AJ40"/>
    <mergeCell ref="H40:K40"/>
    <mergeCell ref="AF64:AG64"/>
    <mergeCell ref="AI64:AJ64"/>
    <mergeCell ref="AF56:AG56"/>
    <mergeCell ref="AI56:AJ56"/>
    <mergeCell ref="H58:K58"/>
    <mergeCell ref="Q58:S58"/>
    <mergeCell ref="AF58:AG58"/>
    <mergeCell ref="AI58:AJ58"/>
    <mergeCell ref="AI60:AJ60"/>
    <mergeCell ref="H62:K62"/>
    <mergeCell ref="Q62:S62"/>
    <mergeCell ref="AF62:AG62"/>
    <mergeCell ref="AI62:AJ62"/>
    <mergeCell ref="H56:I56"/>
    <mergeCell ref="Y10:AA10"/>
    <mergeCell ref="Q12:S12"/>
    <mergeCell ref="B14:AC14"/>
    <mergeCell ref="W20:AC20"/>
    <mergeCell ref="AF22:AJ22"/>
    <mergeCell ref="Q23:S23"/>
    <mergeCell ref="W30:AC30"/>
    <mergeCell ref="W38:AC38"/>
    <mergeCell ref="H54:K54"/>
    <mergeCell ref="H42:K42"/>
    <mergeCell ref="Q42:S42"/>
    <mergeCell ref="AF42:AG42"/>
    <mergeCell ref="AI42:AJ42"/>
    <mergeCell ref="AF54:AG54"/>
    <mergeCell ref="AI54:AJ54"/>
    <mergeCell ref="H44:K44"/>
    <mergeCell ref="Q44:S44"/>
    <mergeCell ref="AF44:AG44"/>
    <mergeCell ref="AI44:AJ44"/>
    <mergeCell ref="H46:K46"/>
    <mergeCell ref="Q46:S46"/>
    <mergeCell ref="AF46:AG46"/>
    <mergeCell ref="AI46:AJ46"/>
    <mergeCell ref="H48:K48"/>
    <mergeCell ref="B90:F90"/>
    <mergeCell ref="H90:O90"/>
    <mergeCell ref="Q90:W90"/>
    <mergeCell ref="B92:AJ92"/>
    <mergeCell ref="B94:AJ98"/>
    <mergeCell ref="B101:F101"/>
    <mergeCell ref="B190:E190"/>
    <mergeCell ref="B208:D208"/>
    <mergeCell ref="B226:E226"/>
    <mergeCell ref="F232:H232"/>
    <mergeCell ref="J256:K256"/>
    <mergeCell ref="J257:K257"/>
    <mergeCell ref="J239:K239"/>
    <mergeCell ref="J232:K232"/>
    <mergeCell ref="J234:K234"/>
    <mergeCell ref="J235:K235"/>
    <mergeCell ref="J236:K236"/>
    <mergeCell ref="J237:K237"/>
    <mergeCell ref="J238:K238"/>
    <mergeCell ref="J255:K255"/>
    <mergeCell ref="J247:K247"/>
    <mergeCell ref="J248:K248"/>
    <mergeCell ref="J249:K249"/>
    <mergeCell ref="J250:K250"/>
    <mergeCell ref="J251:K251"/>
    <mergeCell ref="J252:K252"/>
    <mergeCell ref="J258:K258"/>
    <mergeCell ref="J259:K259"/>
    <mergeCell ref="J260:K260"/>
    <mergeCell ref="J261:K261"/>
    <mergeCell ref="J262:K262"/>
    <mergeCell ref="J263:K263"/>
    <mergeCell ref="J240:K240"/>
    <mergeCell ref="J241:K241"/>
    <mergeCell ref="J242:K242"/>
    <mergeCell ref="J243:K243"/>
    <mergeCell ref="J244:K244"/>
    <mergeCell ref="J245:K245"/>
    <mergeCell ref="J253:K253"/>
    <mergeCell ref="J254:K254"/>
    <mergeCell ref="J273:K273"/>
    <mergeCell ref="J264:K264"/>
    <mergeCell ref="J265:K265"/>
    <mergeCell ref="J266:K266"/>
    <mergeCell ref="J267:K267"/>
    <mergeCell ref="J268:K268"/>
    <mergeCell ref="J269:K269"/>
    <mergeCell ref="J270:K270"/>
    <mergeCell ref="J271:K271"/>
    <mergeCell ref="J272:K272"/>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rintOptions horizontalCentered="1" verticalCentered="1"/>
  <pageMargins left="0.70866141732283472" right="0.70866141732283472" top="0.74803149606299213" bottom="0.74803149606299213" header="0.31496062992125984" footer="0.31496062992125984"/>
  <pageSetup paperSize="9" scale="82" orientation="portrait" r:id="rId1"/>
  <headerFooter>
    <oddHeader>&amp;A</oddHeader>
    <oddFooter>&amp;LAdrian&amp;CPage &amp;P&amp;R&amp;D</oddFooter>
  </headerFooter>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pageSetUpPr fitToPage="1"/>
  </sheetPr>
  <dimension ref="A1:CH281"/>
  <sheetViews>
    <sheetView topLeftCell="A2"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D2:M2"/>
    <mergeCell ref="Q2:S2"/>
    <mergeCell ref="AF2:AJ2"/>
    <mergeCell ref="H4:K4"/>
    <mergeCell ref="Q4:S4"/>
    <mergeCell ref="H6:K6"/>
    <mergeCell ref="Q6:S6"/>
    <mergeCell ref="H8:K8"/>
    <mergeCell ref="Q8:S8"/>
    <mergeCell ref="Y8:AA8"/>
    <mergeCell ref="AF24:AG24"/>
    <mergeCell ref="AI24:AJ24"/>
    <mergeCell ref="H26:K26"/>
    <mergeCell ref="Q26:S26"/>
    <mergeCell ref="AF26:AG26"/>
    <mergeCell ref="AI26:AJ26"/>
    <mergeCell ref="H28:K28"/>
    <mergeCell ref="Q28:S28"/>
    <mergeCell ref="AF28:AG28"/>
    <mergeCell ref="AI28:AJ28"/>
    <mergeCell ref="H30:K30"/>
    <mergeCell ref="Q30:S30"/>
    <mergeCell ref="AF30:AG30"/>
    <mergeCell ref="AI30:AJ30"/>
    <mergeCell ref="H32:K32"/>
    <mergeCell ref="Q32:S32"/>
    <mergeCell ref="AF32:AG32"/>
    <mergeCell ref="AI32:AJ32"/>
    <mergeCell ref="H34:K34"/>
    <mergeCell ref="Q34:S34"/>
    <mergeCell ref="AF34:AG34"/>
    <mergeCell ref="AI34:AJ34"/>
    <mergeCell ref="H36:K36"/>
    <mergeCell ref="Q36:S36"/>
    <mergeCell ref="AF36:AG36"/>
    <mergeCell ref="AI36:AJ36"/>
    <mergeCell ref="H38:K38"/>
    <mergeCell ref="Q38:S38"/>
    <mergeCell ref="AF38:AG38"/>
    <mergeCell ref="AI38:AJ38"/>
    <mergeCell ref="Q40:S40"/>
    <mergeCell ref="AF40:AG40"/>
    <mergeCell ref="AI40:AJ40"/>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B101:F101"/>
    <mergeCell ref="B190:E190"/>
    <mergeCell ref="B208:D208"/>
    <mergeCell ref="B226:E226"/>
    <mergeCell ref="F232:H232"/>
    <mergeCell ref="J256:K256"/>
    <mergeCell ref="J257:K257"/>
    <mergeCell ref="J258:K258"/>
    <mergeCell ref="J259:K25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fitToPage="1"/>
  </sheetPr>
  <dimension ref="A1:CH281"/>
  <sheetViews>
    <sheetView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D2:M2"/>
    <mergeCell ref="Q2:S2"/>
    <mergeCell ref="AF2:AJ2"/>
    <mergeCell ref="H4:K4"/>
    <mergeCell ref="Q4:S4"/>
    <mergeCell ref="H6:K6"/>
    <mergeCell ref="Q6:S6"/>
    <mergeCell ref="H8:K8"/>
    <mergeCell ref="Q8:S8"/>
    <mergeCell ref="Y8:AA8"/>
    <mergeCell ref="AF24:AG24"/>
    <mergeCell ref="AI24:AJ24"/>
    <mergeCell ref="H26:K26"/>
    <mergeCell ref="Q26:S26"/>
    <mergeCell ref="AF26:AG26"/>
    <mergeCell ref="AI26:AJ26"/>
    <mergeCell ref="H28:K28"/>
    <mergeCell ref="Q28:S28"/>
    <mergeCell ref="AF28:AG28"/>
    <mergeCell ref="AI28:AJ28"/>
    <mergeCell ref="H30:K30"/>
    <mergeCell ref="Q30:S30"/>
    <mergeCell ref="AF30:AG30"/>
    <mergeCell ref="AI30:AJ30"/>
    <mergeCell ref="H32:K32"/>
    <mergeCell ref="Q32:S32"/>
    <mergeCell ref="AF32:AG32"/>
    <mergeCell ref="AI32:AJ32"/>
    <mergeCell ref="H34:K34"/>
    <mergeCell ref="Q34:S34"/>
    <mergeCell ref="AF34:AG34"/>
    <mergeCell ref="AI34:AJ34"/>
    <mergeCell ref="H36:K36"/>
    <mergeCell ref="Q36:S36"/>
    <mergeCell ref="AF36:AG36"/>
    <mergeCell ref="AI36:AJ36"/>
    <mergeCell ref="H38:K38"/>
    <mergeCell ref="Q38:S38"/>
    <mergeCell ref="AF38:AG38"/>
    <mergeCell ref="AI38:AJ38"/>
    <mergeCell ref="Q40:S40"/>
    <mergeCell ref="AF40:AG40"/>
    <mergeCell ref="AI40:AJ40"/>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B101:F101"/>
    <mergeCell ref="B190:E190"/>
    <mergeCell ref="B208:D208"/>
    <mergeCell ref="B226:E226"/>
    <mergeCell ref="F232:H232"/>
    <mergeCell ref="J256:K256"/>
    <mergeCell ref="J257:K257"/>
    <mergeCell ref="J258:K258"/>
    <mergeCell ref="J259:K25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fitToPage="1"/>
  </sheetPr>
  <dimension ref="A1:CH281"/>
  <sheetViews>
    <sheetView topLeftCell="D2"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D2:M2"/>
    <mergeCell ref="Q2:S2"/>
    <mergeCell ref="AF2:AJ2"/>
    <mergeCell ref="H4:K4"/>
    <mergeCell ref="Q4:S4"/>
    <mergeCell ref="H6:K6"/>
    <mergeCell ref="Q6:S6"/>
    <mergeCell ref="H8:K8"/>
    <mergeCell ref="Q8:S8"/>
    <mergeCell ref="Y8:AA8"/>
    <mergeCell ref="AF24:AG24"/>
    <mergeCell ref="AI24:AJ24"/>
    <mergeCell ref="H26:K26"/>
    <mergeCell ref="Q26:S26"/>
    <mergeCell ref="AF26:AG26"/>
    <mergeCell ref="AI26:AJ26"/>
    <mergeCell ref="H28:K28"/>
    <mergeCell ref="Q28:S28"/>
    <mergeCell ref="AF28:AG28"/>
    <mergeCell ref="AI28:AJ28"/>
    <mergeCell ref="H30:K30"/>
    <mergeCell ref="Q30:S30"/>
    <mergeCell ref="AF30:AG30"/>
    <mergeCell ref="AI30:AJ30"/>
    <mergeCell ref="H32:K32"/>
    <mergeCell ref="Q32:S32"/>
    <mergeCell ref="AF32:AG32"/>
    <mergeCell ref="AI32:AJ32"/>
    <mergeCell ref="H34:K34"/>
    <mergeCell ref="Q34:S34"/>
    <mergeCell ref="AF34:AG34"/>
    <mergeCell ref="AI34:AJ34"/>
    <mergeCell ref="H36:K36"/>
    <mergeCell ref="Q36:S36"/>
    <mergeCell ref="AF36:AG36"/>
    <mergeCell ref="AI36:AJ36"/>
    <mergeCell ref="H38:K38"/>
    <mergeCell ref="Q38:S38"/>
    <mergeCell ref="AF38:AG38"/>
    <mergeCell ref="AI38:AJ38"/>
    <mergeCell ref="Q40:S40"/>
    <mergeCell ref="AF40:AG40"/>
    <mergeCell ref="AI40:AJ40"/>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B101:F101"/>
    <mergeCell ref="B190:E190"/>
    <mergeCell ref="B208:D208"/>
    <mergeCell ref="B226:E226"/>
    <mergeCell ref="F232:H232"/>
    <mergeCell ref="J256:K256"/>
    <mergeCell ref="J257:K257"/>
    <mergeCell ref="J258:K258"/>
    <mergeCell ref="J259:K25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pageSetUpPr fitToPage="1"/>
  </sheetPr>
  <dimension ref="A1:CH281"/>
  <sheetViews>
    <sheetView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D2:M2"/>
    <mergeCell ref="Q2:S2"/>
    <mergeCell ref="AF2:AJ2"/>
    <mergeCell ref="H4:K4"/>
    <mergeCell ref="Q4:S4"/>
    <mergeCell ref="H6:K6"/>
    <mergeCell ref="Q6:S6"/>
    <mergeCell ref="H8:K8"/>
    <mergeCell ref="Q8:S8"/>
    <mergeCell ref="Y8:AA8"/>
    <mergeCell ref="AF24:AG24"/>
    <mergeCell ref="AI24:AJ24"/>
    <mergeCell ref="H26:K26"/>
    <mergeCell ref="Q26:S26"/>
    <mergeCell ref="AF26:AG26"/>
    <mergeCell ref="AI26:AJ26"/>
    <mergeCell ref="H28:K28"/>
    <mergeCell ref="Q28:S28"/>
    <mergeCell ref="AF28:AG28"/>
    <mergeCell ref="AI28:AJ28"/>
    <mergeCell ref="H30:K30"/>
    <mergeCell ref="Q30:S30"/>
    <mergeCell ref="AF30:AG30"/>
    <mergeCell ref="AI30:AJ30"/>
    <mergeCell ref="H32:K32"/>
    <mergeCell ref="Q32:S32"/>
    <mergeCell ref="AF32:AG32"/>
    <mergeCell ref="AI32:AJ32"/>
    <mergeCell ref="H34:K34"/>
    <mergeCell ref="Q34:S34"/>
    <mergeCell ref="AF34:AG34"/>
    <mergeCell ref="AI34:AJ34"/>
    <mergeCell ref="H36:K36"/>
    <mergeCell ref="Q36:S36"/>
    <mergeCell ref="AF36:AG36"/>
    <mergeCell ref="AI36:AJ36"/>
    <mergeCell ref="H38:K38"/>
    <mergeCell ref="Q38:S38"/>
    <mergeCell ref="AF38:AG38"/>
    <mergeCell ref="AI38:AJ38"/>
    <mergeCell ref="Q40:S40"/>
    <mergeCell ref="AF40:AG40"/>
    <mergeCell ref="AI40:AJ40"/>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B101:F101"/>
    <mergeCell ref="B190:E190"/>
    <mergeCell ref="B208:D208"/>
    <mergeCell ref="B226:E226"/>
    <mergeCell ref="F232:H232"/>
    <mergeCell ref="J256:K256"/>
    <mergeCell ref="J257:K257"/>
    <mergeCell ref="J258:K258"/>
    <mergeCell ref="J259:K25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fitToPage="1"/>
  </sheetPr>
  <dimension ref="A1:CH281"/>
  <sheetViews>
    <sheetView topLeftCell="A2"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D2:M2"/>
    <mergeCell ref="Q2:S2"/>
    <mergeCell ref="AF2:AJ2"/>
    <mergeCell ref="H4:K4"/>
    <mergeCell ref="Q4:S4"/>
    <mergeCell ref="H6:K6"/>
    <mergeCell ref="Q6:S6"/>
    <mergeCell ref="H8:K8"/>
    <mergeCell ref="Q8:S8"/>
    <mergeCell ref="Y8:AA8"/>
    <mergeCell ref="AF24:AG24"/>
    <mergeCell ref="AI24:AJ24"/>
    <mergeCell ref="H26:K26"/>
    <mergeCell ref="Q26:S26"/>
    <mergeCell ref="AF26:AG26"/>
    <mergeCell ref="AI26:AJ26"/>
    <mergeCell ref="H28:K28"/>
    <mergeCell ref="Q28:S28"/>
    <mergeCell ref="AF28:AG28"/>
    <mergeCell ref="AI28:AJ28"/>
    <mergeCell ref="H30:K30"/>
    <mergeCell ref="Q30:S30"/>
    <mergeCell ref="AF30:AG30"/>
    <mergeCell ref="AI30:AJ30"/>
    <mergeCell ref="H32:K32"/>
    <mergeCell ref="Q32:S32"/>
    <mergeCell ref="AF32:AG32"/>
    <mergeCell ref="AI32:AJ32"/>
    <mergeCell ref="H34:K34"/>
    <mergeCell ref="Q34:S34"/>
    <mergeCell ref="AF34:AG34"/>
    <mergeCell ref="AI34:AJ34"/>
    <mergeCell ref="H36:K36"/>
    <mergeCell ref="Q36:S36"/>
    <mergeCell ref="AF36:AG36"/>
    <mergeCell ref="AI36:AJ36"/>
    <mergeCell ref="H38:K38"/>
    <mergeCell ref="Q38:S38"/>
    <mergeCell ref="AF38:AG38"/>
    <mergeCell ref="AI38:AJ38"/>
    <mergeCell ref="Q40:S40"/>
    <mergeCell ref="AF40:AG40"/>
    <mergeCell ref="AI40:AJ40"/>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B101:F101"/>
    <mergeCell ref="B190:E190"/>
    <mergeCell ref="B208:D208"/>
    <mergeCell ref="B226:E226"/>
    <mergeCell ref="F232:H232"/>
    <mergeCell ref="J256:K256"/>
    <mergeCell ref="J257:K257"/>
    <mergeCell ref="J258:K258"/>
    <mergeCell ref="J259:K25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fitToPage="1"/>
  </sheetPr>
  <dimension ref="A1:CH281"/>
  <sheetViews>
    <sheetView topLeftCell="A2"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D2:M2"/>
    <mergeCell ref="Q2:S2"/>
    <mergeCell ref="AF2:AJ2"/>
    <mergeCell ref="H4:K4"/>
    <mergeCell ref="Q4:S4"/>
    <mergeCell ref="H6:K6"/>
    <mergeCell ref="Q6:S6"/>
    <mergeCell ref="H8:K8"/>
    <mergeCell ref="Q8:S8"/>
    <mergeCell ref="Y8:AA8"/>
    <mergeCell ref="AF24:AG24"/>
    <mergeCell ref="AI24:AJ24"/>
    <mergeCell ref="H26:K26"/>
    <mergeCell ref="Q26:S26"/>
    <mergeCell ref="AF26:AG26"/>
    <mergeCell ref="AI26:AJ26"/>
    <mergeCell ref="H28:K28"/>
    <mergeCell ref="Q28:S28"/>
    <mergeCell ref="AF28:AG28"/>
    <mergeCell ref="AI28:AJ28"/>
    <mergeCell ref="H30:K30"/>
    <mergeCell ref="Q30:S30"/>
    <mergeCell ref="AF30:AG30"/>
    <mergeCell ref="AI30:AJ30"/>
    <mergeCell ref="H32:K32"/>
    <mergeCell ref="Q32:S32"/>
    <mergeCell ref="AF32:AG32"/>
    <mergeCell ref="AI32:AJ32"/>
    <mergeCell ref="H34:K34"/>
    <mergeCell ref="Q34:S34"/>
    <mergeCell ref="AF34:AG34"/>
    <mergeCell ref="AI34:AJ34"/>
    <mergeCell ref="H36:K36"/>
    <mergeCell ref="Q36:S36"/>
    <mergeCell ref="AF36:AG36"/>
    <mergeCell ref="AI36:AJ36"/>
    <mergeCell ref="H38:K38"/>
    <mergeCell ref="Q38:S38"/>
    <mergeCell ref="AF38:AG38"/>
    <mergeCell ref="AI38:AJ38"/>
    <mergeCell ref="Q40:S40"/>
    <mergeCell ref="AF40:AG40"/>
    <mergeCell ref="AI40:AJ40"/>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B101:F101"/>
    <mergeCell ref="B190:E190"/>
    <mergeCell ref="B208:D208"/>
    <mergeCell ref="B226:E226"/>
    <mergeCell ref="F232:H232"/>
    <mergeCell ref="J256:K256"/>
    <mergeCell ref="J257:K257"/>
    <mergeCell ref="J258:K258"/>
    <mergeCell ref="J259:K25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pageSetUpPr fitToPage="1"/>
  </sheetPr>
  <dimension ref="A1:CH281"/>
  <sheetViews>
    <sheetView topLeftCell="A2"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D2:M2"/>
    <mergeCell ref="Q2:S2"/>
    <mergeCell ref="AF2:AJ2"/>
    <mergeCell ref="H4:K4"/>
    <mergeCell ref="Q4:S4"/>
    <mergeCell ref="H6:K6"/>
    <mergeCell ref="Q6:S6"/>
    <mergeCell ref="H8:K8"/>
    <mergeCell ref="Q8:S8"/>
    <mergeCell ref="Y8:AA8"/>
    <mergeCell ref="AF24:AG24"/>
    <mergeCell ref="AI24:AJ24"/>
    <mergeCell ref="H26:K26"/>
    <mergeCell ref="Q26:S26"/>
    <mergeCell ref="AF26:AG26"/>
    <mergeCell ref="AI26:AJ26"/>
    <mergeCell ref="H28:K28"/>
    <mergeCell ref="Q28:S28"/>
    <mergeCell ref="AF28:AG28"/>
    <mergeCell ref="AI28:AJ28"/>
    <mergeCell ref="H30:K30"/>
    <mergeCell ref="Q30:S30"/>
    <mergeCell ref="AF30:AG30"/>
    <mergeCell ref="AI30:AJ30"/>
    <mergeCell ref="H32:K32"/>
    <mergeCell ref="Q32:S32"/>
    <mergeCell ref="AF32:AG32"/>
    <mergeCell ref="AI32:AJ32"/>
    <mergeCell ref="H34:K34"/>
    <mergeCell ref="Q34:S34"/>
    <mergeCell ref="AF34:AG34"/>
    <mergeCell ref="AI34:AJ34"/>
    <mergeCell ref="H36:K36"/>
    <mergeCell ref="Q36:S36"/>
    <mergeCell ref="AF36:AG36"/>
    <mergeCell ref="AI36:AJ36"/>
    <mergeCell ref="H38:K38"/>
    <mergeCell ref="Q38:S38"/>
    <mergeCell ref="AF38:AG38"/>
    <mergeCell ref="AI38:AJ38"/>
    <mergeCell ref="Q40:S40"/>
    <mergeCell ref="AF40:AG40"/>
    <mergeCell ref="AI40:AJ40"/>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B101:F101"/>
    <mergeCell ref="B190:E190"/>
    <mergeCell ref="B208:D208"/>
    <mergeCell ref="B226:E226"/>
    <mergeCell ref="F232:H232"/>
    <mergeCell ref="J256:K256"/>
    <mergeCell ref="J257:K257"/>
    <mergeCell ref="J258:K258"/>
    <mergeCell ref="J259:K25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pageSetUpPr fitToPage="1"/>
  </sheetPr>
  <dimension ref="A1:CH281"/>
  <sheetViews>
    <sheetView topLeftCell="A2"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D2:M2"/>
    <mergeCell ref="Q2:S2"/>
    <mergeCell ref="AF2:AJ2"/>
    <mergeCell ref="H4:K4"/>
    <mergeCell ref="Q4:S4"/>
    <mergeCell ref="H6:K6"/>
    <mergeCell ref="Q6:S6"/>
    <mergeCell ref="H8:K8"/>
    <mergeCell ref="Q8:S8"/>
    <mergeCell ref="Y8:AA8"/>
    <mergeCell ref="AF24:AG24"/>
    <mergeCell ref="AI24:AJ24"/>
    <mergeCell ref="H26:K26"/>
    <mergeCell ref="Q26:S26"/>
    <mergeCell ref="AF26:AG26"/>
    <mergeCell ref="AI26:AJ26"/>
    <mergeCell ref="H28:K28"/>
    <mergeCell ref="Q28:S28"/>
    <mergeCell ref="AF28:AG28"/>
    <mergeCell ref="AI28:AJ28"/>
    <mergeCell ref="H30:K30"/>
    <mergeCell ref="Q30:S30"/>
    <mergeCell ref="AF30:AG30"/>
    <mergeCell ref="AI30:AJ30"/>
    <mergeCell ref="H32:K32"/>
    <mergeCell ref="Q32:S32"/>
    <mergeCell ref="AF32:AG32"/>
    <mergeCell ref="AI32:AJ32"/>
    <mergeCell ref="H34:K34"/>
    <mergeCell ref="Q34:S34"/>
    <mergeCell ref="AF34:AG34"/>
    <mergeCell ref="AI34:AJ34"/>
    <mergeCell ref="H36:K36"/>
    <mergeCell ref="Q36:S36"/>
    <mergeCell ref="AF36:AG36"/>
    <mergeCell ref="AI36:AJ36"/>
    <mergeCell ref="H38:K38"/>
    <mergeCell ref="Q38:S38"/>
    <mergeCell ref="AF38:AG38"/>
    <mergeCell ref="AI38:AJ38"/>
    <mergeCell ref="Q40:S40"/>
    <mergeCell ref="AF40:AG40"/>
    <mergeCell ref="AI40:AJ40"/>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B101:F101"/>
    <mergeCell ref="B190:E190"/>
    <mergeCell ref="B208:D208"/>
    <mergeCell ref="B226:E226"/>
    <mergeCell ref="F232:H232"/>
    <mergeCell ref="J256:K256"/>
    <mergeCell ref="J257:K257"/>
    <mergeCell ref="J258:K258"/>
    <mergeCell ref="J259:K25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pageSetUpPr fitToPage="1"/>
  </sheetPr>
  <dimension ref="A1:CH281"/>
  <sheetViews>
    <sheetView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D2:M2"/>
    <mergeCell ref="Q2:S2"/>
    <mergeCell ref="AF2:AJ2"/>
    <mergeCell ref="H4:K4"/>
    <mergeCell ref="Q4:S4"/>
    <mergeCell ref="H6:K6"/>
    <mergeCell ref="Q6:S6"/>
    <mergeCell ref="H8:K8"/>
    <mergeCell ref="Q8:S8"/>
    <mergeCell ref="Y8:AA8"/>
    <mergeCell ref="AF24:AG24"/>
    <mergeCell ref="AI24:AJ24"/>
    <mergeCell ref="H26:K26"/>
    <mergeCell ref="Q26:S26"/>
    <mergeCell ref="AF26:AG26"/>
    <mergeCell ref="AI26:AJ26"/>
    <mergeCell ref="H28:K28"/>
    <mergeCell ref="Q28:S28"/>
    <mergeCell ref="AF28:AG28"/>
    <mergeCell ref="AI28:AJ28"/>
    <mergeCell ref="H30:K30"/>
    <mergeCell ref="Q30:S30"/>
    <mergeCell ref="AF30:AG30"/>
    <mergeCell ref="AI30:AJ30"/>
    <mergeCell ref="H32:K32"/>
    <mergeCell ref="Q32:S32"/>
    <mergeCell ref="AF32:AG32"/>
    <mergeCell ref="AI32:AJ32"/>
    <mergeCell ref="H34:K34"/>
    <mergeCell ref="Q34:S34"/>
    <mergeCell ref="AF34:AG34"/>
    <mergeCell ref="AI34:AJ34"/>
    <mergeCell ref="H36:K36"/>
    <mergeCell ref="Q36:S36"/>
    <mergeCell ref="AF36:AG36"/>
    <mergeCell ref="AI36:AJ36"/>
    <mergeCell ref="H38:K38"/>
    <mergeCell ref="Q38:S38"/>
    <mergeCell ref="AF38:AG38"/>
    <mergeCell ref="AI38:AJ38"/>
    <mergeCell ref="Q40:S40"/>
    <mergeCell ref="AF40:AG40"/>
    <mergeCell ref="AI40:AJ40"/>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B101:F101"/>
    <mergeCell ref="B190:E190"/>
    <mergeCell ref="B208:D208"/>
    <mergeCell ref="B226:E226"/>
    <mergeCell ref="F232:H232"/>
    <mergeCell ref="J256:K256"/>
    <mergeCell ref="J257:K257"/>
    <mergeCell ref="J258:K258"/>
    <mergeCell ref="J259:K25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pageSetUpPr fitToPage="1"/>
  </sheetPr>
  <dimension ref="A1:CH281"/>
  <sheetViews>
    <sheetView zoomScale="75" zoomScaleNormal="75" zoomScaleSheetLayoutView="85"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D2:M2"/>
    <mergeCell ref="Q2:S2"/>
    <mergeCell ref="AF2:AJ2"/>
    <mergeCell ref="H4:K4"/>
    <mergeCell ref="Q4:S4"/>
    <mergeCell ref="H6:K6"/>
    <mergeCell ref="Q6:S6"/>
    <mergeCell ref="H8:K8"/>
    <mergeCell ref="Q8:S8"/>
    <mergeCell ref="Y8:AA8"/>
    <mergeCell ref="AF24:AG24"/>
    <mergeCell ref="AI24:AJ24"/>
    <mergeCell ref="H26:K26"/>
    <mergeCell ref="Q26:S26"/>
    <mergeCell ref="AF26:AG26"/>
    <mergeCell ref="AI26:AJ26"/>
    <mergeCell ref="H28:K28"/>
    <mergeCell ref="Q28:S28"/>
    <mergeCell ref="AF28:AG28"/>
    <mergeCell ref="AI28:AJ28"/>
    <mergeCell ref="H30:K30"/>
    <mergeCell ref="Q30:S30"/>
    <mergeCell ref="AF30:AG30"/>
    <mergeCell ref="AI30:AJ30"/>
    <mergeCell ref="H32:K32"/>
    <mergeCell ref="Q32:S32"/>
    <mergeCell ref="AF32:AG32"/>
    <mergeCell ref="AI32:AJ32"/>
    <mergeCell ref="H34:K34"/>
    <mergeCell ref="Q34:S34"/>
    <mergeCell ref="AF34:AG34"/>
    <mergeCell ref="AI34:AJ34"/>
    <mergeCell ref="H36:K36"/>
    <mergeCell ref="Q36:S36"/>
    <mergeCell ref="AF36:AG36"/>
    <mergeCell ref="AI36:AJ36"/>
    <mergeCell ref="H38:K38"/>
    <mergeCell ref="Q38:S38"/>
    <mergeCell ref="AF38:AG38"/>
    <mergeCell ref="AI38:AJ38"/>
    <mergeCell ref="Q40:S40"/>
    <mergeCell ref="AF40:AG40"/>
    <mergeCell ref="AI40:AJ40"/>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B101:F101"/>
    <mergeCell ref="B190:E190"/>
    <mergeCell ref="B208:D208"/>
    <mergeCell ref="B226:E226"/>
    <mergeCell ref="F232:H232"/>
    <mergeCell ref="J256:K256"/>
    <mergeCell ref="J257:K257"/>
    <mergeCell ref="J258:K258"/>
    <mergeCell ref="J259:K25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35"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pageSetUpPr fitToPage="1"/>
  </sheetPr>
  <dimension ref="A1:CH281"/>
  <sheetViews>
    <sheetView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D2:M2"/>
    <mergeCell ref="Q2:S2"/>
    <mergeCell ref="AF2:AJ2"/>
    <mergeCell ref="H4:K4"/>
    <mergeCell ref="Q4:S4"/>
    <mergeCell ref="H6:K6"/>
    <mergeCell ref="Q6:S6"/>
    <mergeCell ref="H8:K8"/>
    <mergeCell ref="Q8:S8"/>
    <mergeCell ref="Y8:AA8"/>
    <mergeCell ref="AF24:AG24"/>
    <mergeCell ref="AI24:AJ24"/>
    <mergeCell ref="H26:K26"/>
    <mergeCell ref="Q26:S26"/>
    <mergeCell ref="AF26:AG26"/>
    <mergeCell ref="AI26:AJ26"/>
    <mergeCell ref="H28:K28"/>
    <mergeCell ref="Q28:S28"/>
    <mergeCell ref="AF28:AG28"/>
    <mergeCell ref="AI28:AJ28"/>
    <mergeCell ref="H30:K30"/>
    <mergeCell ref="Q30:S30"/>
    <mergeCell ref="AF30:AG30"/>
    <mergeCell ref="AI30:AJ30"/>
    <mergeCell ref="H32:K32"/>
    <mergeCell ref="Q32:S32"/>
    <mergeCell ref="AF32:AG32"/>
    <mergeCell ref="AI32:AJ32"/>
    <mergeCell ref="H34:K34"/>
    <mergeCell ref="Q34:S34"/>
    <mergeCell ref="AF34:AG34"/>
    <mergeCell ref="AI34:AJ34"/>
    <mergeCell ref="H36:K36"/>
    <mergeCell ref="Q36:S36"/>
    <mergeCell ref="AF36:AG36"/>
    <mergeCell ref="AI36:AJ36"/>
    <mergeCell ref="H38:K38"/>
    <mergeCell ref="Q38:S38"/>
    <mergeCell ref="AF38:AG38"/>
    <mergeCell ref="AI38:AJ38"/>
    <mergeCell ref="Q40:S40"/>
    <mergeCell ref="AF40:AG40"/>
    <mergeCell ref="AI40:AJ40"/>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B101:F101"/>
    <mergeCell ref="B190:E190"/>
    <mergeCell ref="B208:D208"/>
    <mergeCell ref="B226:E226"/>
    <mergeCell ref="F232:H232"/>
    <mergeCell ref="J256:K256"/>
    <mergeCell ref="J257:K257"/>
    <mergeCell ref="J258:K258"/>
    <mergeCell ref="J259:K25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pageSetUpPr fitToPage="1"/>
  </sheetPr>
  <dimension ref="A1:CH281"/>
  <sheetViews>
    <sheetView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D2:M2"/>
    <mergeCell ref="Q2:S2"/>
    <mergeCell ref="AF2:AJ2"/>
    <mergeCell ref="H4:K4"/>
    <mergeCell ref="Q4:S4"/>
    <mergeCell ref="H6:K6"/>
    <mergeCell ref="Q6:S6"/>
    <mergeCell ref="H8:K8"/>
    <mergeCell ref="Q8:S8"/>
    <mergeCell ref="Y8:AA8"/>
    <mergeCell ref="AF24:AG24"/>
    <mergeCell ref="AI24:AJ24"/>
    <mergeCell ref="H26:K26"/>
    <mergeCell ref="Q26:S26"/>
    <mergeCell ref="AF26:AG26"/>
    <mergeCell ref="AI26:AJ26"/>
    <mergeCell ref="H28:K28"/>
    <mergeCell ref="Q28:S28"/>
    <mergeCell ref="AF28:AG28"/>
    <mergeCell ref="AI28:AJ28"/>
    <mergeCell ref="H30:K30"/>
    <mergeCell ref="Q30:S30"/>
    <mergeCell ref="AF30:AG30"/>
    <mergeCell ref="AI30:AJ30"/>
    <mergeCell ref="H32:K32"/>
    <mergeCell ref="Q32:S32"/>
    <mergeCell ref="AF32:AG32"/>
    <mergeCell ref="AI32:AJ32"/>
    <mergeCell ref="H34:K34"/>
    <mergeCell ref="Q34:S34"/>
    <mergeCell ref="AF34:AG34"/>
    <mergeCell ref="AI34:AJ34"/>
    <mergeCell ref="H36:K36"/>
    <mergeCell ref="Q36:S36"/>
    <mergeCell ref="AF36:AG36"/>
    <mergeCell ref="AI36:AJ36"/>
    <mergeCell ref="H38:K38"/>
    <mergeCell ref="Q38:S38"/>
    <mergeCell ref="AF38:AG38"/>
    <mergeCell ref="AI38:AJ38"/>
    <mergeCell ref="Q40:S40"/>
    <mergeCell ref="AF40:AG40"/>
    <mergeCell ref="AI40:AJ40"/>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B101:F101"/>
    <mergeCell ref="B190:E190"/>
    <mergeCell ref="B208:D208"/>
    <mergeCell ref="B226:E226"/>
    <mergeCell ref="F232:H232"/>
    <mergeCell ref="J256:K256"/>
    <mergeCell ref="J257:K257"/>
    <mergeCell ref="J258:K258"/>
    <mergeCell ref="J259:K25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5">
    <pageSetUpPr fitToPage="1"/>
  </sheetPr>
  <dimension ref="A1:CH281"/>
  <sheetViews>
    <sheetView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D2:M2"/>
    <mergeCell ref="Q2:S2"/>
    <mergeCell ref="AF2:AJ2"/>
    <mergeCell ref="H4:K4"/>
    <mergeCell ref="Q4:S4"/>
    <mergeCell ref="H6:K6"/>
    <mergeCell ref="Q6:S6"/>
    <mergeCell ref="H8:K8"/>
    <mergeCell ref="Q8:S8"/>
    <mergeCell ref="Y8:AA8"/>
    <mergeCell ref="AF24:AG24"/>
    <mergeCell ref="AI24:AJ24"/>
    <mergeCell ref="H26:K26"/>
    <mergeCell ref="Q26:S26"/>
    <mergeCell ref="AF26:AG26"/>
    <mergeCell ref="AI26:AJ26"/>
    <mergeCell ref="H28:K28"/>
    <mergeCell ref="Q28:S28"/>
    <mergeCell ref="AF28:AG28"/>
    <mergeCell ref="AI28:AJ28"/>
    <mergeCell ref="H30:K30"/>
    <mergeCell ref="Q30:S30"/>
    <mergeCell ref="AF30:AG30"/>
    <mergeCell ref="AI30:AJ30"/>
    <mergeCell ref="H32:K32"/>
    <mergeCell ref="Q32:S32"/>
    <mergeCell ref="AF32:AG32"/>
    <mergeCell ref="AI32:AJ32"/>
    <mergeCell ref="H34:K34"/>
    <mergeCell ref="Q34:S34"/>
    <mergeCell ref="AF34:AG34"/>
    <mergeCell ref="AI34:AJ34"/>
    <mergeCell ref="H36:K36"/>
    <mergeCell ref="Q36:S36"/>
    <mergeCell ref="AF36:AG36"/>
    <mergeCell ref="AI36:AJ36"/>
    <mergeCell ref="H38:K38"/>
    <mergeCell ref="Q38:S38"/>
    <mergeCell ref="AF38:AG38"/>
    <mergeCell ref="AI38:AJ38"/>
    <mergeCell ref="Q40:S40"/>
    <mergeCell ref="AF40:AG40"/>
    <mergeCell ref="AI40:AJ40"/>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B101:F101"/>
    <mergeCell ref="B190:E190"/>
    <mergeCell ref="B208:D208"/>
    <mergeCell ref="B226:E226"/>
    <mergeCell ref="F232:H232"/>
    <mergeCell ref="J256:K256"/>
    <mergeCell ref="J257:K257"/>
    <mergeCell ref="J258:K258"/>
    <mergeCell ref="J259:K25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fitToPage="1"/>
  </sheetPr>
  <dimension ref="A1:CH281"/>
  <sheetViews>
    <sheetView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thickBot="1" x14ac:dyDescent="0.3">
      <c r="B198" s="209" t="s">
        <v>429</v>
      </c>
      <c r="C198" s="209"/>
      <c r="D198" s="207">
        <v>9</v>
      </c>
      <c r="F198" s="478">
        <f>AY92</f>
        <v>0</v>
      </c>
    </row>
    <row r="199" spans="2:6" ht="15" hidden="1" customHeight="1" x14ac:dyDescent="0.25">
      <c r="B199" s="209" t="s">
        <v>427</v>
      </c>
      <c r="C199" s="209"/>
      <c r="D199" s="207">
        <v>8</v>
      </c>
      <c r="F199" s="478">
        <f>AW92</f>
        <v>0</v>
      </c>
    </row>
    <row r="200" spans="2:6" ht="15" hidden="1" customHeight="1" thickBot="1" x14ac:dyDescent="0.3">
      <c r="B200" s="209" t="s">
        <v>412</v>
      </c>
      <c r="C200" s="209"/>
      <c r="D200" s="207">
        <v>7</v>
      </c>
      <c r="F200" s="478">
        <f>AZ92</f>
        <v>0</v>
      </c>
    </row>
    <row r="201" spans="2:6" ht="15" hidden="1" customHeight="1" x14ac:dyDescent="0.25">
      <c r="B201" s="209" t="s">
        <v>436</v>
      </c>
      <c r="C201" s="209"/>
      <c r="D201" s="207">
        <v>6</v>
      </c>
      <c r="F201" s="478">
        <f>BI92</f>
        <v>0</v>
      </c>
    </row>
    <row r="202" spans="2:6" ht="15" hidden="1" customHeight="1" thickBot="1" x14ac:dyDescent="0.3">
      <c r="B202" s="209" t="s">
        <v>430</v>
      </c>
      <c r="C202" s="209"/>
      <c r="D202" s="207">
        <v>5</v>
      </c>
      <c r="F202" s="478">
        <f>BC92</f>
        <v>0</v>
      </c>
    </row>
    <row r="203" spans="2:6" ht="15" hidden="1" customHeight="1" x14ac:dyDescent="0.25">
      <c r="B203" s="209" t="s">
        <v>431</v>
      </c>
      <c r="C203" s="209"/>
      <c r="D203" s="207">
        <v>4</v>
      </c>
      <c r="F203" s="478">
        <f>BD92</f>
        <v>0</v>
      </c>
    </row>
    <row r="204" spans="2:6" ht="15" hidden="1" customHeight="1" thickBot="1" x14ac:dyDescent="0.3">
      <c r="B204" s="209" t="s">
        <v>428</v>
      </c>
      <c r="C204" s="209"/>
      <c r="D204" s="207">
        <v>3</v>
      </c>
      <c r="F204" s="478">
        <f>AX92</f>
        <v>0</v>
      </c>
    </row>
    <row r="205" spans="2:6" ht="15" hidden="1" customHeight="1" x14ac:dyDescent="0.25">
      <c r="B205" s="209" t="s">
        <v>434</v>
      </c>
      <c r="C205" s="209"/>
      <c r="D205" s="207">
        <v>2</v>
      </c>
      <c r="F205" s="478">
        <f>BG92</f>
        <v>0</v>
      </c>
    </row>
    <row r="206" spans="2:6" ht="15" hidden="1" customHeight="1" thickBot="1" x14ac:dyDescent="0.3">
      <c r="B206" s="209" t="s">
        <v>426</v>
      </c>
      <c r="C206" s="209"/>
      <c r="D206" s="207">
        <v>1</v>
      </c>
      <c r="F206" s="478">
        <f>AV92</f>
        <v>0</v>
      </c>
    </row>
    <row r="207" spans="2:6" ht="15" hidden="1" customHeight="1" x14ac:dyDescent="0.25"/>
    <row r="208" spans="2:6" ht="15" hidden="1" customHeight="1" thickBot="1" x14ac:dyDescent="0.3">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thickBot="1" x14ac:dyDescent="0.3">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thickBot="1" x14ac:dyDescent="0.3">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D2:M2"/>
    <mergeCell ref="Q2:S2"/>
    <mergeCell ref="AF2:AJ2"/>
    <mergeCell ref="H4:K4"/>
    <mergeCell ref="Q4:S4"/>
    <mergeCell ref="H6:K6"/>
    <mergeCell ref="Q6:S6"/>
    <mergeCell ref="H8:K8"/>
    <mergeCell ref="Q8:S8"/>
    <mergeCell ref="Y8:AA8"/>
    <mergeCell ref="AF24:AG24"/>
    <mergeCell ref="AI24:AJ24"/>
    <mergeCell ref="H26:K26"/>
    <mergeCell ref="Q26:S26"/>
    <mergeCell ref="AF26:AG26"/>
    <mergeCell ref="AI26:AJ26"/>
    <mergeCell ref="H28:K28"/>
    <mergeCell ref="Q28:S28"/>
    <mergeCell ref="AF28:AG28"/>
    <mergeCell ref="AI28:AJ28"/>
    <mergeCell ref="H30:K30"/>
    <mergeCell ref="Q30:S30"/>
    <mergeCell ref="AF30:AG30"/>
    <mergeCell ref="AI30:AJ30"/>
    <mergeCell ref="H32:K32"/>
    <mergeCell ref="Q32:S32"/>
    <mergeCell ref="AF32:AG32"/>
    <mergeCell ref="AI32:AJ32"/>
    <mergeCell ref="H34:K34"/>
    <mergeCell ref="Q34:S34"/>
    <mergeCell ref="AF34:AG34"/>
    <mergeCell ref="AI34:AJ34"/>
    <mergeCell ref="H36:K36"/>
    <mergeCell ref="Q36:S36"/>
    <mergeCell ref="AF36:AG36"/>
    <mergeCell ref="AI36:AJ36"/>
    <mergeCell ref="H38:K38"/>
    <mergeCell ref="Q38:S38"/>
    <mergeCell ref="AF38:AG38"/>
    <mergeCell ref="AI38:AJ38"/>
    <mergeCell ref="Q40:S40"/>
    <mergeCell ref="AF40:AG40"/>
    <mergeCell ref="AI40:AJ40"/>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B101:F101"/>
    <mergeCell ref="B190:E190"/>
    <mergeCell ref="B208:D208"/>
    <mergeCell ref="B226:E226"/>
    <mergeCell ref="F232:H232"/>
    <mergeCell ref="J256:K256"/>
    <mergeCell ref="J257:K257"/>
    <mergeCell ref="J258:K258"/>
    <mergeCell ref="J259:K25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pageSetUpPr fitToPage="1"/>
  </sheetPr>
  <dimension ref="A1:CH281"/>
  <sheetViews>
    <sheetView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D2:M2"/>
    <mergeCell ref="Q2:S2"/>
    <mergeCell ref="AF2:AJ2"/>
    <mergeCell ref="H4:K4"/>
    <mergeCell ref="Q4:S4"/>
    <mergeCell ref="H6:K6"/>
    <mergeCell ref="Q6:S6"/>
    <mergeCell ref="H8:K8"/>
    <mergeCell ref="Q8:S8"/>
    <mergeCell ref="Y8:AA8"/>
    <mergeCell ref="AF24:AG24"/>
    <mergeCell ref="AI24:AJ24"/>
    <mergeCell ref="H26:K26"/>
    <mergeCell ref="Q26:S26"/>
    <mergeCell ref="AF26:AG26"/>
    <mergeCell ref="AI26:AJ26"/>
    <mergeCell ref="H28:K28"/>
    <mergeCell ref="Q28:S28"/>
    <mergeCell ref="AF28:AG28"/>
    <mergeCell ref="AI28:AJ28"/>
    <mergeCell ref="H30:K30"/>
    <mergeCell ref="Q30:S30"/>
    <mergeCell ref="AF30:AG30"/>
    <mergeCell ref="AI30:AJ30"/>
    <mergeCell ref="H32:K32"/>
    <mergeCell ref="Q32:S32"/>
    <mergeCell ref="AF32:AG32"/>
    <mergeCell ref="AI32:AJ32"/>
    <mergeCell ref="H34:K34"/>
    <mergeCell ref="Q34:S34"/>
    <mergeCell ref="AF34:AG34"/>
    <mergeCell ref="AI34:AJ34"/>
    <mergeCell ref="H36:K36"/>
    <mergeCell ref="Q36:S36"/>
    <mergeCell ref="AF36:AG36"/>
    <mergeCell ref="AI36:AJ36"/>
    <mergeCell ref="H38:K38"/>
    <mergeCell ref="Q38:S38"/>
    <mergeCell ref="AF38:AG38"/>
    <mergeCell ref="AI38:AJ38"/>
    <mergeCell ref="Q40:S40"/>
    <mergeCell ref="AF40:AG40"/>
    <mergeCell ref="AI40:AJ40"/>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B101:F101"/>
    <mergeCell ref="B190:E190"/>
    <mergeCell ref="B208:D208"/>
    <mergeCell ref="B226:E226"/>
    <mergeCell ref="F232:H232"/>
    <mergeCell ref="J256:K256"/>
    <mergeCell ref="J257:K257"/>
    <mergeCell ref="J258:K258"/>
    <mergeCell ref="J259:K25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fitToPage="1"/>
  </sheetPr>
  <dimension ref="A1:CH281"/>
  <sheetViews>
    <sheetView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D2:M2"/>
    <mergeCell ref="Q2:S2"/>
    <mergeCell ref="AF2:AJ2"/>
    <mergeCell ref="H4:K4"/>
    <mergeCell ref="Q4:S4"/>
    <mergeCell ref="H6:K6"/>
    <mergeCell ref="Q6:S6"/>
    <mergeCell ref="H8:K8"/>
    <mergeCell ref="Q8:S8"/>
    <mergeCell ref="Y8:AA8"/>
    <mergeCell ref="AF24:AG24"/>
    <mergeCell ref="AI24:AJ24"/>
    <mergeCell ref="H26:K26"/>
    <mergeCell ref="Q26:S26"/>
    <mergeCell ref="AF26:AG26"/>
    <mergeCell ref="AI26:AJ26"/>
    <mergeCell ref="H28:K28"/>
    <mergeCell ref="Q28:S28"/>
    <mergeCell ref="AF28:AG28"/>
    <mergeCell ref="AI28:AJ28"/>
    <mergeCell ref="H30:K30"/>
    <mergeCell ref="Q30:S30"/>
    <mergeCell ref="AF30:AG30"/>
    <mergeCell ref="AI30:AJ30"/>
    <mergeCell ref="H32:K32"/>
    <mergeCell ref="Q32:S32"/>
    <mergeCell ref="AF32:AG32"/>
    <mergeCell ref="AI32:AJ32"/>
    <mergeCell ref="H34:K34"/>
    <mergeCell ref="Q34:S34"/>
    <mergeCell ref="AF34:AG34"/>
    <mergeCell ref="AI34:AJ34"/>
    <mergeCell ref="H36:K36"/>
    <mergeCell ref="Q36:S36"/>
    <mergeCell ref="AF36:AG36"/>
    <mergeCell ref="AI36:AJ36"/>
    <mergeCell ref="H38:K38"/>
    <mergeCell ref="Q38:S38"/>
    <mergeCell ref="AF38:AG38"/>
    <mergeCell ref="AI38:AJ38"/>
    <mergeCell ref="Q40:S40"/>
    <mergeCell ref="AF40:AG40"/>
    <mergeCell ref="AI40:AJ40"/>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B101:F101"/>
    <mergeCell ref="B190:E190"/>
    <mergeCell ref="B208:D208"/>
    <mergeCell ref="B226:E226"/>
    <mergeCell ref="F232:H232"/>
    <mergeCell ref="J256:K256"/>
    <mergeCell ref="J257:K257"/>
    <mergeCell ref="J258:K258"/>
    <mergeCell ref="J259:K25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fitToPage="1"/>
  </sheetPr>
  <dimension ref="A1:CH281"/>
  <sheetViews>
    <sheetView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D2:M2"/>
    <mergeCell ref="Q2:S2"/>
    <mergeCell ref="AF2:AJ2"/>
    <mergeCell ref="H4:K4"/>
    <mergeCell ref="Q4:S4"/>
    <mergeCell ref="H6:K6"/>
    <mergeCell ref="Q6:S6"/>
    <mergeCell ref="H8:K8"/>
    <mergeCell ref="Q8:S8"/>
    <mergeCell ref="Y8:AA8"/>
    <mergeCell ref="AF24:AG24"/>
    <mergeCell ref="AI24:AJ24"/>
    <mergeCell ref="H26:K26"/>
    <mergeCell ref="Q26:S26"/>
    <mergeCell ref="AF26:AG26"/>
    <mergeCell ref="AI26:AJ26"/>
    <mergeCell ref="H28:K28"/>
    <mergeCell ref="Q28:S28"/>
    <mergeCell ref="AF28:AG28"/>
    <mergeCell ref="AI28:AJ28"/>
    <mergeCell ref="H30:K30"/>
    <mergeCell ref="Q30:S30"/>
    <mergeCell ref="AF30:AG30"/>
    <mergeCell ref="AI30:AJ30"/>
    <mergeCell ref="H32:K32"/>
    <mergeCell ref="Q32:S32"/>
    <mergeCell ref="AF32:AG32"/>
    <mergeCell ref="AI32:AJ32"/>
    <mergeCell ref="H34:K34"/>
    <mergeCell ref="Q34:S34"/>
    <mergeCell ref="AF34:AG34"/>
    <mergeCell ref="AI34:AJ34"/>
    <mergeCell ref="H36:K36"/>
    <mergeCell ref="Q36:S36"/>
    <mergeCell ref="AF36:AG36"/>
    <mergeCell ref="AI36:AJ36"/>
    <mergeCell ref="H38:K38"/>
    <mergeCell ref="Q38:S38"/>
    <mergeCell ref="AF38:AG38"/>
    <mergeCell ref="AI38:AJ38"/>
    <mergeCell ref="Q40:S40"/>
    <mergeCell ref="AF40:AG40"/>
    <mergeCell ref="AI40:AJ40"/>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B101:F101"/>
    <mergeCell ref="B190:E190"/>
    <mergeCell ref="B208:D208"/>
    <mergeCell ref="B226:E226"/>
    <mergeCell ref="F232:H232"/>
    <mergeCell ref="J256:K256"/>
    <mergeCell ref="J257:K257"/>
    <mergeCell ref="J258:K258"/>
    <mergeCell ref="J259:K25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CH281"/>
  <sheetViews>
    <sheetView topLeftCell="A37" zoomScale="80" zoomScaleNormal="80" workbookViewId="0">
      <selection activeCell="F234"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44"/>
      <c r="F2" s="744"/>
      <c r="G2" s="744"/>
      <c r="H2" s="744"/>
      <c r="I2" s="744"/>
      <c r="J2" s="744"/>
      <c r="K2" s="744"/>
      <c r="L2" s="744"/>
      <c r="M2" s="675"/>
      <c r="N2" s="198"/>
      <c r="O2" s="198"/>
      <c r="Q2" s="743" t="s">
        <v>86</v>
      </c>
      <c r="R2" s="743"/>
      <c r="S2" s="743"/>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38" t="s">
        <v>640</v>
      </c>
      <c r="I4" s="738"/>
      <c r="J4" s="738"/>
      <c r="K4" s="738"/>
      <c r="M4" s="126">
        <f>(IF(IF((SUM(D16:D66)+SUM(D70:D74)+SUM(M16:M66)+SUM(M70:M72)+SUM(U16:U66)+SUM(U70:U72))&lt;1,0,(BK92+AQ6))&gt;Overall!D20,IF((SUM(D16:D66)+SUM(D70:D74)+SUM(M16:M66)+SUM(M70:M72)+SUM(U16:U66)+SUM(U70:U72))&lt;1,0,(BK92+AQ6)),Overall!D20))+O4</f>
        <v>0</v>
      </c>
      <c r="O4" s="39"/>
      <c r="P4"/>
      <c r="Q4" s="738" t="s">
        <v>1768</v>
      </c>
      <c r="R4" s="738"/>
      <c r="S4" s="738"/>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41" t="s">
        <v>641</v>
      </c>
      <c r="I6" s="741"/>
      <c r="J6" s="741"/>
      <c r="K6" s="741"/>
      <c r="L6" s="135"/>
      <c r="M6" s="126">
        <f>(IF(IF((SUM(D16:D66)+SUM(D70:D74)+SUM(M16:M66)+SUM(M70:M72)+SUM(U16:U66)+SUM(U70:U72))&lt;1,0,(BL92+AQ6))&gt;Overall!D22,IF((SUM(D16:D66)+SUM(D70:D74)+SUM(M16:M66)+SUM(M70:M72)+SUM(U16:U66)+SUM(U70:U72))&lt;1,0,(BL92+AQ6)),Overall!D22))+O6</f>
        <v>0</v>
      </c>
      <c r="N6"/>
      <c r="O6" s="39"/>
      <c r="P6"/>
      <c r="Q6" s="743" t="s">
        <v>85</v>
      </c>
      <c r="R6" s="743"/>
      <c r="S6" s="743"/>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38" t="s">
        <v>643</v>
      </c>
      <c r="I8" s="738"/>
      <c r="J8" s="738"/>
      <c r="K8" s="738"/>
      <c r="L8" s="135"/>
      <c r="M8" s="126">
        <f>(IF(IF((SUM(D16:D66)+SUM(D70:D74)+SUM(M16:M66)+SUM(M70:M72)+SUM(U16:U66)+SUM(U70:U72))&lt;1,0,(BN92+AQ6))&gt;Overall!D24,IF((SUM(D16:D66)+SUM(D70:D74)+SUM(M16:M66)+SUM(M70:M72)+SUM(U16:U66)+SUM(U70:U72))&lt;1,0,(BN92+AQ6)),Overall!D24))+O8</f>
        <v>0</v>
      </c>
      <c r="N8"/>
      <c r="O8" s="39"/>
      <c r="P8"/>
      <c r="Q8" s="743" t="s">
        <v>135</v>
      </c>
      <c r="R8" s="743"/>
      <c r="S8" s="743"/>
      <c r="T8" s="198"/>
      <c r="U8" s="126">
        <f>(ROUNDUP((AT92/36),0))+W8</f>
        <v>0</v>
      </c>
      <c r="V8"/>
      <c r="W8" s="39"/>
      <c r="X8"/>
      <c r="Y8" s="737" t="s">
        <v>1751</v>
      </c>
      <c r="Z8" s="737"/>
      <c r="AA8" s="737"/>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38" t="s">
        <v>644</v>
      </c>
      <c r="I10" s="738"/>
      <c r="J10" s="738"/>
      <c r="K10" s="738"/>
      <c r="L10" s="135"/>
      <c r="M10" s="126">
        <f>(IF(IF((SUM(D16:D66)+SUM(D70:D74)+SUM(M16:M66)+SUM(M70:M72)+SUM(U16:U66)+SUM(U70:U72))&lt;1,0,(BO92+AQ6))&gt;Overall!D26,IF((SUM(D16:D66)+SUM(D70:D74)+SUM(M16:M66)+SUM(M70:M72)+SUM(U16:U66)+SUM(U70:U72))&lt;1,0,(BO92+AQ6)),Overall!D26))+O10</f>
        <v>0</v>
      </c>
      <c r="N10"/>
      <c r="O10" s="39"/>
      <c r="P10"/>
      <c r="Q10" s="738" t="s">
        <v>642</v>
      </c>
      <c r="R10" s="738"/>
      <c r="S10" s="738"/>
      <c r="T10" s="198"/>
      <c r="U10" s="126">
        <f>(IF(IF((SUM(D16:D66)+SUM(D70:D74)+SUM(M16:M66)+SUM(M70:M74)+SUM(U16:U66)+SUM(U70:U74))&lt;1,0,(BM92+AQ6))&gt;Overall!D28,IF((SUM(D16:D66)+SUM(D70:D74)+SUM(M16:M66)+SUM(M70:M72)+SUM(U16:U66)+SUM(U70:U72))&lt;1,0,(BM92+AQ6)),Overall!D28))+W10</f>
        <v>0</v>
      </c>
      <c r="V10"/>
      <c r="W10" s="39"/>
      <c r="X10"/>
      <c r="Y10" s="737" t="s">
        <v>1752</v>
      </c>
      <c r="Z10" s="737"/>
      <c r="AA10" s="737"/>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38" t="s">
        <v>645</v>
      </c>
      <c r="R12" s="738"/>
      <c r="S12" s="738"/>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711" t="s">
        <v>131</v>
      </c>
      <c r="C14" s="711"/>
      <c r="D14" s="711"/>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38" t="s">
        <v>336</v>
      </c>
      <c r="I16" s="738"/>
      <c r="J16" s="738"/>
      <c r="K16" s="738"/>
      <c r="M16" s="39"/>
      <c r="N16" s="16"/>
      <c r="O16" s="16"/>
      <c r="Q16" s="738" t="s">
        <v>344</v>
      </c>
      <c r="R16" s="738"/>
      <c r="S16" s="738"/>
      <c r="U16" s="39"/>
      <c r="V16" s="16"/>
      <c r="W16" s="711" t="s">
        <v>327</v>
      </c>
      <c r="X16" s="711"/>
      <c r="Y16" s="711"/>
      <c r="Z16" s="711"/>
      <c r="AA16" s="711"/>
      <c r="AB16" s="711"/>
      <c r="AC16" s="711"/>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38" t="s">
        <v>1229</v>
      </c>
      <c r="I18" s="738"/>
      <c r="J18" s="738"/>
      <c r="K18" s="738"/>
      <c r="M18" s="39"/>
      <c r="N18" s="198"/>
      <c r="O18" s="198"/>
      <c r="Q18" s="738" t="s">
        <v>27</v>
      </c>
      <c r="R18" s="738"/>
      <c r="S18" s="738"/>
      <c r="U18" s="39"/>
      <c r="V18" s="198"/>
      <c r="W18" s="674"/>
      <c r="X18" s="744"/>
      <c r="Y18" s="744"/>
      <c r="Z18" s="744"/>
      <c r="AA18" s="744"/>
      <c r="AB18" s="744"/>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38" t="s">
        <v>337</v>
      </c>
      <c r="I20" s="738"/>
      <c r="J20" s="738"/>
      <c r="K20" s="738"/>
      <c r="M20" s="39"/>
      <c r="N20" s="16"/>
      <c r="O20" s="16"/>
      <c r="Q20" s="742" t="s">
        <v>345</v>
      </c>
      <c r="R20" s="742"/>
      <c r="S20" s="742"/>
      <c r="T20" s="3"/>
      <c r="U20" s="39"/>
      <c r="V20" s="16"/>
      <c r="W20" s="762"/>
      <c r="X20" s="763"/>
      <c r="Y20" s="763"/>
      <c r="Z20" s="763"/>
      <c r="AA20" s="763"/>
      <c r="AB20" s="763"/>
      <c r="AC20" s="764"/>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38" t="s">
        <v>14</v>
      </c>
      <c r="I22" s="738"/>
      <c r="J22" s="738"/>
      <c r="K22" s="738"/>
      <c r="M22" s="39"/>
      <c r="N22" s="16"/>
      <c r="O22" s="16"/>
      <c r="Q22" s="738" t="s">
        <v>346</v>
      </c>
      <c r="R22" s="738"/>
      <c r="S22" s="738"/>
      <c r="T22" s="3"/>
      <c r="U22" s="39"/>
      <c r="V22" s="16"/>
      <c r="W22" s="16"/>
      <c r="X22" s="16"/>
      <c r="Y22" s="16"/>
      <c r="Z22" s="16"/>
      <c r="AA22" s="16"/>
      <c r="AB22" s="16"/>
      <c r="AC22" s="16"/>
      <c r="AD22" s="97"/>
      <c r="AE22" s="664"/>
      <c r="AF22" s="714" t="s">
        <v>371</v>
      </c>
      <c r="AG22" s="715"/>
      <c r="AH22" s="715"/>
      <c r="AI22" s="715"/>
      <c r="AJ22" s="731"/>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47"/>
      <c r="R23" s="747"/>
      <c r="S23" s="747"/>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38" t="s">
        <v>15</v>
      </c>
      <c r="I24" s="738"/>
      <c r="J24" s="738"/>
      <c r="K24" s="746"/>
      <c r="M24" s="39"/>
      <c r="N24" s="16"/>
      <c r="O24" s="16"/>
      <c r="Q24" s="738" t="s">
        <v>347</v>
      </c>
      <c r="R24" s="738"/>
      <c r="S24" s="738"/>
      <c r="T24" s="3"/>
      <c r="U24" s="39"/>
      <c r="V24" s="16"/>
      <c r="W24" s="711" t="s">
        <v>1582</v>
      </c>
      <c r="X24" s="711"/>
      <c r="Y24" s="711"/>
      <c r="Z24" s="711"/>
      <c r="AA24" s="711"/>
      <c r="AB24" s="711"/>
      <c r="AC24" s="711"/>
      <c r="AD24" s="97"/>
      <c r="AE24" s="664"/>
      <c r="AF24" s="739"/>
      <c r="AG24" s="740"/>
      <c r="AH24" s="228"/>
      <c r="AI24" s="739"/>
      <c r="AJ24" s="740"/>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38" t="s">
        <v>338</v>
      </c>
      <c r="I26" s="738"/>
      <c r="J26" s="738"/>
      <c r="K26" s="746"/>
      <c r="M26" s="39"/>
      <c r="N26" s="16"/>
      <c r="O26" s="16"/>
      <c r="Q26" s="738" t="s">
        <v>28</v>
      </c>
      <c r="R26" s="738"/>
      <c r="S26" s="738"/>
      <c r="T26" s="3"/>
      <c r="U26" s="39"/>
      <c r="V26" s="16"/>
      <c r="W26" s="762"/>
      <c r="X26" s="763"/>
      <c r="Y26" s="763"/>
      <c r="Z26" s="763"/>
      <c r="AA26" s="763"/>
      <c r="AB26" s="763"/>
      <c r="AC26" s="764"/>
      <c r="AD26" s="97"/>
      <c r="AE26" s="664"/>
      <c r="AF26" s="739"/>
      <c r="AG26" s="740"/>
      <c r="AH26" s="228"/>
      <c r="AI26" s="739"/>
      <c r="AJ26" s="740"/>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38" t="s">
        <v>1233</v>
      </c>
      <c r="I28" s="738"/>
      <c r="J28" s="738"/>
      <c r="K28" s="738"/>
      <c r="M28" s="39"/>
      <c r="N28" s="16"/>
      <c r="O28" s="16"/>
      <c r="Q28" s="738" t="s">
        <v>348</v>
      </c>
      <c r="R28" s="738"/>
      <c r="S28" s="738"/>
      <c r="T28" s="3"/>
      <c r="U28" s="39"/>
      <c r="V28" s="16"/>
      <c r="W28" s="762"/>
      <c r="X28" s="763"/>
      <c r="Y28" s="763"/>
      <c r="Z28" s="763"/>
      <c r="AA28" s="763"/>
      <c r="AB28" s="763"/>
      <c r="AC28" s="764"/>
      <c r="AD28" s="97"/>
      <c r="AE28" s="664"/>
      <c r="AF28" s="739"/>
      <c r="AG28" s="740"/>
      <c r="AH28" s="226"/>
      <c r="AI28" s="739"/>
      <c r="AJ28" s="740"/>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38" t="s">
        <v>16</v>
      </c>
      <c r="I30" s="738"/>
      <c r="J30" s="738"/>
      <c r="K30" s="738"/>
      <c r="M30" s="39"/>
      <c r="N30" s="16"/>
      <c r="O30" s="16"/>
      <c r="Q30" s="738" t="s">
        <v>1241</v>
      </c>
      <c r="R30" s="738"/>
      <c r="S30" s="738"/>
      <c r="T30" s="3"/>
      <c r="U30" s="39"/>
      <c r="V30" s="16"/>
      <c r="W30" s="762"/>
      <c r="X30" s="763"/>
      <c r="Y30" s="763"/>
      <c r="Z30" s="763"/>
      <c r="AA30" s="763"/>
      <c r="AB30" s="763"/>
      <c r="AC30" s="764"/>
      <c r="AD30" s="97"/>
      <c r="AE30" s="664"/>
      <c r="AF30" s="739"/>
      <c r="AG30" s="740"/>
      <c r="AH30" s="228"/>
      <c r="AI30" s="739"/>
      <c r="AJ30" s="740"/>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38" t="s">
        <v>339</v>
      </c>
      <c r="I32" s="738"/>
      <c r="J32" s="738"/>
      <c r="K32" s="738"/>
      <c r="M32" s="39"/>
      <c r="N32" s="16"/>
      <c r="O32" s="16"/>
      <c r="Q32" s="738" t="s">
        <v>30</v>
      </c>
      <c r="R32" s="738"/>
      <c r="S32" s="738"/>
      <c r="T32" s="3"/>
      <c r="U32" s="39"/>
      <c r="V32" s="16"/>
      <c r="W32" s="16"/>
      <c r="X32" s="16"/>
      <c r="Y32" s="16"/>
      <c r="Z32" s="16"/>
      <c r="AA32" s="16"/>
      <c r="AB32" s="16"/>
      <c r="AC32" s="16"/>
      <c r="AD32" s="97"/>
      <c r="AE32" s="664"/>
      <c r="AF32" s="739"/>
      <c r="AG32" s="740"/>
      <c r="AH32" s="226"/>
      <c r="AI32" s="739"/>
      <c r="AJ32" s="740"/>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38" t="s">
        <v>17</v>
      </c>
      <c r="I34" s="738"/>
      <c r="J34" s="738"/>
      <c r="K34" s="738"/>
      <c r="M34" s="39"/>
      <c r="N34" s="16"/>
      <c r="O34" s="16"/>
      <c r="Q34" s="738" t="s">
        <v>31</v>
      </c>
      <c r="R34" s="738"/>
      <c r="S34" s="738"/>
      <c r="T34" s="3"/>
      <c r="U34" s="39"/>
      <c r="V34" s="16"/>
      <c r="W34" s="16"/>
      <c r="X34" s="16"/>
      <c r="Y34" s="16"/>
      <c r="Z34" s="16"/>
      <c r="AA34" s="16"/>
      <c r="AB34" s="16"/>
      <c r="AC34" s="16"/>
      <c r="AD34" s="97"/>
      <c r="AE34" s="664"/>
      <c r="AF34" s="739"/>
      <c r="AG34" s="740"/>
      <c r="AH34" s="228"/>
      <c r="AI34" s="739"/>
      <c r="AJ34" s="740"/>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38" t="s">
        <v>18</v>
      </c>
      <c r="I36" s="738"/>
      <c r="J36" s="738"/>
      <c r="K36" s="738"/>
      <c r="M36" s="41"/>
      <c r="N36" s="198"/>
      <c r="O36" s="198"/>
      <c r="Q36" s="738" t="s">
        <v>349</v>
      </c>
      <c r="R36" s="738"/>
      <c r="S36" s="738"/>
      <c r="T36" s="3"/>
      <c r="U36" s="39"/>
      <c r="V36" s="198"/>
      <c r="W36" s="711" t="s">
        <v>1636</v>
      </c>
      <c r="X36" s="711"/>
      <c r="Y36" s="711"/>
      <c r="Z36" s="711"/>
      <c r="AA36" s="711"/>
      <c r="AB36" s="711"/>
      <c r="AC36" s="711"/>
      <c r="AD36" s="97"/>
      <c r="AE36" s="664"/>
      <c r="AF36" s="739"/>
      <c r="AG36" s="740"/>
      <c r="AH36" s="226"/>
      <c r="AI36" s="739"/>
      <c r="AJ36" s="740"/>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38" t="s">
        <v>19</v>
      </c>
      <c r="I38" s="738"/>
      <c r="J38" s="738"/>
      <c r="K38" s="738"/>
      <c r="M38" s="39"/>
      <c r="N38" s="16"/>
      <c r="O38" s="16"/>
      <c r="Q38" s="738" t="s">
        <v>33</v>
      </c>
      <c r="R38" s="738"/>
      <c r="S38" s="738"/>
      <c r="T38" s="3"/>
      <c r="U38" s="39"/>
      <c r="V38" s="16"/>
      <c r="W38" s="762"/>
      <c r="X38" s="763"/>
      <c r="Y38" s="763"/>
      <c r="Z38" s="763"/>
      <c r="AA38" s="763"/>
      <c r="AB38" s="763"/>
      <c r="AC38" s="764"/>
      <c r="AD38" s="97"/>
      <c r="AE38" s="664"/>
      <c r="AF38" s="739"/>
      <c r="AG38" s="740"/>
      <c r="AH38" s="228"/>
      <c r="AI38" s="739"/>
      <c r="AJ38" s="740"/>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38" t="s">
        <v>20</v>
      </c>
      <c r="I40" s="738"/>
      <c r="J40" s="738"/>
      <c r="K40" s="738"/>
      <c r="M40" s="39"/>
      <c r="N40" s="16"/>
      <c r="O40" s="16"/>
      <c r="Q40" s="738" t="s">
        <v>350</v>
      </c>
      <c r="R40" s="738"/>
      <c r="S40" s="738"/>
      <c r="T40" s="3"/>
      <c r="U40" s="39"/>
      <c r="V40" s="16"/>
      <c r="W40" s="16"/>
      <c r="X40" s="16"/>
      <c r="Y40" s="16"/>
      <c r="Z40" s="16"/>
      <c r="AA40" s="16"/>
      <c r="AB40" s="16"/>
      <c r="AC40" s="16"/>
      <c r="AD40" s="97"/>
      <c r="AE40" s="664"/>
      <c r="AF40" s="739"/>
      <c r="AG40" s="740"/>
      <c r="AH40" s="228"/>
      <c r="AI40" s="739"/>
      <c r="AJ40" s="740"/>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38" t="s">
        <v>1236</v>
      </c>
      <c r="I42" s="738"/>
      <c r="J42" s="738"/>
      <c r="K42" s="738"/>
      <c r="M42" s="39"/>
      <c r="N42" s="16"/>
      <c r="O42" s="16"/>
      <c r="Q42" s="738" t="s">
        <v>34</v>
      </c>
      <c r="R42" s="738"/>
      <c r="S42" s="738"/>
      <c r="T42" s="3"/>
      <c r="U42" s="39"/>
      <c r="V42" s="16"/>
      <c r="W42" s="16"/>
      <c r="X42" s="16"/>
      <c r="Y42" s="16"/>
      <c r="Z42" s="16"/>
      <c r="AA42" s="16"/>
      <c r="AB42" s="16"/>
      <c r="AC42" s="16"/>
      <c r="AD42" s="97"/>
      <c r="AE42" s="664"/>
      <c r="AF42" s="739"/>
      <c r="AG42" s="740"/>
      <c r="AH42" s="228"/>
      <c r="AI42" s="739"/>
      <c r="AJ42" s="740"/>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38" t="s">
        <v>1239</v>
      </c>
      <c r="I44" s="738"/>
      <c r="J44" s="738"/>
      <c r="K44" s="738"/>
      <c r="M44" s="39"/>
      <c r="N44" s="16"/>
      <c r="O44" s="16"/>
      <c r="Q44" s="738" t="s">
        <v>35</v>
      </c>
      <c r="R44" s="738"/>
      <c r="S44" s="738"/>
      <c r="T44" s="3"/>
      <c r="U44" s="39"/>
      <c r="V44" s="16"/>
      <c r="W44" s="16"/>
      <c r="X44" s="16"/>
      <c r="Y44" s="16"/>
      <c r="Z44" s="16"/>
      <c r="AA44" s="16"/>
      <c r="AB44" s="16"/>
      <c r="AC44" s="16"/>
      <c r="AD44" s="97"/>
      <c r="AE44" s="664"/>
      <c r="AF44" s="739"/>
      <c r="AG44" s="740"/>
      <c r="AH44" s="228"/>
      <c r="AI44" s="739"/>
      <c r="AJ44" s="740"/>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38" t="s">
        <v>21</v>
      </c>
      <c r="I46" s="738"/>
      <c r="J46" s="738"/>
      <c r="K46" s="738"/>
      <c r="M46" s="39"/>
      <c r="N46" s="16"/>
      <c r="O46" s="16"/>
      <c r="Q46" s="738" t="s">
        <v>36</v>
      </c>
      <c r="R46" s="738"/>
      <c r="S46" s="738"/>
      <c r="T46" s="3"/>
      <c r="U46" s="39"/>
      <c r="V46" s="16"/>
      <c r="W46" s="16"/>
      <c r="X46" s="16"/>
      <c r="Y46" s="16"/>
      <c r="Z46" s="16"/>
      <c r="AA46" s="16"/>
      <c r="AB46" s="16"/>
      <c r="AC46" s="16"/>
      <c r="AD46" s="97"/>
      <c r="AE46" s="664"/>
      <c r="AF46" s="739"/>
      <c r="AG46" s="740"/>
      <c r="AH46" s="228"/>
      <c r="AI46" s="739"/>
      <c r="AJ46" s="740"/>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38" t="s">
        <v>22</v>
      </c>
      <c r="I48" s="738"/>
      <c r="J48" s="738"/>
      <c r="K48" s="738"/>
      <c r="M48" s="39"/>
      <c r="N48" s="16"/>
      <c r="O48" s="16"/>
      <c r="Q48" s="738" t="s">
        <v>37</v>
      </c>
      <c r="R48" s="738"/>
      <c r="S48" s="738"/>
      <c r="T48" s="3"/>
      <c r="U48" s="39"/>
      <c r="V48" s="16"/>
      <c r="W48" s="16"/>
      <c r="X48" s="16"/>
      <c r="Y48" s="16"/>
      <c r="Z48" s="16"/>
      <c r="AA48" s="16"/>
      <c r="AB48" s="16"/>
      <c r="AC48" s="16"/>
      <c r="AD48" s="97"/>
      <c r="AE48" s="664"/>
      <c r="AF48" s="739"/>
      <c r="AG48" s="740"/>
      <c r="AH48" s="228"/>
      <c r="AI48" s="739"/>
      <c r="AJ48" s="740"/>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38" t="s">
        <v>340</v>
      </c>
      <c r="I50" s="738"/>
      <c r="J50" s="738"/>
      <c r="K50" s="738"/>
      <c r="M50" s="39"/>
      <c r="N50" s="16"/>
      <c r="O50" s="16"/>
      <c r="Q50" s="738" t="s">
        <v>38</v>
      </c>
      <c r="R50" s="738"/>
      <c r="S50" s="738"/>
      <c r="T50" s="3"/>
      <c r="U50" s="39"/>
      <c r="V50" s="16"/>
      <c r="W50" s="16"/>
      <c r="X50" s="16"/>
      <c r="Y50" s="16"/>
      <c r="Z50" s="16"/>
      <c r="AA50" s="16"/>
      <c r="AB50" s="16"/>
      <c r="AC50" s="16"/>
      <c r="AD50" s="97"/>
      <c r="AE50" s="664"/>
      <c r="AF50" s="739"/>
      <c r="AG50" s="740"/>
      <c r="AH50" s="228"/>
      <c r="AI50" s="739"/>
      <c r="AJ50" s="740"/>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38" t="s">
        <v>23</v>
      </c>
      <c r="I52" s="738"/>
      <c r="J52" s="738"/>
      <c r="K52" s="738"/>
      <c r="M52" s="39"/>
      <c r="N52" s="16"/>
      <c r="O52" s="16"/>
      <c r="Q52" s="738" t="s">
        <v>39</v>
      </c>
      <c r="R52" s="738"/>
      <c r="S52" s="738"/>
      <c r="T52" s="3"/>
      <c r="U52" s="39"/>
      <c r="V52" s="16"/>
      <c r="W52" s="16"/>
      <c r="X52" s="16"/>
      <c r="Y52" s="16"/>
      <c r="Z52" s="16"/>
      <c r="AA52" s="16"/>
      <c r="AB52" s="16"/>
      <c r="AC52" s="16"/>
      <c r="AD52" s="97"/>
      <c r="AE52" s="664"/>
      <c r="AF52" s="739"/>
      <c r="AG52" s="740"/>
      <c r="AH52" s="228"/>
      <c r="AI52" s="739"/>
      <c r="AJ52" s="740"/>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38" t="s">
        <v>24</v>
      </c>
      <c r="I54" s="738"/>
      <c r="J54" s="738"/>
      <c r="K54" s="738"/>
      <c r="M54" s="39"/>
      <c r="N54" s="16"/>
      <c r="O54" s="16"/>
      <c r="Q54" s="738" t="s">
        <v>351</v>
      </c>
      <c r="R54" s="738"/>
      <c r="S54" s="738"/>
      <c r="T54" s="3"/>
      <c r="U54" s="39"/>
      <c r="V54" s="16"/>
      <c r="W54" s="16"/>
      <c r="X54" s="16"/>
      <c r="Y54" s="16"/>
      <c r="Z54" s="16"/>
      <c r="AA54" s="16"/>
      <c r="AB54" s="16"/>
      <c r="AC54" s="16"/>
      <c r="AD54" s="97"/>
      <c r="AE54" s="664"/>
      <c r="AF54" s="739"/>
      <c r="AG54" s="740"/>
      <c r="AH54" s="228"/>
      <c r="AI54" s="739"/>
      <c r="AJ54" s="740"/>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711" t="s">
        <v>341</v>
      </c>
      <c r="I56" s="745"/>
      <c r="J56" s="431" t="s">
        <v>1100</v>
      </c>
      <c r="K56" s="432"/>
      <c r="M56" s="39"/>
      <c r="N56" s="16"/>
      <c r="O56" s="16"/>
      <c r="Q56" s="738" t="s">
        <v>352</v>
      </c>
      <c r="R56" s="738"/>
      <c r="S56" s="738"/>
      <c r="T56" s="3"/>
      <c r="U56" s="39"/>
      <c r="V56" s="16"/>
      <c r="W56" s="16"/>
      <c r="X56" s="16"/>
      <c r="Y56" s="16"/>
      <c r="Z56" s="16"/>
      <c r="AA56" s="16"/>
      <c r="AB56" s="16"/>
      <c r="AC56" s="16"/>
      <c r="AD56" s="97"/>
      <c r="AE56" s="664"/>
      <c r="AF56" s="739"/>
      <c r="AG56" s="740"/>
      <c r="AH56" s="228"/>
      <c r="AI56" s="739"/>
      <c r="AJ56" s="740"/>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38" t="s">
        <v>342</v>
      </c>
      <c r="I58" s="738"/>
      <c r="J58" s="738"/>
      <c r="K58" s="738"/>
      <c r="M58" s="39"/>
      <c r="N58" s="16"/>
      <c r="O58" s="16"/>
      <c r="Q58" s="738" t="s">
        <v>1246</v>
      </c>
      <c r="R58" s="738"/>
      <c r="S58" s="738"/>
      <c r="T58" s="3"/>
      <c r="U58" s="39"/>
      <c r="V58" s="16"/>
      <c r="W58" s="16"/>
      <c r="X58" s="16"/>
      <c r="Y58" s="16"/>
      <c r="Z58" s="16"/>
      <c r="AA58" s="16"/>
      <c r="AB58" s="16"/>
      <c r="AC58" s="16"/>
      <c r="AD58" s="97"/>
      <c r="AE58" s="664"/>
      <c r="AF58" s="739"/>
      <c r="AG58" s="740"/>
      <c r="AH58" s="228"/>
      <c r="AI58" s="739"/>
      <c r="AJ58" s="740"/>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38" t="s">
        <v>25</v>
      </c>
      <c r="I60" s="738"/>
      <c r="J60" s="738"/>
      <c r="K60" s="738"/>
      <c r="M60" s="39"/>
      <c r="N60" s="16"/>
      <c r="O60" s="16"/>
      <c r="Q60" s="738" t="s">
        <v>41</v>
      </c>
      <c r="R60" s="738"/>
      <c r="S60" s="738"/>
      <c r="T60" s="3"/>
      <c r="U60" s="39"/>
      <c r="V60" s="16"/>
      <c r="W60" s="16"/>
      <c r="X60" s="16"/>
      <c r="Y60" s="16"/>
      <c r="Z60" s="16"/>
      <c r="AA60" s="16"/>
      <c r="AB60" s="16"/>
      <c r="AC60" s="16"/>
      <c r="AD60" s="97"/>
      <c r="AE60" s="664"/>
      <c r="AF60" s="739"/>
      <c r="AG60" s="740"/>
      <c r="AH60" s="228"/>
      <c r="AI60" s="739"/>
      <c r="AJ60" s="740"/>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38" t="s">
        <v>343</v>
      </c>
      <c r="I62" s="738"/>
      <c r="J62" s="738"/>
      <c r="K62" s="738"/>
      <c r="M62" s="39"/>
      <c r="N62" s="16"/>
      <c r="O62" s="16"/>
      <c r="Q62" s="738" t="s">
        <v>42</v>
      </c>
      <c r="R62" s="738"/>
      <c r="S62" s="738"/>
      <c r="T62" s="3"/>
      <c r="U62" s="39"/>
      <c r="V62" s="16"/>
      <c r="W62" s="16"/>
      <c r="X62" s="16"/>
      <c r="Y62" s="16"/>
      <c r="Z62" s="16"/>
      <c r="AA62" s="16"/>
      <c r="AB62" s="16"/>
      <c r="AC62" s="16"/>
      <c r="AD62" s="97"/>
      <c r="AE62" s="664"/>
      <c r="AF62" s="739"/>
      <c r="AG62" s="740"/>
      <c r="AH62" s="228"/>
      <c r="AI62" s="739"/>
      <c r="AJ62" s="740"/>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38" t="s">
        <v>232</v>
      </c>
      <c r="I64" s="738"/>
      <c r="J64" s="738"/>
      <c r="K64" s="738"/>
      <c r="M64" s="39"/>
      <c r="N64" s="16"/>
      <c r="O64" s="16"/>
      <c r="Q64" s="738" t="s">
        <v>353</v>
      </c>
      <c r="R64" s="738"/>
      <c r="S64" s="738"/>
      <c r="T64" s="3"/>
      <c r="U64" s="39"/>
      <c r="V64" s="16"/>
      <c r="W64" s="16"/>
      <c r="X64" s="16"/>
      <c r="Y64" s="16"/>
      <c r="Z64" s="16"/>
      <c r="AA64" s="16"/>
      <c r="AB64" s="16"/>
      <c r="AC64" s="16"/>
      <c r="AD64" s="97"/>
      <c r="AE64" s="664"/>
      <c r="AF64" s="739"/>
      <c r="AG64" s="740"/>
      <c r="AH64" s="228"/>
      <c r="AI64" s="739"/>
      <c r="AJ64" s="740"/>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38" t="s">
        <v>26</v>
      </c>
      <c r="I66" s="738"/>
      <c r="J66" s="738"/>
      <c r="K66" s="738"/>
      <c r="M66" s="39"/>
      <c r="N66" s="16"/>
      <c r="O66" s="16"/>
      <c r="Q66" s="738" t="s">
        <v>1250</v>
      </c>
      <c r="R66" s="738"/>
      <c r="S66" s="738"/>
      <c r="T66" s="3"/>
      <c r="U66" s="39"/>
      <c r="V66" s="16"/>
      <c r="W66" s="16"/>
      <c r="X66" s="16"/>
      <c r="Y66" s="16"/>
      <c r="Z66" s="16"/>
      <c r="AA66" s="16"/>
      <c r="AB66" s="16"/>
      <c r="AC66" s="16"/>
      <c r="AD66" s="97"/>
      <c r="AE66" s="664"/>
      <c r="AF66" s="739"/>
      <c r="AG66" s="740"/>
      <c r="AH66" s="228"/>
      <c r="AI66" s="739"/>
      <c r="AJ66" s="740"/>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711" t="s">
        <v>328</v>
      </c>
      <c r="C68" s="711"/>
      <c r="D68" s="711"/>
      <c r="E68" s="711"/>
      <c r="F68" s="711"/>
      <c r="G68" s="711"/>
      <c r="H68" s="711"/>
      <c r="I68" s="711"/>
      <c r="J68" s="711"/>
      <c r="K68" s="711"/>
      <c r="L68" s="711"/>
      <c r="M68" s="711"/>
      <c r="N68" s="711"/>
      <c r="O68" s="711"/>
      <c r="P68" s="711"/>
      <c r="Q68" s="711"/>
      <c r="R68" s="711"/>
      <c r="S68" s="711"/>
      <c r="T68" s="711"/>
      <c r="U68" s="711"/>
      <c r="V68" s="711"/>
      <c r="W68" s="711"/>
      <c r="X68" s="711"/>
      <c r="Y68" s="711"/>
      <c r="Z68" s="711"/>
      <c r="AA68" s="711"/>
      <c r="AB68" s="711"/>
      <c r="AC68" s="711"/>
      <c r="AD68" s="97"/>
      <c r="AE68" s="664"/>
      <c r="AF68" s="739"/>
      <c r="AG68" s="740"/>
      <c r="AH68" s="228"/>
      <c r="AI68" s="749"/>
      <c r="AJ68" s="750"/>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3" t="s">
        <v>252</v>
      </c>
      <c r="I70" s="743"/>
      <c r="J70" s="743"/>
      <c r="K70" s="743"/>
      <c r="M70" s="39"/>
      <c r="N70" s="16"/>
      <c r="O70" s="16"/>
      <c r="Q70" s="743" t="s">
        <v>357</v>
      </c>
      <c r="R70" s="743"/>
      <c r="S70" s="743"/>
      <c r="T70" s="3"/>
      <c r="U70" s="39"/>
      <c r="V70" s="16"/>
      <c r="W70" s="16"/>
      <c r="X70" s="16"/>
      <c r="Y70" s="16"/>
      <c r="Z70" s="16"/>
      <c r="AA70" s="16"/>
      <c r="AB70" s="16"/>
      <c r="AC70" s="16"/>
      <c r="AD70" s="97"/>
      <c r="AE70" s="664"/>
      <c r="AF70" s="739"/>
      <c r="AG70" s="740"/>
      <c r="AH70" s="228"/>
      <c r="AI70" s="749"/>
      <c r="AJ70" s="750"/>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3" t="s">
        <v>356</v>
      </c>
      <c r="I72" s="743"/>
      <c r="J72" s="743"/>
      <c r="K72" s="743"/>
      <c r="M72" s="39"/>
      <c r="N72" s="16"/>
      <c r="O72" s="16"/>
      <c r="Q72" s="738" t="s">
        <v>1244</v>
      </c>
      <c r="R72" s="738"/>
      <c r="S72" s="738"/>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3" t="s">
        <v>358</v>
      </c>
      <c r="R74" s="743"/>
      <c r="S74" s="743"/>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711" t="s">
        <v>1772</v>
      </c>
      <c r="C76" s="711"/>
      <c r="D76" s="711"/>
      <c r="E76" s="711"/>
      <c r="F76" s="711"/>
      <c r="G76" s="711"/>
      <c r="H76" s="711"/>
      <c r="I76" s="711"/>
      <c r="J76" s="711"/>
      <c r="K76" s="711"/>
      <c r="L76" s="711"/>
      <c r="M76" s="711"/>
      <c r="N76" s="711"/>
      <c r="O76" s="711"/>
      <c r="P76" s="711"/>
      <c r="Q76" s="711"/>
      <c r="R76" s="711"/>
      <c r="S76" s="711"/>
      <c r="T76" s="711"/>
      <c r="U76" s="711"/>
      <c r="V76" s="711"/>
      <c r="W76" s="711"/>
      <c r="X76" s="711"/>
      <c r="Y76" s="711"/>
      <c r="Z76" s="711"/>
      <c r="AA76" s="711"/>
      <c r="AB76" s="711"/>
      <c r="AC76" s="711"/>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65" t="s">
        <v>1775</v>
      </c>
      <c r="I78" s="765"/>
      <c r="J78" s="765"/>
      <c r="K78" s="765"/>
      <c r="L78" s="298"/>
      <c r="M78" s="41"/>
      <c r="N78" s="67"/>
      <c r="O78" s="67"/>
      <c r="P78" s="298"/>
      <c r="Q78" s="738" t="s">
        <v>1776</v>
      </c>
      <c r="R78" s="738"/>
      <c r="S78" s="738"/>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65" t="s">
        <v>1784</v>
      </c>
      <c r="I80" s="765"/>
      <c r="J80" s="765"/>
      <c r="K80" s="765"/>
      <c r="L80" s="298"/>
      <c r="M80" s="41"/>
      <c r="N80" s="67"/>
      <c r="O80" s="67"/>
      <c r="P80" s="298"/>
      <c r="Q80" s="738" t="s">
        <v>1780</v>
      </c>
      <c r="R80" s="738"/>
      <c r="S80" s="738"/>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7" t="s">
        <v>63</v>
      </c>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c r="AA84" s="737"/>
      <c r="AB84" s="737"/>
      <c r="AC84" s="737"/>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44"/>
      <c r="D86" s="744"/>
      <c r="E86" s="744"/>
      <c r="F86" s="675"/>
      <c r="G86"/>
      <c r="H86" s="674"/>
      <c r="I86" s="744"/>
      <c r="J86" s="744"/>
      <c r="K86" s="744"/>
      <c r="L86" s="744"/>
      <c r="M86" s="744"/>
      <c r="N86" s="744"/>
      <c r="O86" s="675"/>
      <c r="P86"/>
      <c r="Q86" s="674"/>
      <c r="R86" s="744"/>
      <c r="S86" s="744"/>
      <c r="T86" s="744"/>
      <c r="U86" s="744"/>
      <c r="V86" s="744"/>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44"/>
      <c r="D88" s="744"/>
      <c r="E88" s="744"/>
      <c r="F88" s="675"/>
      <c r="G88"/>
      <c r="H88" s="674"/>
      <c r="I88" s="744"/>
      <c r="J88" s="744"/>
      <c r="K88" s="744"/>
      <c r="L88" s="744"/>
      <c r="M88" s="744"/>
      <c r="N88" s="744"/>
      <c r="O88" s="675"/>
      <c r="P88"/>
      <c r="Q88" s="674"/>
      <c r="R88" s="744"/>
      <c r="S88" s="744"/>
      <c r="T88" s="744"/>
      <c r="U88" s="744"/>
      <c r="V88" s="744"/>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44"/>
      <c r="D90" s="744"/>
      <c r="E90" s="744"/>
      <c r="F90" s="675"/>
      <c r="G90"/>
      <c r="H90" s="674"/>
      <c r="I90" s="744"/>
      <c r="J90" s="744"/>
      <c r="K90" s="744"/>
      <c r="L90" s="744"/>
      <c r="M90" s="744"/>
      <c r="N90" s="744"/>
      <c r="O90" s="675"/>
      <c r="P90"/>
      <c r="Q90" s="674"/>
      <c r="R90" s="744"/>
      <c r="S90" s="744"/>
      <c r="T90" s="744"/>
      <c r="U90" s="744"/>
      <c r="V90" s="744"/>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711" t="s">
        <v>91</v>
      </c>
      <c r="C92" s="711"/>
      <c r="D92" s="711"/>
      <c r="E92" s="711"/>
      <c r="F92" s="711"/>
      <c r="G92" s="711"/>
      <c r="H92" s="711"/>
      <c r="I92" s="711"/>
      <c r="J92" s="711"/>
      <c r="K92" s="711"/>
      <c r="L92" s="711"/>
      <c r="M92" s="711"/>
      <c r="N92" s="711"/>
      <c r="O92" s="711"/>
      <c r="P92" s="711"/>
      <c r="Q92" s="711"/>
      <c r="R92" s="711"/>
      <c r="S92" s="711"/>
      <c r="T92" s="711"/>
      <c r="U92" s="711"/>
      <c r="V92" s="711"/>
      <c r="W92" s="711"/>
      <c r="X92" s="711"/>
      <c r="Y92" s="711"/>
      <c r="Z92" s="711"/>
      <c r="AA92" s="711"/>
      <c r="AB92" s="711"/>
      <c r="AC92" s="711"/>
      <c r="AD92" s="711"/>
      <c r="AE92" s="711"/>
      <c r="AF92" s="711"/>
      <c r="AG92" s="711"/>
      <c r="AH92" s="711"/>
      <c r="AI92" s="711"/>
      <c r="AJ92" s="745"/>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1"/>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c r="AA94" s="752"/>
      <c r="AB94" s="752"/>
      <c r="AC94" s="752"/>
      <c r="AD94" s="752"/>
      <c r="AE94" s="752"/>
      <c r="AF94" s="752"/>
      <c r="AG94" s="752"/>
      <c r="AH94" s="752"/>
      <c r="AI94" s="752"/>
      <c r="AJ94" s="753"/>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4"/>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c r="AA95" s="755"/>
      <c r="AB95" s="755"/>
      <c r="AC95" s="755"/>
      <c r="AD95" s="755"/>
      <c r="AE95" s="755"/>
      <c r="AF95" s="755"/>
      <c r="AG95" s="755"/>
      <c r="AH95" s="755"/>
      <c r="AI95" s="755"/>
      <c r="AJ95" s="756"/>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4"/>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c r="AA96" s="755"/>
      <c r="AB96" s="755"/>
      <c r="AC96" s="755"/>
      <c r="AD96" s="755"/>
      <c r="AE96" s="755"/>
      <c r="AF96" s="755"/>
      <c r="AG96" s="755"/>
      <c r="AH96" s="755"/>
      <c r="AI96" s="755"/>
      <c r="AJ96" s="756"/>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4"/>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c r="AA97" s="755"/>
      <c r="AB97" s="755"/>
      <c r="AC97" s="755"/>
      <c r="AD97" s="755"/>
      <c r="AE97" s="755"/>
      <c r="AF97" s="755"/>
      <c r="AG97" s="755"/>
      <c r="AH97" s="755"/>
      <c r="AI97" s="755"/>
      <c r="AJ97" s="756"/>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7"/>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c r="AA98" s="758"/>
      <c r="AB98" s="758"/>
      <c r="AC98" s="758"/>
      <c r="AD98" s="758"/>
      <c r="AE98" s="758"/>
      <c r="AF98" s="758"/>
      <c r="AG98" s="758"/>
      <c r="AH98" s="758"/>
      <c r="AI98" s="758"/>
      <c r="AJ98" s="759"/>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711" t="s">
        <v>364</v>
      </c>
      <c r="C101" s="711"/>
      <c r="D101" s="711"/>
      <c r="E101" s="711"/>
      <c r="F101" s="711"/>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7" t="s">
        <v>423</v>
      </c>
      <c r="C190" s="737"/>
      <c r="D190" s="737"/>
      <c r="E190" s="737"/>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7" t="s">
        <v>439</v>
      </c>
      <c r="C208" s="737"/>
      <c r="D208" s="737"/>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7" t="s">
        <v>441</v>
      </c>
      <c r="C226" s="737"/>
      <c r="D226" s="737"/>
      <c r="E226" s="737"/>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61" t="s">
        <v>48</v>
      </c>
      <c r="G232" s="761"/>
      <c r="H232" s="761"/>
      <c r="I232"/>
      <c r="J232" s="761" t="s">
        <v>1144</v>
      </c>
      <c r="K232" s="761"/>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39"/>
      <c r="K234" s="740"/>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60"/>
      <c r="K235" s="760"/>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39"/>
      <c r="K236" s="740"/>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60"/>
      <c r="K237" s="760"/>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39"/>
      <c r="K238" s="740"/>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60"/>
      <c r="K239" s="760"/>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39"/>
      <c r="K240" s="740"/>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60"/>
      <c r="K241" s="760"/>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39"/>
      <c r="K242" s="740"/>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60"/>
      <c r="K243" s="760"/>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39"/>
      <c r="K244" s="740"/>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60"/>
      <c r="K245" s="760"/>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39"/>
      <c r="K246" s="740"/>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60"/>
      <c r="K247" s="760"/>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39"/>
      <c r="K248" s="740"/>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60"/>
      <c r="K249" s="760"/>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39"/>
      <c r="K250" s="740"/>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60"/>
      <c r="K251" s="760"/>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39"/>
      <c r="K252" s="740"/>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60"/>
      <c r="K253" s="760"/>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39"/>
      <c r="K254" s="740"/>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60"/>
      <c r="K255" s="760"/>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39"/>
      <c r="K256" s="740"/>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60"/>
      <c r="K257" s="760"/>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39"/>
      <c r="K258" s="740"/>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60"/>
      <c r="K259" s="760"/>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39"/>
      <c r="K260" s="740"/>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60"/>
      <c r="K261" s="760"/>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39"/>
      <c r="K262" s="740"/>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60"/>
      <c r="K263" s="760"/>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39"/>
      <c r="K264" s="740"/>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60"/>
      <c r="K265" s="760"/>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39"/>
      <c r="K266" s="740"/>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60"/>
      <c r="K267" s="760"/>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39"/>
      <c r="K268" s="740"/>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60"/>
      <c r="K269" s="760"/>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39"/>
      <c r="K270" s="740"/>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60"/>
      <c r="K271" s="760"/>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39"/>
      <c r="K272" s="740"/>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699"/>
      <c r="K273" s="699"/>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D2:M2"/>
    <mergeCell ref="Q2:S2"/>
    <mergeCell ref="AF2:AJ2"/>
    <mergeCell ref="H4:K4"/>
    <mergeCell ref="Q4:S4"/>
    <mergeCell ref="H6:K6"/>
    <mergeCell ref="Q6:S6"/>
    <mergeCell ref="H8:K8"/>
    <mergeCell ref="Q8:S8"/>
    <mergeCell ref="Y8:AA8"/>
    <mergeCell ref="AF24:AG24"/>
    <mergeCell ref="AI24:AJ24"/>
    <mergeCell ref="H26:K26"/>
    <mergeCell ref="Q26:S26"/>
    <mergeCell ref="AF26:AG26"/>
    <mergeCell ref="AI26:AJ26"/>
    <mergeCell ref="H28:K28"/>
    <mergeCell ref="Q28:S28"/>
    <mergeCell ref="AF28:AG28"/>
    <mergeCell ref="AI28:AJ28"/>
    <mergeCell ref="H30:K30"/>
    <mergeCell ref="Q30:S30"/>
    <mergeCell ref="AF30:AG30"/>
    <mergeCell ref="AI30:AJ30"/>
    <mergeCell ref="H32:K32"/>
    <mergeCell ref="Q32:S32"/>
    <mergeCell ref="AF32:AG32"/>
    <mergeCell ref="AI32:AJ32"/>
    <mergeCell ref="H34:K34"/>
    <mergeCell ref="Q34:S34"/>
    <mergeCell ref="AF34:AG34"/>
    <mergeCell ref="AI34:AJ34"/>
    <mergeCell ref="H36:K36"/>
    <mergeCell ref="Q36:S36"/>
    <mergeCell ref="AF36:AG36"/>
    <mergeCell ref="AI36:AJ36"/>
    <mergeCell ref="H38:K38"/>
    <mergeCell ref="Q38:S38"/>
    <mergeCell ref="AF38:AG38"/>
    <mergeCell ref="AI38:AJ38"/>
    <mergeCell ref="Q40:S40"/>
    <mergeCell ref="AF40:AG40"/>
    <mergeCell ref="AI40:AJ40"/>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B101:F101"/>
    <mergeCell ref="B190:E190"/>
    <mergeCell ref="B208:D208"/>
    <mergeCell ref="B226:E226"/>
    <mergeCell ref="F232:H232"/>
    <mergeCell ref="J256:K256"/>
    <mergeCell ref="J257:K257"/>
    <mergeCell ref="J258:K258"/>
    <mergeCell ref="J259:K25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AT29"/>
  <sheetViews>
    <sheetView workbookViewId="0">
      <selection activeCell="H2" sqref="H2"/>
    </sheetView>
  </sheetViews>
  <sheetFormatPr defaultRowHeight="15" x14ac:dyDescent="0.25"/>
  <cols>
    <col min="2" max="2" width="20.5703125" style="77" customWidth="1"/>
    <col min="3" max="5" width="11" style="103" customWidth="1"/>
    <col min="6" max="6" width="11" style="604" customWidth="1"/>
    <col min="7" max="7" width="12.140625" style="604" customWidth="1"/>
    <col min="8" max="8" width="10.7109375" customWidth="1"/>
    <col min="10" max="10" width="12.42578125" customWidth="1"/>
    <col min="15" max="15" width="10.28515625" customWidth="1"/>
    <col min="16" max="16" width="10.7109375" customWidth="1"/>
    <col min="17" max="17" width="11.85546875" customWidth="1"/>
    <col min="21" max="21" width="11.140625" customWidth="1"/>
    <col min="22" max="22" width="9.5703125" customWidth="1"/>
  </cols>
  <sheetData>
    <row r="1" spans="1:46" x14ac:dyDescent="0.25">
      <c r="A1" s="34" t="s">
        <v>127</v>
      </c>
      <c r="B1" s="104" t="s">
        <v>78</v>
      </c>
      <c r="C1" s="139" t="s">
        <v>9</v>
      </c>
      <c r="D1" s="139" t="s">
        <v>42</v>
      </c>
      <c r="E1" s="139" t="s">
        <v>382</v>
      </c>
      <c r="F1" s="139" t="s">
        <v>629</v>
      </c>
      <c r="G1" s="139" t="s">
        <v>61</v>
      </c>
      <c r="H1" s="139" t="s">
        <v>640</v>
      </c>
      <c r="I1" s="139" t="s">
        <v>641</v>
      </c>
      <c r="J1" s="139" t="s">
        <v>642</v>
      </c>
      <c r="K1" s="139" t="s">
        <v>643</v>
      </c>
      <c r="L1" s="139" t="s">
        <v>644</v>
      </c>
      <c r="M1" s="139" t="s">
        <v>645</v>
      </c>
      <c r="N1" s="139" t="s">
        <v>1182</v>
      </c>
      <c r="O1" s="139" t="s">
        <v>818</v>
      </c>
      <c r="P1" s="139" t="s">
        <v>338</v>
      </c>
      <c r="Q1" s="139" t="s">
        <v>21</v>
      </c>
      <c r="R1" s="139" t="s">
        <v>336</v>
      </c>
      <c r="S1" s="139" t="s">
        <v>822</v>
      </c>
      <c r="T1" s="139" t="s">
        <v>823</v>
      </c>
      <c r="U1" s="139" t="s">
        <v>824</v>
      </c>
      <c r="V1" s="139" t="s">
        <v>825</v>
      </c>
      <c r="W1" s="139" t="s">
        <v>845</v>
      </c>
      <c r="X1" s="139" t="s">
        <v>846</v>
      </c>
      <c r="Y1" s="139" t="s">
        <v>1184</v>
      </c>
      <c r="Z1" s="139" t="s">
        <v>847</v>
      </c>
      <c r="AA1" s="139" t="s">
        <v>848</v>
      </c>
      <c r="AD1" s="139" t="s">
        <v>2</v>
      </c>
      <c r="AE1" s="139" t="s">
        <v>4</v>
      </c>
      <c r="AF1" s="139" t="s">
        <v>1218</v>
      </c>
      <c r="AG1" s="139" t="s">
        <v>333</v>
      </c>
      <c r="AH1" s="139" t="s">
        <v>1229</v>
      </c>
      <c r="AI1" s="139" t="s">
        <v>18</v>
      </c>
      <c r="AJ1" s="139" t="s">
        <v>21</v>
      </c>
      <c r="AK1" s="139" t="s">
        <v>24</v>
      </c>
      <c r="AL1" s="139" t="s">
        <v>26</v>
      </c>
      <c r="AM1" s="139" t="s">
        <v>347</v>
      </c>
      <c r="AN1" s="139" t="s">
        <v>28</v>
      </c>
      <c r="AO1" s="139" t="s">
        <v>30</v>
      </c>
      <c r="AP1" s="139" t="s">
        <v>35</v>
      </c>
      <c r="AQ1" s="139" t="s">
        <v>9</v>
      </c>
      <c r="AR1" s="139" t="s">
        <v>1678</v>
      </c>
      <c r="AS1" s="139" t="s">
        <v>1679</v>
      </c>
      <c r="AT1" s="139" t="s">
        <v>36</v>
      </c>
    </row>
    <row r="2" spans="1:46" ht="13.5" customHeight="1" x14ac:dyDescent="0.25">
      <c r="A2" t="s">
        <v>102</v>
      </c>
      <c r="B2" s="140" t="str">
        <f>'City 1'!$D$2</f>
        <v>Оленеград</v>
      </c>
      <c r="C2" s="105">
        <f>'City 1'!$D$50+'City 1'!$D$277</f>
        <v>0</v>
      </c>
      <c r="D2" s="105">
        <f>'City 1'!$U$62</f>
        <v>0</v>
      </c>
      <c r="E2" s="105">
        <f>'City 1'!$U$8</f>
        <v>1</v>
      </c>
      <c r="F2" s="605">
        <f>'City 1'!$AA$2</f>
        <v>0</v>
      </c>
      <c r="G2" s="607">
        <f>IF('City 1'!$AP$8="",0,IF('City 1'!$AP$8="Metropolis",(VLOOKUP('City 1'!$AP$8,'Drop Down'!$Y$14:$AD$17,6,FALSE)*'City 1'!$U$8),VLOOKUP('City 1'!$AP$8,'Drop Down'!$Y$14:$AD$17,6,FALSE)))+IF('City 1'!$M$28&lt;&gt;0,-1,0)</f>
        <v>0.5</v>
      </c>
      <c r="H2" s="475">
        <f>'City 1'!BK$92+'City 1'!O$4+'City 1'!$AQ$6</f>
        <v>-2</v>
      </c>
      <c r="I2" s="475">
        <f>'City 1'!BL$92+'City 1'!O$6+'City 1'!$AQ$6</f>
        <v>-2</v>
      </c>
      <c r="J2" s="475">
        <f>'City 1'!BM$92+'City 1'!W$10+'City 1'!$AQ$6</f>
        <v>-2</v>
      </c>
      <c r="K2" s="475">
        <f>'City 1'!BN$92+'City 1'!O$8+'City 1'!$AQ$6</f>
        <v>-2</v>
      </c>
      <c r="L2" s="475">
        <f>'City 1'!BO$92+'City 1'!O$10+'City 1'!$AQ$6</f>
        <v>-2</v>
      </c>
      <c r="M2" s="475">
        <f>'City 1'!BP$92+'City 1'!W$12+'City 1'!$AQ$6</f>
        <v>-2</v>
      </c>
      <c r="N2">
        <f>'City 1'!$D$66</f>
        <v>0</v>
      </c>
      <c r="O2">
        <f>'City 1'!$U$44</f>
        <v>0</v>
      </c>
      <c r="P2">
        <f>'City 1'!$M$26</f>
        <v>0</v>
      </c>
      <c r="Q2">
        <f>'City 1'!$M$46</f>
        <v>0</v>
      </c>
      <c r="R2">
        <f>'City 1'!$M$16</f>
        <v>0</v>
      </c>
      <c r="S2">
        <f>'City 1'!$U$36</f>
        <v>0</v>
      </c>
      <c r="T2">
        <f>'City 1'!$U$32</f>
        <v>0</v>
      </c>
      <c r="U2">
        <f>'City 1'!$U$54</f>
        <v>0</v>
      </c>
      <c r="V2">
        <f>'City 1'!$U$42</f>
        <v>0</v>
      </c>
      <c r="W2">
        <f>'City 1'!$D$20</f>
        <v>0</v>
      </c>
      <c r="X2">
        <f>'City 1'!$D$46</f>
        <v>0</v>
      </c>
      <c r="Y2">
        <f>'City 1'!$D$64</f>
        <v>0</v>
      </c>
      <c r="Z2">
        <f>'City 1'!$M$30</f>
        <v>0</v>
      </c>
      <c r="AA2">
        <f>'City 1'!$M$48</f>
        <v>0</v>
      </c>
      <c r="AD2">
        <f>'City 1'!$D$22</f>
        <v>0</v>
      </c>
      <c r="AE2">
        <f>'City 1'!$D$34</f>
        <v>0</v>
      </c>
      <c r="AF2">
        <f>'City 1'!$D$36</f>
        <v>0</v>
      </c>
      <c r="AG2">
        <f>'City 1'!$D$60</f>
        <v>0</v>
      </c>
      <c r="AH2">
        <f>'City 1'!$M$18</f>
        <v>0</v>
      </c>
      <c r="AI2">
        <f>'City 1'!$M$36</f>
        <v>0</v>
      </c>
      <c r="AJ2">
        <f>'City 1'!$M$46</f>
        <v>0</v>
      </c>
      <c r="AK2">
        <f>'City 1'!$M$54</f>
        <v>0</v>
      </c>
      <c r="AL2">
        <f>'City 1'!$M$66</f>
        <v>0</v>
      </c>
      <c r="AM2">
        <f>'City 1'!$U$24</f>
        <v>0</v>
      </c>
      <c r="AN2">
        <f>'City 1'!$U$26</f>
        <v>0</v>
      </c>
      <c r="AO2">
        <f>'City 1'!$U$32</f>
        <v>0</v>
      </c>
      <c r="AP2">
        <f>'City 1'!$U$44</f>
        <v>0</v>
      </c>
      <c r="AQ2">
        <f>'City 1'!$D$50+'City 1'!$D$277</f>
        <v>0</v>
      </c>
      <c r="AR2">
        <f>'City 1'!$M$24</f>
        <v>0</v>
      </c>
      <c r="AS2">
        <f>'City 1'!$U$34+'City 1'!$D$275</f>
        <v>1</v>
      </c>
      <c r="AT2">
        <f>'City 1'!$U$46+'City 1'!$D$276</f>
        <v>0</v>
      </c>
    </row>
    <row r="3" spans="1:46" x14ac:dyDescent="0.25">
      <c r="A3" t="s">
        <v>103</v>
      </c>
      <c r="B3" s="140">
        <f>'City 2'!$D$2</f>
        <v>0</v>
      </c>
      <c r="C3" s="105">
        <f>'City 2'!$D$50+'City 2'!$D$277</f>
        <v>0</v>
      </c>
      <c r="D3" s="105">
        <f>'City 2'!$U$62</f>
        <v>0</v>
      </c>
      <c r="E3" s="105">
        <f>'City 2'!$U$8</f>
        <v>0</v>
      </c>
      <c r="F3" s="605">
        <f>'City 2'!$AA$2</f>
        <v>0</v>
      </c>
      <c r="G3" s="607">
        <f>IF('City 2'!$AP$8="",0,IF('City 2'!$AP$8="Metropolis",(VLOOKUP('City 2'!$AP$8,'Drop Down'!$Y$14:$AD$17,6,FALSE)*'City 2'!$U$8),VLOOKUP('City 2'!$AP$8,'Drop Down'!$Y$14:$AD$17,6,FALSE)))+IF('City 2'!$M$26&lt;&gt;0,-1,0)</f>
        <v>0</v>
      </c>
      <c r="H3" s="475">
        <f>'City 2'!BK$92+'City 2'!O$4+'City 2'!$AQ$6</f>
        <v>0</v>
      </c>
      <c r="I3" s="475">
        <f>'City 2'!BL$92+'City 2'!O$6+'City 2'!$AQ$6</f>
        <v>0</v>
      </c>
      <c r="J3" s="475">
        <f>'City 2'!BM$92+'City 2'!W$8+'City 2'!$AQ$6</f>
        <v>0</v>
      </c>
      <c r="K3" s="475">
        <f>'City 2'!BN$92+'City 2'!O$8+'City 2'!$AQ$6</f>
        <v>0</v>
      </c>
      <c r="L3" s="475">
        <f>'City 2'!BO$92+'City 2'!O$10+'City 2'!$AQ$6</f>
        <v>0</v>
      </c>
      <c r="M3" s="475">
        <f>'City 2'!BP$92+'City 2'!W$10+'City 2'!$AQ$6</f>
        <v>0</v>
      </c>
      <c r="N3">
        <f>'City 2'!$D$66</f>
        <v>0</v>
      </c>
      <c r="O3">
        <f>'City 2'!$U$44</f>
        <v>0</v>
      </c>
      <c r="P3">
        <f>'City 2'!$M$26</f>
        <v>0</v>
      </c>
      <c r="Q3">
        <f>'City 2'!$M$46</f>
        <v>0</v>
      </c>
      <c r="R3">
        <f>'City 2'!$M$16</f>
        <v>0</v>
      </c>
      <c r="S3">
        <f>'City 2'!$U$36</f>
        <v>0</v>
      </c>
      <c r="T3">
        <f>'City 2'!$U$32</f>
        <v>0</v>
      </c>
      <c r="U3">
        <f>'City 2'!$U$54</f>
        <v>0</v>
      </c>
      <c r="V3">
        <f>'City 2'!$U$42</f>
        <v>0</v>
      </c>
      <c r="W3">
        <f>'City 2'!$D$20</f>
        <v>0</v>
      </c>
      <c r="X3">
        <f>'City 2'!$D$46</f>
        <v>0</v>
      </c>
      <c r="Y3">
        <f>'City 2'!$D$64</f>
        <v>0</v>
      </c>
      <c r="Z3">
        <f>'City 2'!$M$30</f>
        <v>0</v>
      </c>
      <c r="AA3">
        <f>'City 2'!$M$48</f>
        <v>0</v>
      </c>
      <c r="AD3">
        <f>'City 2'!$D$22</f>
        <v>0</v>
      </c>
      <c r="AE3">
        <f>'City 2'!$D$34</f>
        <v>0</v>
      </c>
      <c r="AF3">
        <f>'City 2'!$D$36</f>
        <v>0</v>
      </c>
      <c r="AG3">
        <f>'City 2'!$D$60</f>
        <v>0</v>
      </c>
      <c r="AH3">
        <f>'City 2'!$M$18</f>
        <v>0</v>
      </c>
      <c r="AI3">
        <f>'City 2'!$M$36</f>
        <v>0</v>
      </c>
      <c r="AJ3">
        <f>'City 2'!$M$46</f>
        <v>0</v>
      </c>
      <c r="AK3">
        <f>'City 2'!$M$54</f>
        <v>0</v>
      </c>
      <c r="AL3">
        <f>'City 2'!$M$66</f>
        <v>0</v>
      </c>
      <c r="AM3">
        <f>'City 2'!$U$24</f>
        <v>0</v>
      </c>
      <c r="AN3">
        <f>'City 2'!$U$26</f>
        <v>0</v>
      </c>
      <c r="AO3">
        <f>'City 2'!$U$32</f>
        <v>0</v>
      </c>
      <c r="AP3">
        <f>'City 2'!$U$44</f>
        <v>0</v>
      </c>
      <c r="AQ3">
        <f>'City 2'!$D$50+'City 2'!$D$277</f>
        <v>0</v>
      </c>
      <c r="AR3">
        <f>'City 2'!$M$24</f>
        <v>0</v>
      </c>
      <c r="AS3">
        <f>'City 2'!$U$34+'City 2'!$D$275</f>
        <v>0</v>
      </c>
      <c r="AT3">
        <f>'City 2'!$U$46+'City 2'!$D$276</f>
        <v>0</v>
      </c>
    </row>
    <row r="4" spans="1:46" x14ac:dyDescent="0.25">
      <c r="A4" t="s">
        <v>104</v>
      </c>
      <c r="B4" s="140">
        <f>'City 3'!$D$2</f>
        <v>0</v>
      </c>
      <c r="C4" s="105">
        <f>'City 3'!$D$50+'City 3'!$D$277</f>
        <v>0</v>
      </c>
      <c r="D4" s="105">
        <f>'City 3'!$U$62</f>
        <v>0</v>
      </c>
      <c r="E4" s="105">
        <f>'City 3'!$U$8</f>
        <v>0</v>
      </c>
      <c r="F4" s="605">
        <f>'City 3'!$AA$2</f>
        <v>0</v>
      </c>
      <c r="G4" s="607">
        <f>IF('City 3'!$AP$8="",0,IF('City 3'!$AP$8="Metropolis",(VLOOKUP('City 3'!$AP$8,'Drop Down'!$Y$14:$AD$17,6,FALSE)*'City 3'!$U$8),VLOOKUP('City 3'!$AP$8,'Drop Down'!$Y$14:$AD$17,6,FALSE)))+IF('City 3'!$M$26&lt;&gt;0,-1,0)</f>
        <v>0</v>
      </c>
      <c r="H4" s="475">
        <f>'City 3'!BK$92+'City 3'!O$4+'City 3'!$AQ$6</f>
        <v>0</v>
      </c>
      <c r="I4" s="475">
        <f>'City 3'!BL$92+'City 3'!O$6+'City 3'!$AQ$6</f>
        <v>0</v>
      </c>
      <c r="J4" s="475">
        <f>'City 3'!BM$92+'City 3'!W$8+'City 3'!$AQ$6</f>
        <v>0</v>
      </c>
      <c r="K4" s="475">
        <f>'City 3'!BN$92+'City 3'!O$8+'City 3'!$AQ$6</f>
        <v>0</v>
      </c>
      <c r="L4" s="475">
        <f>'City 3'!BO$92+'City 3'!O$10+'City 3'!$AQ$6</f>
        <v>0</v>
      </c>
      <c r="M4" s="475">
        <f>'City 3'!BP$92+'City 3'!W$10+'City 3'!$AQ$6</f>
        <v>0</v>
      </c>
      <c r="N4">
        <f>'City 3'!$D$66</f>
        <v>0</v>
      </c>
      <c r="O4">
        <f>'City 3'!$U$44</f>
        <v>0</v>
      </c>
      <c r="P4">
        <f>'City 3'!$M$26</f>
        <v>0</v>
      </c>
      <c r="Q4">
        <f>'City 3'!$M$46</f>
        <v>0</v>
      </c>
      <c r="R4">
        <f>'City 3'!$M$16</f>
        <v>0</v>
      </c>
      <c r="S4">
        <f>'City 3'!$U$36</f>
        <v>0</v>
      </c>
      <c r="T4">
        <f>'City 3'!$U$32</f>
        <v>0</v>
      </c>
      <c r="U4">
        <f>'City 3'!$U$54</f>
        <v>0</v>
      </c>
      <c r="V4">
        <f>'City 3'!$U$42</f>
        <v>0</v>
      </c>
      <c r="W4">
        <f>'City 3'!$D$20</f>
        <v>0</v>
      </c>
      <c r="X4">
        <f>'City 3'!$D$46</f>
        <v>0</v>
      </c>
      <c r="Y4">
        <f>'City 3'!$D$64</f>
        <v>0</v>
      </c>
      <c r="Z4">
        <f>'City 3'!$M$30</f>
        <v>0</v>
      </c>
      <c r="AA4">
        <f>'City 3'!$M$48</f>
        <v>0</v>
      </c>
      <c r="AD4">
        <f>'City 3'!$D$22</f>
        <v>0</v>
      </c>
      <c r="AE4">
        <f>'City 3'!$D$34</f>
        <v>0</v>
      </c>
      <c r="AF4">
        <f>'City 3'!$D$36</f>
        <v>0</v>
      </c>
      <c r="AG4">
        <f>'City 3'!$D$60</f>
        <v>0</v>
      </c>
      <c r="AH4">
        <f>'City 3'!$M$18</f>
        <v>0</v>
      </c>
      <c r="AI4">
        <f>'City 3'!$M$36</f>
        <v>0</v>
      </c>
      <c r="AJ4">
        <f>'City 3'!$M$46</f>
        <v>0</v>
      </c>
      <c r="AK4">
        <f>'City 3'!$M$54</f>
        <v>0</v>
      </c>
      <c r="AL4">
        <f>'City 3'!$M$66</f>
        <v>0</v>
      </c>
      <c r="AM4">
        <f>'City 3'!$U$24</f>
        <v>0</v>
      </c>
      <c r="AN4">
        <f>'City 3'!$U$26</f>
        <v>0</v>
      </c>
      <c r="AO4">
        <f>'City 3'!$U$32</f>
        <v>0</v>
      </c>
      <c r="AP4">
        <f>'City 3'!$U$44</f>
        <v>0</v>
      </c>
      <c r="AQ4">
        <f>'City 3'!$D$50+'City 3'!$D$277</f>
        <v>0</v>
      </c>
      <c r="AR4">
        <f>'City 3'!$M$24</f>
        <v>0</v>
      </c>
      <c r="AS4">
        <f>'City 3'!$U$34+'City 3'!$D$275</f>
        <v>0</v>
      </c>
      <c r="AT4">
        <f>'City 3'!$U$46+'City 3'!$D$276</f>
        <v>0</v>
      </c>
    </row>
    <row r="5" spans="1:46" x14ac:dyDescent="0.25">
      <c r="A5" t="s">
        <v>105</v>
      </c>
      <c r="B5" s="140">
        <f>'City 4'!$D$2</f>
        <v>0</v>
      </c>
      <c r="C5" s="105">
        <f>'City 4'!$D$50+'City 4'!$D$277</f>
        <v>0</v>
      </c>
      <c r="D5" s="105">
        <f>'City 4'!$U$62</f>
        <v>0</v>
      </c>
      <c r="E5" s="105">
        <f>'City 4'!$U$8</f>
        <v>0</v>
      </c>
      <c r="F5" s="605">
        <f>'City 4'!$AA$2</f>
        <v>0</v>
      </c>
      <c r="G5" s="607">
        <f>IF('City 4'!$AP$8="",0,IF('City 4'!$AP$8="Metropolis",(VLOOKUP('City 4'!$AP$8,'Drop Down'!$Y$14:$AD$17,6,FALSE)*'City 4'!$U$8),VLOOKUP('City 4'!$AP$8,'Drop Down'!$Y$14:$AD$17,6,FALSE)))+IF('City 4'!$M$26&lt;&gt;0,-1,0)</f>
        <v>0</v>
      </c>
      <c r="H5" s="475">
        <f>'City 4'!BK$92+'City 4'!O$4+'City 4'!$AQ$6</f>
        <v>0</v>
      </c>
      <c r="I5" s="475">
        <f>'City 4'!BL$92+'City 4'!O$6+'City 4'!$AQ$6</f>
        <v>0</v>
      </c>
      <c r="J5" s="475">
        <f>'City 4'!BM$92+'City 4'!W$8+'City 4'!$AQ$6</f>
        <v>0</v>
      </c>
      <c r="K5" s="475">
        <f>'City 4'!BN$92+'City 4'!O$8+'City 4'!$AQ$6</f>
        <v>0</v>
      </c>
      <c r="L5" s="475">
        <f>'City 4'!BO$92+'City 4'!O$10+'City 4'!$AQ$6</f>
        <v>0</v>
      </c>
      <c r="M5" s="475">
        <f>'City 4'!BP$92+'City 4'!W$10+'City 4'!$AQ$6</f>
        <v>0</v>
      </c>
      <c r="N5">
        <f>'City 4'!$D$66</f>
        <v>0</v>
      </c>
      <c r="O5">
        <f>'City 4'!$U$44</f>
        <v>0</v>
      </c>
      <c r="P5">
        <f>'City 4'!$M$26</f>
        <v>0</v>
      </c>
      <c r="Q5">
        <f>'City 4'!$M$46</f>
        <v>0</v>
      </c>
      <c r="R5">
        <f>'City 4'!$M$16</f>
        <v>0</v>
      </c>
      <c r="S5">
        <f>'City 4'!$U$36</f>
        <v>0</v>
      </c>
      <c r="T5">
        <f>'City 4'!$U$32</f>
        <v>0</v>
      </c>
      <c r="U5">
        <f>'City 4'!$U$54</f>
        <v>0</v>
      </c>
      <c r="V5">
        <f>'City 4'!$U$42</f>
        <v>0</v>
      </c>
      <c r="W5">
        <f>'City 4'!$D$20</f>
        <v>0</v>
      </c>
      <c r="X5">
        <f>'City 4'!$D$46</f>
        <v>0</v>
      </c>
      <c r="Y5">
        <f>'City 4'!$D$64</f>
        <v>0</v>
      </c>
      <c r="Z5">
        <f>'City 4'!$M$30</f>
        <v>0</v>
      </c>
      <c r="AA5">
        <f>'City 4'!$M$48</f>
        <v>0</v>
      </c>
      <c r="AD5">
        <f>'City 4'!$D$22</f>
        <v>0</v>
      </c>
      <c r="AE5">
        <f>'City 4'!$D$34</f>
        <v>0</v>
      </c>
      <c r="AF5">
        <f>'City 4'!$D$36</f>
        <v>0</v>
      </c>
      <c r="AG5">
        <f>'City 4'!$D$60</f>
        <v>0</v>
      </c>
      <c r="AH5">
        <f>'City 4'!$M$18</f>
        <v>0</v>
      </c>
      <c r="AI5">
        <f>'City 4'!$M$36</f>
        <v>0</v>
      </c>
      <c r="AJ5">
        <f>'City 4'!$M$46</f>
        <v>0</v>
      </c>
      <c r="AK5">
        <f>'City 4'!$M$54</f>
        <v>0</v>
      </c>
      <c r="AL5">
        <f>'City 4'!$M$66</f>
        <v>0</v>
      </c>
      <c r="AM5">
        <f>'City 4'!$U$24</f>
        <v>0</v>
      </c>
      <c r="AN5">
        <f>'City 4'!$U$26</f>
        <v>0</v>
      </c>
      <c r="AO5">
        <f>'City 4'!$U$32</f>
        <v>0</v>
      </c>
      <c r="AP5">
        <f>'City 4'!$U$44</f>
        <v>0</v>
      </c>
      <c r="AQ5">
        <f>'City 4'!$D$50+'City 4'!$D$277</f>
        <v>0</v>
      </c>
      <c r="AR5">
        <f>'City 4'!$M$24</f>
        <v>0</v>
      </c>
      <c r="AS5">
        <f>'City 4'!$U$34+'City 4'!$D$275</f>
        <v>0</v>
      </c>
      <c r="AT5">
        <f>'City 4'!$U$46+'City 4'!$D$276</f>
        <v>0</v>
      </c>
    </row>
    <row r="6" spans="1:46" x14ac:dyDescent="0.25">
      <c r="A6" t="s">
        <v>106</v>
      </c>
      <c r="B6" s="140">
        <f>'City 5'!$D$2</f>
        <v>0</v>
      </c>
      <c r="C6" s="105">
        <f>'City 5'!$D$50+'City 5'!$D$277</f>
        <v>0</v>
      </c>
      <c r="D6" s="105">
        <f>'City 5'!$U$62</f>
        <v>0</v>
      </c>
      <c r="E6" s="105">
        <f>'City 5'!$U$8</f>
        <v>0</v>
      </c>
      <c r="F6" s="605">
        <f>'City 5'!$AA$2</f>
        <v>0</v>
      </c>
      <c r="G6" s="607">
        <f>IF('City 5'!$AP$8="",0,IF('City 5'!$AP$8="Metropolis",(VLOOKUP('City 5'!$AP$8,'Drop Down'!$Y$14:$AD$17,6,FALSE)*'City 5'!$U$8),VLOOKUP('City 5'!$AP$8,'Drop Down'!$Y$14:$AD$17,6,FALSE)))+IF('City 5'!$M$26&lt;&gt;0,-1,0)</f>
        <v>0</v>
      </c>
      <c r="H6" s="475">
        <f>'City 5'!BK$92+'City 5'!O$4+'City 5'!$AQ$6</f>
        <v>0</v>
      </c>
      <c r="I6" s="475">
        <f>'City 5'!BL$92+'City 5'!O$6+'City 5'!$AQ$6</f>
        <v>0</v>
      </c>
      <c r="J6" s="475">
        <f>'City 5'!BM$92+'City 5'!W$8+'City 5'!$AQ$6</f>
        <v>0</v>
      </c>
      <c r="K6" s="475">
        <f>'City 5'!BN$92+'City 5'!O$8+'City 5'!$AQ$6</f>
        <v>0</v>
      </c>
      <c r="L6" s="475">
        <f>'City 5'!BO$92+'City 5'!O$10+'City 5'!$AQ$6</f>
        <v>0</v>
      </c>
      <c r="M6" s="475">
        <f>'City 5'!BP$92+'City 5'!W$10+'City 5'!$AQ$6</f>
        <v>0</v>
      </c>
      <c r="N6">
        <f>'City 5'!$D$66</f>
        <v>0</v>
      </c>
      <c r="O6">
        <f>'City 5'!$U$44</f>
        <v>0</v>
      </c>
      <c r="P6">
        <f>'City 5'!$M$26</f>
        <v>0</v>
      </c>
      <c r="Q6">
        <f>'City 5'!$M$46</f>
        <v>0</v>
      </c>
      <c r="R6">
        <f>'City 5'!$M$16</f>
        <v>0</v>
      </c>
      <c r="S6">
        <f>'City 5'!$U$36</f>
        <v>0</v>
      </c>
      <c r="T6">
        <f>'City 5'!$U$32</f>
        <v>0</v>
      </c>
      <c r="U6">
        <f>'City 5'!$U$54</f>
        <v>0</v>
      </c>
      <c r="V6">
        <f>'City 5'!$U$42</f>
        <v>0</v>
      </c>
      <c r="W6">
        <f>'City 5'!$D$20</f>
        <v>0</v>
      </c>
      <c r="X6">
        <f>'City 5'!$D$46</f>
        <v>0</v>
      </c>
      <c r="Y6">
        <f>'City 5'!$D$64</f>
        <v>0</v>
      </c>
      <c r="Z6">
        <f>'City 5'!$M$30</f>
        <v>0</v>
      </c>
      <c r="AA6">
        <f>'City 5'!$M$48</f>
        <v>0</v>
      </c>
      <c r="AD6">
        <f>'City 5'!$D$22</f>
        <v>0</v>
      </c>
      <c r="AE6">
        <f>'City 5'!$D$34</f>
        <v>0</v>
      </c>
      <c r="AF6">
        <f>'City 5'!$D$36</f>
        <v>0</v>
      </c>
      <c r="AG6">
        <f>'City 5'!$D$60</f>
        <v>0</v>
      </c>
      <c r="AH6">
        <f>'City 5'!$M$18</f>
        <v>0</v>
      </c>
      <c r="AI6">
        <f>'City 5'!$M$36</f>
        <v>0</v>
      </c>
      <c r="AJ6">
        <f>'City 5'!$M$46</f>
        <v>0</v>
      </c>
      <c r="AK6">
        <f>'City 5'!$M$54</f>
        <v>0</v>
      </c>
      <c r="AL6">
        <f>'City 5'!$M$66</f>
        <v>0</v>
      </c>
      <c r="AM6">
        <f>'City 5'!$U$24</f>
        <v>0</v>
      </c>
      <c r="AN6">
        <f>'City 5'!$U$26</f>
        <v>0</v>
      </c>
      <c r="AO6">
        <f>'City 5'!$U$32</f>
        <v>0</v>
      </c>
      <c r="AP6">
        <f>'City 5'!$U$44</f>
        <v>0</v>
      </c>
      <c r="AQ6">
        <f>'City 5'!$D$50+'City 5'!$D$277</f>
        <v>0</v>
      </c>
      <c r="AR6">
        <f>'City 5'!$M$24</f>
        <v>0</v>
      </c>
      <c r="AS6">
        <f>'City 5'!$U$34+'City 5'!$D$275</f>
        <v>0</v>
      </c>
      <c r="AT6">
        <f>'City 5'!$U$46+'City 5'!$D$276</f>
        <v>0</v>
      </c>
    </row>
    <row r="7" spans="1:46" x14ac:dyDescent="0.25">
      <c r="A7" t="s">
        <v>107</v>
      </c>
      <c r="B7" s="140">
        <f>'City 6'!$D$2</f>
        <v>0</v>
      </c>
      <c r="C7" s="105">
        <f>'City 6'!$D$50+'City 6'!$D$277</f>
        <v>0</v>
      </c>
      <c r="D7" s="105">
        <f>'City 6'!$U$62</f>
        <v>0</v>
      </c>
      <c r="E7" s="105">
        <f>'City 8'!$U$8</f>
        <v>0</v>
      </c>
      <c r="F7" s="605">
        <f>'City 6'!$AA$2</f>
        <v>0</v>
      </c>
      <c r="G7" s="607">
        <f>IF('City 6'!$AP$8="",0,IF('City 6'!$AP$8="Metropolis",(VLOOKUP('City 6'!$AP$8,'Drop Down'!$Y$14:$AD$17,6,FALSE)*'City 6'!$U$8),VLOOKUP('City 6'!$AP$8,'Drop Down'!$Y$14:$AD$17,6,FALSE)))+IF('City 6'!$M$26&lt;&gt;0,-1,0)</f>
        <v>0</v>
      </c>
      <c r="H7" s="475">
        <f>'City 6'!BK$92+'City 6'!O$4+'City 6'!$AQ$6</f>
        <v>0</v>
      </c>
      <c r="I7" s="475">
        <f>'City 6'!BL$92+'City 6'!O$6+'City 6'!$AQ$6</f>
        <v>0</v>
      </c>
      <c r="J7" s="475">
        <f>'City 6'!BM$92+'City 6'!W$8+'City 6'!$AQ$6</f>
        <v>0</v>
      </c>
      <c r="K7" s="475">
        <f>'City 6'!BN$92+'City 6'!O$8+'City 6'!$AQ$6</f>
        <v>0</v>
      </c>
      <c r="L7" s="475">
        <f>'City 6'!BO$92+'City 6'!O$10+'City 6'!$AQ$6</f>
        <v>0</v>
      </c>
      <c r="M7" s="475">
        <f>'City 6'!BP$92+'City 6'!W$10+'City 6'!$AQ$6</f>
        <v>0</v>
      </c>
      <c r="N7">
        <f>'City 6'!$D$66</f>
        <v>0</v>
      </c>
      <c r="O7">
        <f>'City 6'!$U$44</f>
        <v>0</v>
      </c>
      <c r="P7">
        <f>'City 6'!$M$26</f>
        <v>0</v>
      </c>
      <c r="Q7">
        <f>'City 6'!$M$46</f>
        <v>0</v>
      </c>
      <c r="R7">
        <f>'City 6'!$M$16</f>
        <v>0</v>
      </c>
      <c r="S7">
        <f>'City 6'!$U$36</f>
        <v>0</v>
      </c>
      <c r="T7">
        <f>'City 6'!$U$32</f>
        <v>0</v>
      </c>
      <c r="U7">
        <f>'City 6'!$U$54</f>
        <v>0</v>
      </c>
      <c r="V7">
        <f>'City 6'!$U$42</f>
        <v>0</v>
      </c>
      <c r="W7">
        <f>'City 6'!$D$20</f>
        <v>0</v>
      </c>
      <c r="X7">
        <f>'City 6'!$D$46</f>
        <v>0</v>
      </c>
      <c r="Y7">
        <f>'City 6'!$D$64</f>
        <v>0</v>
      </c>
      <c r="Z7">
        <f>'City 6'!$M$30</f>
        <v>0</v>
      </c>
      <c r="AA7">
        <f>'City 6'!$M$48</f>
        <v>0</v>
      </c>
      <c r="AD7">
        <f>'City 6'!$D$22</f>
        <v>0</v>
      </c>
      <c r="AE7">
        <f>'City 6'!$D$34</f>
        <v>0</v>
      </c>
      <c r="AF7">
        <f>'City 6'!$D$36</f>
        <v>0</v>
      </c>
      <c r="AG7">
        <f>'City 6'!$D$60</f>
        <v>0</v>
      </c>
      <c r="AH7">
        <f>'City 6'!$M$18</f>
        <v>0</v>
      </c>
      <c r="AI7">
        <f>'City 6'!$M$36</f>
        <v>0</v>
      </c>
      <c r="AJ7">
        <f>'City 6'!$M$46</f>
        <v>0</v>
      </c>
      <c r="AK7">
        <f>'City 6'!$M$54</f>
        <v>0</v>
      </c>
      <c r="AL7">
        <f>'City 6'!$M$66</f>
        <v>0</v>
      </c>
      <c r="AM7">
        <f>'City 6'!$U$24</f>
        <v>0</v>
      </c>
      <c r="AN7">
        <f>'City 6'!$U$26</f>
        <v>0</v>
      </c>
      <c r="AO7">
        <f>'City 6'!$U$32</f>
        <v>0</v>
      </c>
      <c r="AP7">
        <f>'City 6'!$U$44</f>
        <v>0</v>
      </c>
      <c r="AQ7">
        <f>'City 6'!$D$50+'City 6'!$D$277</f>
        <v>0</v>
      </c>
      <c r="AR7">
        <f>'City 6'!$M$24</f>
        <v>0</v>
      </c>
      <c r="AS7">
        <f>'City 6'!$U$34+'City 6'!$D$275</f>
        <v>0</v>
      </c>
      <c r="AT7">
        <f>'City 6'!$U$46+'City 6'!$D$276</f>
        <v>0</v>
      </c>
    </row>
    <row r="8" spans="1:46" x14ac:dyDescent="0.25">
      <c r="A8" t="s">
        <v>108</v>
      </c>
      <c r="B8" s="140">
        <f>'City 7'!$D$2</f>
        <v>0</v>
      </c>
      <c r="C8" s="105">
        <f>'City 7'!$D$50+'City 7'!$D$277</f>
        <v>0</v>
      </c>
      <c r="D8" s="105">
        <f>'City 7'!$U$62</f>
        <v>0</v>
      </c>
      <c r="E8" s="105">
        <f>'City 7'!$U$8</f>
        <v>0</v>
      </c>
      <c r="F8" s="605">
        <f>'City 7'!$AA$2</f>
        <v>0</v>
      </c>
      <c r="G8" s="607">
        <f>IF('City 7'!$AP$8="",0,IF('City 7'!$AP$8="Metropolis",(VLOOKUP('City 7'!$AP$8,'Drop Down'!$Y$14:$AD$17,6,FALSE)*'City 7'!$U$8),VLOOKUP('City 7'!$AP$8,'Drop Down'!$Y$14:$AD$17,6,FALSE)))+IF('City 7'!$M$26&lt;&gt;0,-1,0)</f>
        <v>0</v>
      </c>
      <c r="H8" s="475">
        <f>'City 7'!BK$92+'City 7'!O$4+'City 7'!$AQ$6</f>
        <v>0</v>
      </c>
      <c r="I8" s="475">
        <f>'City 7'!BL$92+'City 7'!O$6+'City 7'!$AQ$6</f>
        <v>0</v>
      </c>
      <c r="J8" s="475">
        <f>'City 7'!BM$92+'City 7'!W$8+'City 7'!$AQ$6</f>
        <v>0</v>
      </c>
      <c r="K8" s="475">
        <f>'City 7'!BN$92+'City 7'!O$8+'City 7'!$AQ$6</f>
        <v>0</v>
      </c>
      <c r="L8" s="475">
        <f>'City 7'!BO$92+'City 7'!O$10+'City 7'!$AQ$6</f>
        <v>0</v>
      </c>
      <c r="M8" s="475">
        <f>'City 7'!BP$92+'City 7'!W$10+'City 7'!$AQ$6</f>
        <v>0</v>
      </c>
      <c r="N8">
        <f>'City 7'!$D$66</f>
        <v>0</v>
      </c>
      <c r="O8">
        <f>'City 7'!$U$44</f>
        <v>0</v>
      </c>
      <c r="P8">
        <f>'City 7'!$M$26</f>
        <v>0</v>
      </c>
      <c r="Q8">
        <f>'City 7'!$M$46</f>
        <v>0</v>
      </c>
      <c r="R8">
        <f>'City 7'!$M$16</f>
        <v>0</v>
      </c>
      <c r="S8">
        <f>'City 7'!$U$36</f>
        <v>0</v>
      </c>
      <c r="T8">
        <f>'City 7'!$U$32</f>
        <v>0</v>
      </c>
      <c r="U8">
        <f>'City 7'!$U$54</f>
        <v>0</v>
      </c>
      <c r="V8">
        <f>'City 7'!$U$42</f>
        <v>0</v>
      </c>
      <c r="W8">
        <f>'City 7'!$D$20</f>
        <v>0</v>
      </c>
      <c r="X8">
        <f>'City 7'!$D$46</f>
        <v>0</v>
      </c>
      <c r="Y8">
        <f>'City 7'!$D$64</f>
        <v>0</v>
      </c>
      <c r="Z8">
        <f>'City 7'!$M$30</f>
        <v>0</v>
      </c>
      <c r="AA8">
        <f>'City 7'!$M$48</f>
        <v>0</v>
      </c>
      <c r="AD8">
        <f>'City 7'!$D$22</f>
        <v>0</v>
      </c>
      <c r="AE8">
        <f>'City 7'!$D$34</f>
        <v>0</v>
      </c>
      <c r="AF8">
        <f>'City 7'!$D$36</f>
        <v>0</v>
      </c>
      <c r="AG8">
        <f>'City 7'!$D$60</f>
        <v>0</v>
      </c>
      <c r="AH8">
        <f>'City 7'!$M$18</f>
        <v>0</v>
      </c>
      <c r="AI8">
        <f>'City 7'!$M$36</f>
        <v>0</v>
      </c>
      <c r="AJ8">
        <f>'City 7'!$M$46</f>
        <v>0</v>
      </c>
      <c r="AK8">
        <f>'City 7'!$M$54</f>
        <v>0</v>
      </c>
      <c r="AL8">
        <f>'City 7'!$M$66</f>
        <v>0</v>
      </c>
      <c r="AM8">
        <f>'City 7'!$U$24</f>
        <v>0</v>
      </c>
      <c r="AN8">
        <f>'City 7'!$U$26</f>
        <v>0</v>
      </c>
      <c r="AO8">
        <f>'City 7'!$U$32</f>
        <v>0</v>
      </c>
      <c r="AP8">
        <f>'City 7'!$U$44</f>
        <v>0</v>
      </c>
      <c r="AQ8">
        <f>'City 7'!$D$50+'City 7'!$D$277</f>
        <v>0</v>
      </c>
      <c r="AR8">
        <f>'City 7'!$M$24</f>
        <v>0</v>
      </c>
      <c r="AS8">
        <f>'City 7'!$U$34+'City 7'!$D$275</f>
        <v>0</v>
      </c>
      <c r="AT8">
        <f>'City 7'!$U$46+'City 7'!$D$276</f>
        <v>0</v>
      </c>
    </row>
    <row r="9" spans="1:46" x14ac:dyDescent="0.25">
      <c r="A9" t="s">
        <v>109</v>
      </c>
      <c r="B9" s="140">
        <f>'City 8'!$D$2</f>
        <v>0</v>
      </c>
      <c r="C9" s="105">
        <f>'City 8'!$D$50+'City 8'!$D$277</f>
        <v>0</v>
      </c>
      <c r="D9" s="105">
        <f>'City 8'!$U$62</f>
        <v>0</v>
      </c>
      <c r="E9" s="105">
        <f>'City 8'!$U$8</f>
        <v>0</v>
      </c>
      <c r="F9" s="605">
        <f>'City 8'!$AA$2</f>
        <v>0</v>
      </c>
      <c r="G9" s="607">
        <f>IF('City 8'!$AP$8="",0,IF('City 8'!$AP$8="Metropolis",(VLOOKUP('City 8'!$AP$8,'Drop Down'!$Y$14:$AD$17,6,FALSE)*'City 8'!$U$8),VLOOKUP('City 8'!$AP$8,'Drop Down'!$Y$14:$AD$17,6,FALSE)))+IF('City 8'!$M$26&lt;&gt;0,-1,0)</f>
        <v>0</v>
      </c>
      <c r="H9" s="475">
        <f>'City 8'!BK$92+'City 8'!O$4+'City 8'!$AQ$6</f>
        <v>0</v>
      </c>
      <c r="I9" s="475">
        <f>'City 8'!BL$92+'City 8'!O$6+'City 8'!$AQ$6</f>
        <v>0</v>
      </c>
      <c r="J9" s="475">
        <f>'City 8'!BM$92+'City 8'!W$8+'City 8'!$AQ$6</f>
        <v>0</v>
      </c>
      <c r="K9" s="475">
        <f>'City 8'!BN$92+'City 8'!O$8+'City 8'!$AQ$6</f>
        <v>0</v>
      </c>
      <c r="L9" s="475">
        <f>'City 8'!BO$92+'City 8'!O$10+'City 8'!$AQ$6</f>
        <v>0</v>
      </c>
      <c r="M9" s="475">
        <f>'City 8'!BP$92+'City 8'!W$10+'City 8'!$AQ$6</f>
        <v>0</v>
      </c>
      <c r="N9">
        <f>'City 8'!$D$66</f>
        <v>0</v>
      </c>
      <c r="O9">
        <f>'City 8'!$U$44</f>
        <v>0</v>
      </c>
      <c r="P9">
        <f>'City 8'!$M$26</f>
        <v>0</v>
      </c>
      <c r="Q9">
        <f>'City 8'!$M$46</f>
        <v>0</v>
      </c>
      <c r="R9">
        <f>'City 8'!$M$16</f>
        <v>0</v>
      </c>
      <c r="S9">
        <f>'City 8'!$U$36</f>
        <v>0</v>
      </c>
      <c r="T9">
        <f>'City 8'!$U$32</f>
        <v>0</v>
      </c>
      <c r="U9">
        <f>'City 8'!$U$54</f>
        <v>0</v>
      </c>
      <c r="V9">
        <f>'City 8'!$U$42</f>
        <v>0</v>
      </c>
      <c r="W9">
        <f>'City 8'!$D$20</f>
        <v>0</v>
      </c>
      <c r="X9">
        <f>'City 8'!$D$46</f>
        <v>0</v>
      </c>
      <c r="Y9">
        <f>'City 8'!$D$64</f>
        <v>0</v>
      </c>
      <c r="Z9">
        <f>'City 8'!$M$30</f>
        <v>0</v>
      </c>
      <c r="AA9">
        <f>'City 8'!$M$48</f>
        <v>0</v>
      </c>
      <c r="AD9">
        <f>'City 8'!$D$22</f>
        <v>0</v>
      </c>
      <c r="AE9">
        <f>'City 8'!$D$34</f>
        <v>0</v>
      </c>
      <c r="AF9">
        <f>'City 8'!$D$36</f>
        <v>0</v>
      </c>
      <c r="AG9">
        <f>'City 8'!$D$60</f>
        <v>0</v>
      </c>
      <c r="AH9">
        <f>'City 8'!$M$18</f>
        <v>0</v>
      </c>
      <c r="AI9">
        <f>'City 8'!$M$36</f>
        <v>0</v>
      </c>
      <c r="AJ9">
        <f>'City 8'!$M$46</f>
        <v>0</v>
      </c>
      <c r="AK9">
        <f>'City 8'!$M$54</f>
        <v>0</v>
      </c>
      <c r="AL9">
        <f>'City 8'!$M$66</f>
        <v>0</v>
      </c>
      <c r="AM9">
        <f>'City 8'!$U$24</f>
        <v>0</v>
      </c>
      <c r="AN9">
        <f>'City 8'!$U$26</f>
        <v>0</v>
      </c>
      <c r="AO9">
        <f>'City 8'!$U$32</f>
        <v>0</v>
      </c>
      <c r="AP9">
        <f>'City 8'!$U$44</f>
        <v>0</v>
      </c>
      <c r="AQ9">
        <f>'City 8'!$D$50+'City 8'!$D$277</f>
        <v>0</v>
      </c>
      <c r="AR9">
        <f>'City 8'!$M$24</f>
        <v>0</v>
      </c>
      <c r="AS9">
        <f>'City 8'!$U$34+'City 8'!$D$275</f>
        <v>0</v>
      </c>
      <c r="AT9">
        <f>'City 8'!$U$46+'City 8'!$D$276</f>
        <v>0</v>
      </c>
    </row>
    <row r="10" spans="1:46" x14ac:dyDescent="0.25">
      <c r="A10" t="s">
        <v>110</v>
      </c>
      <c r="B10" s="140">
        <f>'City 9'!$D$2</f>
        <v>0</v>
      </c>
      <c r="C10" s="105">
        <f>'City 9'!$D$50+'City 9'!$D$277</f>
        <v>0</v>
      </c>
      <c r="D10" s="105">
        <f>'City 9'!$U$62</f>
        <v>0</v>
      </c>
      <c r="E10" s="105">
        <f>'City 9'!$U$8</f>
        <v>0</v>
      </c>
      <c r="F10" s="605">
        <f>'City 9'!$AA$2</f>
        <v>0</v>
      </c>
      <c r="G10" s="607">
        <f>IF('City 9'!$AP$8="",0,IF('City 9'!$AP$8="Metropolis",(VLOOKUP('City 9'!$AP$8,'Drop Down'!$Y$14:$AD$17,6,FALSE)*'City 9'!$U$8),VLOOKUP('City 9'!$AP$8,'Drop Down'!$Y$14:$AD$17,6,FALSE)))+IF('City 9'!$M$26&lt;&gt;0,-1,0)</f>
        <v>0</v>
      </c>
      <c r="H10" s="475">
        <f>'City 9'!BK$92+'City 9'!O$4+'City 9'!$AQ$6</f>
        <v>0</v>
      </c>
      <c r="I10" s="475">
        <f>'City 9'!BL$92+'City 9'!O$6+'City 9'!$AQ$6</f>
        <v>0</v>
      </c>
      <c r="J10" s="475">
        <f>'City 9'!BM$92+'City 9'!W$8+'City 9'!$AQ$6</f>
        <v>0</v>
      </c>
      <c r="K10" s="475">
        <f>'City 9'!BN$92+'City 9'!O$8+'City 9'!$AQ$6</f>
        <v>0</v>
      </c>
      <c r="L10" s="475">
        <f>'City 9'!BO$92+'City 9'!O$10+'City 9'!$AQ$6</f>
        <v>0</v>
      </c>
      <c r="M10" s="475">
        <f>'City 9'!BP$92+'City 9'!W$10+'City 9'!$AQ$6</f>
        <v>0</v>
      </c>
      <c r="N10">
        <f>'City 9'!$D$66</f>
        <v>0</v>
      </c>
      <c r="O10">
        <f>'City 9'!$U$44</f>
        <v>0</v>
      </c>
      <c r="P10">
        <f>'City 9'!$M$26</f>
        <v>0</v>
      </c>
      <c r="Q10">
        <f>'City 9'!$M$46</f>
        <v>0</v>
      </c>
      <c r="R10">
        <f>'City 9'!$M$16</f>
        <v>0</v>
      </c>
      <c r="S10">
        <f>'City 9'!$U$36</f>
        <v>0</v>
      </c>
      <c r="T10">
        <f>'City 9'!$U$32</f>
        <v>0</v>
      </c>
      <c r="U10">
        <f>'City 9'!$U$54</f>
        <v>0</v>
      </c>
      <c r="V10">
        <f>'City 9'!$U$42</f>
        <v>0</v>
      </c>
      <c r="W10">
        <f>'City 9'!$D$20</f>
        <v>0</v>
      </c>
      <c r="X10">
        <f>'City 9'!$D$46</f>
        <v>0</v>
      </c>
      <c r="Y10">
        <f>'City 9'!$D$64</f>
        <v>0</v>
      </c>
      <c r="Z10">
        <f>'City 9'!$M$30</f>
        <v>0</v>
      </c>
      <c r="AA10">
        <f>'City 9'!$M$48</f>
        <v>0</v>
      </c>
      <c r="AD10">
        <f>'City 9'!$D$22</f>
        <v>0</v>
      </c>
      <c r="AE10">
        <f>'City 9'!$D$34</f>
        <v>0</v>
      </c>
      <c r="AF10">
        <f>'City 9'!$D$36</f>
        <v>0</v>
      </c>
      <c r="AG10">
        <f>'City 9'!$D$60</f>
        <v>0</v>
      </c>
      <c r="AH10">
        <f>'City 9'!$M$18</f>
        <v>0</v>
      </c>
      <c r="AI10">
        <f>'City 9'!$M$36</f>
        <v>0</v>
      </c>
      <c r="AJ10">
        <f>'City 9'!$M$46</f>
        <v>0</v>
      </c>
      <c r="AK10">
        <f>'City 9'!$M$54</f>
        <v>0</v>
      </c>
      <c r="AL10">
        <f>'City 9'!$M$66</f>
        <v>0</v>
      </c>
      <c r="AM10">
        <f>'City 9'!$U$24</f>
        <v>0</v>
      </c>
      <c r="AN10">
        <f>'City 9'!$U$26</f>
        <v>0</v>
      </c>
      <c r="AO10">
        <f>'City 9'!$U$32</f>
        <v>0</v>
      </c>
      <c r="AP10">
        <f>'City 9'!$U$44</f>
        <v>0</v>
      </c>
      <c r="AQ10">
        <f>'City 9'!$D$50+'City 9'!$D$277</f>
        <v>0</v>
      </c>
      <c r="AR10">
        <f>'City 9'!$M$24</f>
        <v>0</v>
      </c>
      <c r="AS10">
        <f>'City 9'!$U$34+'City 9'!$D$275</f>
        <v>0</v>
      </c>
      <c r="AT10">
        <f>'City 9'!$U$46+'City 9'!$D$276</f>
        <v>0</v>
      </c>
    </row>
    <row r="11" spans="1:46" x14ac:dyDescent="0.25">
      <c r="A11" t="s">
        <v>111</v>
      </c>
      <c r="B11" s="140">
        <f>'City 10'!$D$2</f>
        <v>0</v>
      </c>
      <c r="C11" s="105">
        <f>'City 10'!$D$50+'City 10'!$D$277</f>
        <v>0</v>
      </c>
      <c r="D11" s="105">
        <f>'City 10'!$U$62</f>
        <v>0</v>
      </c>
      <c r="E11" s="105">
        <f>'City 10'!$U$8</f>
        <v>0</v>
      </c>
      <c r="F11" s="605">
        <f>'City 10'!$AA$2</f>
        <v>0</v>
      </c>
      <c r="G11" s="607">
        <f>IF('City 10'!$AP$8="",0,IF('City 10'!$AP$8="Metropolis",(VLOOKUP('City 10'!$AP$8,'Drop Down'!$Y$14:$AD$17,6,FALSE)*'City 10'!$U$8),VLOOKUP('City 10'!$AP$8,'Drop Down'!$Y$14:$AD$17,6,FALSE)))+IF('City 10'!$M$26&lt;&gt;0,-1,0)</f>
        <v>0</v>
      </c>
      <c r="H11" s="475">
        <f>'City 10'!BK$92+'City 10'!O$4+'City 10'!$AQ$6</f>
        <v>0</v>
      </c>
      <c r="I11" s="475">
        <f>'City 10'!BL$92+'City 10'!O$6+'City 10'!$AQ$6</f>
        <v>0</v>
      </c>
      <c r="J11" s="475">
        <f>'City 10'!BM$92+'City 10'!W$8+'City 10'!$AQ$6</f>
        <v>0</v>
      </c>
      <c r="K11" s="475">
        <f>'City 10'!BN$92+'City 10'!O$8+'City 10'!$AQ$6</f>
        <v>0</v>
      </c>
      <c r="L11" s="475">
        <f>'City 10'!BO$92+'City 10'!O$10+'City 10'!$AQ$6</f>
        <v>0</v>
      </c>
      <c r="M11" s="475">
        <f>'City 10'!BP$92+'City 10'!W$10+'City 10'!$AQ$6</f>
        <v>0</v>
      </c>
      <c r="N11">
        <f>'City 10'!$D$66</f>
        <v>0</v>
      </c>
      <c r="O11">
        <f>'City 10'!$U$44</f>
        <v>0</v>
      </c>
      <c r="P11">
        <f>'City 10'!$M$26</f>
        <v>0</v>
      </c>
      <c r="Q11">
        <f>'City 10'!$M$46</f>
        <v>0</v>
      </c>
      <c r="R11">
        <f>'City 10'!$M$16</f>
        <v>0</v>
      </c>
      <c r="S11">
        <f>'City 10'!$U$36</f>
        <v>0</v>
      </c>
      <c r="T11">
        <f>'City 10'!$U$32</f>
        <v>0</v>
      </c>
      <c r="U11">
        <f>'City 10'!$U$54</f>
        <v>0</v>
      </c>
      <c r="V11">
        <f>'City 10'!$U$42</f>
        <v>0</v>
      </c>
      <c r="W11">
        <f>'City 10'!$D$20</f>
        <v>0</v>
      </c>
      <c r="X11">
        <f>'City 10'!$D$46</f>
        <v>0</v>
      </c>
      <c r="Y11">
        <f>'City 10'!$D$64</f>
        <v>0</v>
      </c>
      <c r="Z11">
        <f>'City 10'!$M$30</f>
        <v>0</v>
      </c>
      <c r="AA11">
        <f>'City 10'!$M$48</f>
        <v>0</v>
      </c>
      <c r="AD11">
        <f>'City 10'!$D$22</f>
        <v>0</v>
      </c>
      <c r="AE11">
        <f>'City 10'!$D$34</f>
        <v>0</v>
      </c>
      <c r="AF11">
        <f>'City 10'!$D$36</f>
        <v>0</v>
      </c>
      <c r="AG11">
        <f>'City 10'!$D$60</f>
        <v>0</v>
      </c>
      <c r="AH11">
        <f>'City 10'!$M$18</f>
        <v>0</v>
      </c>
      <c r="AI11">
        <f>'City 10'!$M$36</f>
        <v>0</v>
      </c>
      <c r="AJ11">
        <f>'City 10'!$M$46</f>
        <v>0</v>
      </c>
      <c r="AK11">
        <f>'City 10'!$M$54</f>
        <v>0</v>
      </c>
      <c r="AL11">
        <f>'City 10'!$M$66</f>
        <v>0</v>
      </c>
      <c r="AM11">
        <f>'City 10'!$U$24</f>
        <v>0</v>
      </c>
      <c r="AN11">
        <f>'City 10'!$U$26</f>
        <v>0</v>
      </c>
      <c r="AO11">
        <f>'City 10'!$U$32</f>
        <v>0</v>
      </c>
      <c r="AP11">
        <f>'City 10'!$U$44</f>
        <v>0</v>
      </c>
      <c r="AQ11">
        <f>'City 10'!$D$50+'City 10'!$D$277</f>
        <v>0</v>
      </c>
      <c r="AR11">
        <f>'City 10'!$M$24</f>
        <v>0</v>
      </c>
      <c r="AS11">
        <f>'City 10'!$U$34+'City 10'!$D$275</f>
        <v>0</v>
      </c>
      <c r="AT11">
        <f>'City 10'!$U$46+'City 10'!$D$276</f>
        <v>0</v>
      </c>
    </row>
    <row r="12" spans="1:46" x14ac:dyDescent="0.25">
      <c r="A12" t="s">
        <v>112</v>
      </c>
      <c r="B12" s="140">
        <f>'City 11'!$D$2</f>
        <v>0</v>
      </c>
      <c r="C12" s="105">
        <f>'City 11'!$D$50+'City 11'!$D$277</f>
        <v>0</v>
      </c>
      <c r="D12" s="105">
        <f>'City 11'!$U$62</f>
        <v>0</v>
      </c>
      <c r="E12" s="105">
        <f>'City 11'!$U$8</f>
        <v>0</v>
      </c>
      <c r="F12" s="605">
        <f>'City 11'!$AA$2</f>
        <v>0</v>
      </c>
      <c r="G12" s="607">
        <f>IF('City 11'!$AP$8="",0,IF('City 11'!$AP$8="Metropolis",(VLOOKUP('City 11'!$AP$8,'Drop Down'!$Y$14:$AD$17,6,FALSE)*'City 11'!$U$8),VLOOKUP('City 11'!$AP$8,'Drop Down'!$Y$14:$AD$17,6,FALSE)))+IF('City 11'!$M$26&lt;&gt;0,-1,0)</f>
        <v>0</v>
      </c>
      <c r="H12" s="475">
        <f>'City 11'!BK$92+'City 11'!O$4+'City 11'!$AQ$6</f>
        <v>0</v>
      </c>
      <c r="I12" s="475">
        <f>'City 11'!BL$92+'City 11'!O$6+'City 11'!$AQ$6</f>
        <v>0</v>
      </c>
      <c r="J12" s="475">
        <f>'City 11'!BM$92+'City 11'!W$8+'City 11'!$AQ$6</f>
        <v>0</v>
      </c>
      <c r="K12" s="475">
        <f>'City 11'!BN$92+'City 11'!O$8+'City 11'!$AQ$6</f>
        <v>0</v>
      </c>
      <c r="L12" s="475">
        <f>'City 11'!BO$92+'City 11'!O$10+'City 11'!$AQ$6</f>
        <v>0</v>
      </c>
      <c r="M12" s="475">
        <f>'City 11'!BP$92+'City 11'!W$10+'City 11'!$AQ$6</f>
        <v>0</v>
      </c>
      <c r="N12">
        <f>'City 11'!$D$66</f>
        <v>0</v>
      </c>
      <c r="O12">
        <f>'City 11'!$U$44</f>
        <v>0</v>
      </c>
      <c r="P12">
        <f>'City 11'!$M$26</f>
        <v>0</v>
      </c>
      <c r="Q12">
        <f>'City 11'!$M$46</f>
        <v>0</v>
      </c>
      <c r="R12">
        <f>'City 11'!$M$16</f>
        <v>0</v>
      </c>
      <c r="S12">
        <f>'City 11'!$U$36</f>
        <v>0</v>
      </c>
      <c r="T12">
        <f>'City 11'!$U$32</f>
        <v>0</v>
      </c>
      <c r="U12">
        <f>'City 11'!$U$54</f>
        <v>0</v>
      </c>
      <c r="V12">
        <f>'City 11'!$U$42</f>
        <v>0</v>
      </c>
      <c r="W12">
        <f>'City 11'!$D$20</f>
        <v>0</v>
      </c>
      <c r="X12">
        <f>'City 11'!$D$46</f>
        <v>0</v>
      </c>
      <c r="Y12">
        <f>'City 11'!$D$64</f>
        <v>0</v>
      </c>
      <c r="Z12">
        <f>'City 11'!$M$30</f>
        <v>0</v>
      </c>
      <c r="AA12">
        <f>'City 11'!$M$48</f>
        <v>0</v>
      </c>
      <c r="AD12">
        <f>'City 11'!$D$22</f>
        <v>0</v>
      </c>
      <c r="AE12">
        <f>'City 11'!$D$34</f>
        <v>0</v>
      </c>
      <c r="AF12">
        <f>'City 11'!$D$36</f>
        <v>0</v>
      </c>
      <c r="AG12">
        <f>'City 11'!$D$60</f>
        <v>0</v>
      </c>
      <c r="AH12">
        <f>'City 11'!$M$18</f>
        <v>0</v>
      </c>
      <c r="AI12">
        <f>'City 11'!$M$36</f>
        <v>0</v>
      </c>
      <c r="AJ12">
        <f>'City 11'!$M$46</f>
        <v>0</v>
      </c>
      <c r="AK12">
        <f>'City 11'!$M$54</f>
        <v>0</v>
      </c>
      <c r="AL12">
        <f>'City 11'!$M$66</f>
        <v>0</v>
      </c>
      <c r="AM12">
        <f>'City 11'!$U$24</f>
        <v>0</v>
      </c>
      <c r="AN12">
        <f>'City 11'!$U$26</f>
        <v>0</v>
      </c>
      <c r="AO12">
        <f>'City 11'!$U$32</f>
        <v>0</v>
      </c>
      <c r="AP12">
        <f>'City 11'!$U$44</f>
        <v>0</v>
      </c>
      <c r="AQ12">
        <f>'City 11'!$D$50+'City 11'!$D$277</f>
        <v>0</v>
      </c>
      <c r="AR12">
        <f>'City 11'!$M$24</f>
        <v>0</v>
      </c>
      <c r="AS12">
        <f>'City 11'!$U$34+'City 11'!$D$275</f>
        <v>0</v>
      </c>
      <c r="AT12">
        <f>'City 11'!$U$46+'City 11'!$D$276</f>
        <v>0</v>
      </c>
    </row>
    <row r="13" spans="1:46" x14ac:dyDescent="0.25">
      <c r="A13" t="s">
        <v>113</v>
      </c>
      <c r="B13" s="140">
        <f>'City 12'!$D$2</f>
        <v>0</v>
      </c>
      <c r="C13" s="105">
        <f>'City 12'!$D$50+'City 12'!$D$277</f>
        <v>0</v>
      </c>
      <c r="D13" s="105">
        <f>'City 12'!$U$62</f>
        <v>0</v>
      </c>
      <c r="E13" s="105">
        <f>'City 12'!$U$8</f>
        <v>0</v>
      </c>
      <c r="F13" s="605">
        <f>'City 12'!$AA$2</f>
        <v>0</v>
      </c>
      <c r="G13" s="607">
        <f>IF('City 12'!$AP$8="",0,IF('City 12'!$AP$8="Metropolis",(VLOOKUP('City 12'!$AP$8,'Drop Down'!$Y$14:$AD$17,6,FALSE)*'City 12'!$U$8),VLOOKUP('City 12'!$AP$8,'Drop Down'!$Y$14:$AD$17,6,FALSE)))+IF('City 12'!$M$26&lt;&gt;0,-1,0)</f>
        <v>0</v>
      </c>
      <c r="H13" s="475">
        <f>'City 12'!BK$92+'City 12'!O$4+'City 12'!$AQ$6</f>
        <v>0</v>
      </c>
      <c r="I13" s="475">
        <f>'City 12'!BL$92+'City 12'!O$6+'City 12'!$AQ$6</f>
        <v>0</v>
      </c>
      <c r="J13" s="475">
        <f>'City 12'!BM$92+'City 12'!W$8+'City 12'!$AQ$6</f>
        <v>0</v>
      </c>
      <c r="K13" s="475">
        <f>'City 12'!BN$92+'City 12'!O$8+'City 12'!$AQ$6</f>
        <v>0</v>
      </c>
      <c r="L13" s="475">
        <f>'City 12'!BO$92+'City 12'!O$10+'City 12'!$AQ$6</f>
        <v>0</v>
      </c>
      <c r="M13" s="475">
        <f>'City 12'!BP$92+'City 12'!W$10+'City 12'!$AQ$6</f>
        <v>0</v>
      </c>
      <c r="N13">
        <f>'City 12'!$D$66</f>
        <v>0</v>
      </c>
      <c r="O13">
        <f>'City 12'!$U$44</f>
        <v>0</v>
      </c>
      <c r="P13">
        <f>'City 12'!$M$26</f>
        <v>0</v>
      </c>
      <c r="Q13">
        <f>'City 12'!$M$46</f>
        <v>0</v>
      </c>
      <c r="R13">
        <f>'City 12'!$M$16</f>
        <v>0</v>
      </c>
      <c r="S13">
        <f>'City 12'!$U$36</f>
        <v>0</v>
      </c>
      <c r="T13">
        <f>'City 12'!$U$32</f>
        <v>0</v>
      </c>
      <c r="U13">
        <f>'City 12'!$U$54</f>
        <v>0</v>
      </c>
      <c r="V13">
        <f>'City 12'!$U$42</f>
        <v>0</v>
      </c>
      <c r="W13">
        <f>'City 12'!$D$20</f>
        <v>0</v>
      </c>
      <c r="X13">
        <f>'City 12'!$D$46</f>
        <v>0</v>
      </c>
      <c r="Y13">
        <f>'City 12'!$D$64</f>
        <v>0</v>
      </c>
      <c r="Z13">
        <f>'City 12'!$M$30</f>
        <v>0</v>
      </c>
      <c r="AA13">
        <f>'City 12'!$M$48</f>
        <v>0</v>
      </c>
      <c r="AD13">
        <f>'City 12'!$D$22</f>
        <v>0</v>
      </c>
      <c r="AE13">
        <f>'City 12'!$D$34</f>
        <v>0</v>
      </c>
      <c r="AF13">
        <f>'City 12'!$D$36</f>
        <v>0</v>
      </c>
      <c r="AG13">
        <f>'City 12'!$D$60</f>
        <v>0</v>
      </c>
      <c r="AH13">
        <f>'City 12'!$M$18</f>
        <v>0</v>
      </c>
      <c r="AI13">
        <f>'City 12'!$M$36</f>
        <v>0</v>
      </c>
      <c r="AJ13">
        <f>'City 12'!$M$46</f>
        <v>0</v>
      </c>
      <c r="AK13">
        <f>'City 12'!$M$54</f>
        <v>0</v>
      </c>
      <c r="AL13">
        <f>'City 12'!$M$66</f>
        <v>0</v>
      </c>
      <c r="AM13">
        <f>'City 12'!$U$24</f>
        <v>0</v>
      </c>
      <c r="AN13">
        <f>'City 12'!$U$26</f>
        <v>0</v>
      </c>
      <c r="AO13">
        <f>'City 12'!$U$32</f>
        <v>0</v>
      </c>
      <c r="AP13">
        <f>'City 12'!$U$44</f>
        <v>0</v>
      </c>
      <c r="AQ13">
        <f>'City 12'!$D$50+'City 12'!$D$277</f>
        <v>0</v>
      </c>
      <c r="AR13">
        <f>'City 12'!$M$24</f>
        <v>0</v>
      </c>
      <c r="AS13">
        <f>'City 12'!$U$34+'City 12'!$D$275</f>
        <v>0</v>
      </c>
      <c r="AT13">
        <f>'City 12'!$U$46+'City 12'!$D$276</f>
        <v>0</v>
      </c>
    </row>
    <row r="14" spans="1:46" x14ac:dyDescent="0.25">
      <c r="A14" t="s">
        <v>114</v>
      </c>
      <c r="B14" s="140">
        <f>'City 13'!$D$2</f>
        <v>0</v>
      </c>
      <c r="C14" s="105">
        <f>'City 13'!$D$50+'City 13'!$D$277</f>
        <v>0</v>
      </c>
      <c r="D14" s="105">
        <f>'City 13'!$U$62</f>
        <v>0</v>
      </c>
      <c r="E14" s="105">
        <f>'City 13'!$U$8</f>
        <v>0</v>
      </c>
      <c r="F14" s="605">
        <f>'City 13'!$AA$2</f>
        <v>0</v>
      </c>
      <c r="G14" s="607">
        <f>IF('City 13'!$AP$8="",0,IF('City 13'!$AP$8="Metropolis",(VLOOKUP('City 13'!$AP$8,'Drop Down'!$Y$14:$AD$17,6,FALSE)*'City 13'!$U$8),VLOOKUP('City 13'!$AP$8,'Drop Down'!$Y$14:$AD$17,6,FALSE)))+IF('City 13'!$M$26&lt;&gt;0,-1,0)</f>
        <v>0</v>
      </c>
      <c r="H14" s="475">
        <f>'City 13'!BK$92+'City 13'!O$4+'City 13'!$AQ$6</f>
        <v>0</v>
      </c>
      <c r="I14" s="475">
        <f>'City 13'!BL$92+'City 13'!O$6+'City 13'!$AQ$6</f>
        <v>0</v>
      </c>
      <c r="J14" s="475">
        <f>'City 13'!BM$92+'City 13'!W$8+'City 13'!$AQ$6</f>
        <v>0</v>
      </c>
      <c r="K14" s="475">
        <f>'City 13'!BN$92+'City 13'!O$8+'City 13'!$AQ$6</f>
        <v>0</v>
      </c>
      <c r="L14" s="475">
        <f>'City 13'!BO$92+'City 13'!O$10+'City 13'!$AQ$6</f>
        <v>0</v>
      </c>
      <c r="M14" s="475">
        <f>'City 13'!BP$92+'City 13'!W$10+'City 13'!$AQ$6</f>
        <v>0</v>
      </c>
      <c r="N14">
        <f>'City 13'!$D$66</f>
        <v>0</v>
      </c>
      <c r="O14">
        <f>'City 13'!$U$44</f>
        <v>0</v>
      </c>
      <c r="P14">
        <f>'City 13'!$M$26</f>
        <v>0</v>
      </c>
      <c r="Q14">
        <f>'City 13'!$M$46</f>
        <v>0</v>
      </c>
      <c r="R14">
        <f>'City 13'!$M$16</f>
        <v>0</v>
      </c>
      <c r="S14">
        <f>'City 13'!$U$36</f>
        <v>0</v>
      </c>
      <c r="T14">
        <f>'City 13'!$U$32</f>
        <v>0</v>
      </c>
      <c r="U14">
        <f>'City 13'!$U$54</f>
        <v>0</v>
      </c>
      <c r="V14">
        <f>'City 13'!$U$42</f>
        <v>0</v>
      </c>
      <c r="W14">
        <f>'City 13'!$D$20</f>
        <v>0</v>
      </c>
      <c r="X14">
        <f>'City 13'!$D$46</f>
        <v>0</v>
      </c>
      <c r="Y14">
        <f>'City 13'!$D$64</f>
        <v>0</v>
      </c>
      <c r="Z14">
        <f>'City 13'!$M$30</f>
        <v>0</v>
      </c>
      <c r="AA14">
        <f>'City 13'!$M$48</f>
        <v>0</v>
      </c>
      <c r="AD14">
        <f>'City 13'!$D$22</f>
        <v>0</v>
      </c>
      <c r="AE14">
        <f>'City 13'!$D$34</f>
        <v>0</v>
      </c>
      <c r="AF14">
        <f>'City 13'!$D$36</f>
        <v>0</v>
      </c>
      <c r="AG14">
        <f>'City 13'!$D$60</f>
        <v>0</v>
      </c>
      <c r="AH14">
        <f>'City 13'!$M$18</f>
        <v>0</v>
      </c>
      <c r="AI14">
        <f>'City 13'!$M$36</f>
        <v>0</v>
      </c>
      <c r="AJ14">
        <f>'City 13'!$M$46</f>
        <v>0</v>
      </c>
      <c r="AK14">
        <f>'City 13'!$M$54</f>
        <v>0</v>
      </c>
      <c r="AL14">
        <f>'City 13'!$M$66</f>
        <v>0</v>
      </c>
      <c r="AM14">
        <f>'City 13'!$U$24</f>
        <v>0</v>
      </c>
      <c r="AN14">
        <f>'City 13'!$U$26</f>
        <v>0</v>
      </c>
      <c r="AO14">
        <f>'City 13'!$U$32</f>
        <v>0</v>
      </c>
      <c r="AP14">
        <f>'City 13'!$U$44</f>
        <v>0</v>
      </c>
      <c r="AQ14">
        <f>'City 13'!$D$50+'City 13'!$D$277</f>
        <v>0</v>
      </c>
      <c r="AR14">
        <f>'City 13'!$M$24</f>
        <v>0</v>
      </c>
      <c r="AS14">
        <f>'City 13'!$U$34+'City 13'!$D$275</f>
        <v>0</v>
      </c>
      <c r="AT14">
        <f>'City 13'!$U$46+'City 13'!$D$276</f>
        <v>0</v>
      </c>
    </row>
    <row r="15" spans="1:46" x14ac:dyDescent="0.25">
      <c r="A15" t="s">
        <v>115</v>
      </c>
      <c r="B15" s="140">
        <f>'City 14'!$D$2</f>
        <v>0</v>
      </c>
      <c r="C15" s="105">
        <f>'City 14'!$D$50+'City 14'!$D$277</f>
        <v>0</v>
      </c>
      <c r="D15" s="105">
        <f>'City 14'!$U$62</f>
        <v>0</v>
      </c>
      <c r="E15" s="105">
        <f>'City 14'!$U$8</f>
        <v>0</v>
      </c>
      <c r="F15" s="605">
        <f>'City 14'!$AA$2</f>
        <v>0</v>
      </c>
      <c r="G15" s="607">
        <f>IF('City 14'!$AP$8="",0,IF('City 14'!$AP$8="Metropolis",(VLOOKUP('City 14'!$AP$8,'Drop Down'!$Y$14:$AD$17,6,FALSE)*'City 14'!$U$8),VLOOKUP('City 14'!$AP$8,'Drop Down'!$Y$14:$AD$17,6,FALSE)))+IF('City 14'!$M$26&lt;&gt;0,-1,0)</f>
        <v>0</v>
      </c>
      <c r="H15" s="475">
        <f>'City 14'!BK$92+'City 14'!O$4+'City 14'!$AQ$6</f>
        <v>0</v>
      </c>
      <c r="I15" s="475">
        <f>'City 14'!BL$92+'City 14'!O$6+'City 14'!$AQ$6</f>
        <v>0</v>
      </c>
      <c r="J15" s="475">
        <f>'City 14'!BM$92+'City 14'!W$8+'City 14'!$AQ$6</f>
        <v>0</v>
      </c>
      <c r="K15" s="475">
        <f>'City 14'!BN$92+'City 14'!O$8+'City 14'!$AQ$6</f>
        <v>0</v>
      </c>
      <c r="L15" s="475">
        <f>'City 14'!BO$92+'City 14'!O$10+'City 14'!$AQ$6</f>
        <v>0</v>
      </c>
      <c r="M15" s="475">
        <f>'City 14'!BP$92+'City 14'!W$10+'City 14'!$AQ$6</f>
        <v>0</v>
      </c>
      <c r="N15">
        <f>'City 14'!$D$66</f>
        <v>0</v>
      </c>
      <c r="O15">
        <f>'City 14'!$U$44</f>
        <v>0</v>
      </c>
      <c r="P15">
        <f>'City 14'!$M$26</f>
        <v>0</v>
      </c>
      <c r="Q15">
        <f>'City 14'!$M$46</f>
        <v>0</v>
      </c>
      <c r="R15">
        <f>'City 14'!$M$16</f>
        <v>0</v>
      </c>
      <c r="S15">
        <f>'City 14'!$U$36</f>
        <v>0</v>
      </c>
      <c r="T15">
        <f>'City 14'!$U$32</f>
        <v>0</v>
      </c>
      <c r="U15">
        <f>'City 14'!$U$54</f>
        <v>0</v>
      </c>
      <c r="V15">
        <f>'City 14'!$U$42</f>
        <v>0</v>
      </c>
      <c r="W15">
        <f>'City 14'!$D$20</f>
        <v>0</v>
      </c>
      <c r="X15">
        <f>'City 14'!$D$46</f>
        <v>0</v>
      </c>
      <c r="Y15">
        <f>'City 14'!$D$64</f>
        <v>0</v>
      </c>
      <c r="Z15">
        <f>'City 14'!$M$30</f>
        <v>0</v>
      </c>
      <c r="AA15">
        <f>'City 14'!$M$48</f>
        <v>0</v>
      </c>
      <c r="AD15">
        <f>'City 14'!$D$22</f>
        <v>0</v>
      </c>
      <c r="AE15">
        <f>'City 14'!$D$34</f>
        <v>0</v>
      </c>
      <c r="AF15">
        <f>'City 14'!$D$36</f>
        <v>0</v>
      </c>
      <c r="AG15">
        <f>'City 14'!$D$60</f>
        <v>0</v>
      </c>
      <c r="AH15">
        <f>'City 14'!$M$18</f>
        <v>0</v>
      </c>
      <c r="AI15">
        <f>'City 14'!$M$36</f>
        <v>0</v>
      </c>
      <c r="AJ15">
        <f>'City 14'!$M$46</f>
        <v>0</v>
      </c>
      <c r="AK15">
        <f>'City 14'!$M$54</f>
        <v>0</v>
      </c>
      <c r="AL15">
        <f>'City 14'!$M$66</f>
        <v>0</v>
      </c>
      <c r="AM15">
        <f>'City 14'!$U$24</f>
        <v>0</v>
      </c>
      <c r="AN15">
        <f>'City 14'!$U$26</f>
        <v>0</v>
      </c>
      <c r="AO15">
        <f>'City 14'!$U$32</f>
        <v>0</v>
      </c>
      <c r="AP15">
        <f>'City 14'!$U$44</f>
        <v>0</v>
      </c>
      <c r="AQ15">
        <f>'City 14'!$D$50+'City 14'!$D$277</f>
        <v>0</v>
      </c>
      <c r="AR15">
        <f>'City 14'!$M$24</f>
        <v>0</v>
      </c>
      <c r="AS15">
        <f>'City 14'!$U$34+'City 14'!$D$275</f>
        <v>0</v>
      </c>
      <c r="AT15">
        <f>'City 14'!$U$46+'City 14'!$D$276</f>
        <v>0</v>
      </c>
    </row>
    <row r="16" spans="1:46" x14ac:dyDescent="0.25">
      <c r="A16" t="s">
        <v>116</v>
      </c>
      <c r="B16" s="140">
        <f>'City 15'!$D$2</f>
        <v>0</v>
      </c>
      <c r="C16" s="105">
        <f>'City 15'!$D$50+'City 15'!$D$277</f>
        <v>0</v>
      </c>
      <c r="D16" s="105">
        <f>'City 15'!$U$62</f>
        <v>0</v>
      </c>
      <c r="E16" s="105">
        <f>'City 15'!$U$8</f>
        <v>0</v>
      </c>
      <c r="F16" s="605">
        <f>'City 15'!$AA$2</f>
        <v>0</v>
      </c>
      <c r="G16" s="607">
        <f>IF('City 15'!$AP$8="",0,IF('City 15'!$AP$8="Metropolis",(VLOOKUP('City 15'!$AP$8,'Drop Down'!$Y$14:$AD$17,6,FALSE)*'City 15'!$U$8),VLOOKUP('City 15'!$AP$8,'Drop Down'!$Y$14:$AD$17,6,FALSE)))+IF('City 15'!$M$26&lt;&gt;0,-1,0)</f>
        <v>0</v>
      </c>
      <c r="H16" s="475">
        <f>'City 15'!BK$92+'City 15'!O$4+'City 15'!$AQ$6</f>
        <v>0</v>
      </c>
      <c r="I16" s="475">
        <f>'City 15'!BL$92+'City 15'!O$6+'City 15'!$AQ$6</f>
        <v>0</v>
      </c>
      <c r="J16" s="475">
        <f>'City 15'!BM$92+'City 15'!W$8+'City 15'!$AQ$6</f>
        <v>0</v>
      </c>
      <c r="K16" s="475">
        <f>'City 15'!BN$92+'City 15'!O$8+'City 15'!$AQ$6</f>
        <v>0</v>
      </c>
      <c r="L16" s="475">
        <f>'City 15'!BO$92+'City 15'!O$10+'City 15'!$AQ$6</f>
        <v>0</v>
      </c>
      <c r="M16" s="475">
        <f>'City 15'!BP$92+'City 15'!W$10+'City 15'!$AQ$6</f>
        <v>0</v>
      </c>
      <c r="N16">
        <f>'City 15'!$D$66</f>
        <v>0</v>
      </c>
      <c r="O16">
        <f>'City 15'!$U$44</f>
        <v>0</v>
      </c>
      <c r="P16">
        <f>'City 15'!$M$26</f>
        <v>0</v>
      </c>
      <c r="Q16">
        <f>'City 15'!$M$46</f>
        <v>0</v>
      </c>
      <c r="R16">
        <f>'City 15'!$M$16</f>
        <v>0</v>
      </c>
      <c r="S16">
        <f>'City 15'!$U$36</f>
        <v>0</v>
      </c>
      <c r="T16">
        <f>'City 15'!$U$32</f>
        <v>0</v>
      </c>
      <c r="U16">
        <f>'City 15'!$U$54</f>
        <v>0</v>
      </c>
      <c r="V16">
        <f>'City 15'!$U$42</f>
        <v>0</v>
      </c>
      <c r="W16">
        <f>'City 15'!$D$20</f>
        <v>0</v>
      </c>
      <c r="X16">
        <f>'City 15'!$D$46</f>
        <v>0</v>
      </c>
      <c r="Y16">
        <f>'City 15'!$D$64</f>
        <v>0</v>
      </c>
      <c r="Z16">
        <f>'City 15'!$M$30</f>
        <v>0</v>
      </c>
      <c r="AA16">
        <f>'City 15'!$M$48</f>
        <v>0</v>
      </c>
      <c r="AD16">
        <f>'City 15'!$D$22</f>
        <v>0</v>
      </c>
      <c r="AE16">
        <f>'City 15'!$D$34</f>
        <v>0</v>
      </c>
      <c r="AF16">
        <f>'City 15'!$D$36</f>
        <v>0</v>
      </c>
      <c r="AG16">
        <f>'City 15'!$D$60</f>
        <v>0</v>
      </c>
      <c r="AH16">
        <f>'City 15'!$M$18</f>
        <v>0</v>
      </c>
      <c r="AI16">
        <f>'City 15'!$M$36</f>
        <v>0</v>
      </c>
      <c r="AJ16">
        <f>'City 15'!$M$46</f>
        <v>0</v>
      </c>
      <c r="AK16">
        <f>'City 15'!$M$54</f>
        <v>0</v>
      </c>
      <c r="AL16">
        <f>'City 15'!$M$66</f>
        <v>0</v>
      </c>
      <c r="AM16">
        <f>'City 15'!$U$24</f>
        <v>0</v>
      </c>
      <c r="AN16">
        <f>'City 15'!$U$26</f>
        <v>0</v>
      </c>
      <c r="AO16">
        <f>'City 15'!$U$32</f>
        <v>0</v>
      </c>
      <c r="AP16">
        <f>'City 15'!$U$44</f>
        <v>0</v>
      </c>
      <c r="AQ16">
        <f>'City 15'!$D$50+'City 15'!$D$277</f>
        <v>0</v>
      </c>
      <c r="AR16">
        <f>'City 15'!$M$24</f>
        <v>0</v>
      </c>
      <c r="AS16">
        <f>'City 15'!$U$34+'City 15'!$D$275</f>
        <v>0</v>
      </c>
      <c r="AT16">
        <f>'City 15'!$U$46+'City 15'!$D$276</f>
        <v>0</v>
      </c>
    </row>
    <row r="17" spans="1:46" x14ac:dyDescent="0.25">
      <c r="A17" t="s">
        <v>117</v>
      </c>
      <c r="B17" s="140">
        <f>'City 16'!$D$2</f>
        <v>0</v>
      </c>
      <c r="C17" s="105">
        <f>'City 16'!$D$50+'City 16'!$D$277</f>
        <v>0</v>
      </c>
      <c r="D17" s="105">
        <f>'City 16'!$U$62</f>
        <v>0</v>
      </c>
      <c r="E17" s="105">
        <f>'City 18'!$U$8</f>
        <v>0</v>
      </c>
      <c r="F17" s="605">
        <f>'City 16'!$AA$2</f>
        <v>0</v>
      </c>
      <c r="G17" s="607">
        <f>IF('City 16'!$AP$8="",0,IF('City 16'!$AP$8="Metropolis",(VLOOKUP('City 16'!$AP$8,'Drop Down'!$Y$14:$AD$17,6,FALSE)*'City 16'!$U$8),VLOOKUP('City 16'!$AP$8,'Drop Down'!$Y$14:$AD$17,6,FALSE)))+IF('City 16'!$M$26&lt;&gt;0,-1,0)</f>
        <v>0</v>
      </c>
      <c r="H17" s="475">
        <f>'City 16'!BK$92+'City 16'!O$4+'City 16'!$AQ$6</f>
        <v>0</v>
      </c>
      <c r="I17" s="475">
        <f>'City 16'!BL$92+'City 16'!O$6+'City 16'!$AQ$6</f>
        <v>0</v>
      </c>
      <c r="J17" s="475">
        <f>'City 16'!BM$92+'City 16'!W$8+'City 16'!$AQ$6</f>
        <v>0</v>
      </c>
      <c r="K17" s="475">
        <f>'City 16'!BN$92+'City 16'!O$8+'City 16'!$AQ$6</f>
        <v>0</v>
      </c>
      <c r="L17" s="475">
        <f>'City 16'!BO$92+'City 16'!O$10+'City 16'!$AQ$6</f>
        <v>0</v>
      </c>
      <c r="M17" s="475">
        <f>'City 16'!BP$92+'City 16'!W$10+'City 16'!$AQ$6</f>
        <v>0</v>
      </c>
      <c r="N17">
        <f>'City 16'!$D$66</f>
        <v>0</v>
      </c>
      <c r="O17">
        <f>'City 16'!$U$44</f>
        <v>0</v>
      </c>
      <c r="P17">
        <f>'City 16'!$M$26</f>
        <v>0</v>
      </c>
      <c r="Q17">
        <f>'City 16'!$M$46</f>
        <v>0</v>
      </c>
      <c r="R17">
        <f>'City 16'!$M$16</f>
        <v>0</v>
      </c>
      <c r="S17">
        <f>'City 16'!$U$36</f>
        <v>0</v>
      </c>
      <c r="T17">
        <f>'City 16'!$U$32</f>
        <v>0</v>
      </c>
      <c r="U17">
        <f>'City 16'!$U$54</f>
        <v>0</v>
      </c>
      <c r="V17">
        <f>'City 16'!$U$42</f>
        <v>0</v>
      </c>
      <c r="W17">
        <f>'City 16'!$D$20</f>
        <v>0</v>
      </c>
      <c r="X17">
        <f>'City 16'!$D$46</f>
        <v>0</v>
      </c>
      <c r="Y17">
        <f>'City 16'!$D$64</f>
        <v>0</v>
      </c>
      <c r="Z17">
        <f>'City 16'!$M$30</f>
        <v>0</v>
      </c>
      <c r="AA17">
        <f>'City 16'!$M$48</f>
        <v>0</v>
      </c>
      <c r="AD17">
        <f>'City 16'!$D$22</f>
        <v>0</v>
      </c>
      <c r="AE17">
        <f>'City 16'!$D$34</f>
        <v>0</v>
      </c>
      <c r="AF17">
        <f>'City 16'!$D$36</f>
        <v>0</v>
      </c>
      <c r="AG17">
        <f>'City 16'!$D$60</f>
        <v>0</v>
      </c>
      <c r="AH17">
        <f>'City 18'!$M$18</f>
        <v>0</v>
      </c>
      <c r="AI17">
        <f>'City 16'!$M$36</f>
        <v>0</v>
      </c>
      <c r="AJ17">
        <f>'City 16'!$M$46</f>
        <v>0</v>
      </c>
      <c r="AK17">
        <f>'City 16'!$M$54</f>
        <v>0</v>
      </c>
      <c r="AL17">
        <f>'City 16'!$M$66</f>
        <v>0</v>
      </c>
      <c r="AM17">
        <f>'City 16'!$U$24</f>
        <v>0</v>
      </c>
      <c r="AN17">
        <f>'City 16'!$U$26</f>
        <v>0</v>
      </c>
      <c r="AO17">
        <f>'City 16'!$U$32</f>
        <v>0</v>
      </c>
      <c r="AP17">
        <f>'City 16'!$U$44</f>
        <v>0</v>
      </c>
      <c r="AQ17">
        <f>'City 16'!$D$50+'City 16'!$D$277</f>
        <v>0</v>
      </c>
      <c r="AR17">
        <f>'City 16'!$M$24</f>
        <v>0</v>
      </c>
      <c r="AS17">
        <f>'City 16'!$U$34+'City 16'!$D$275</f>
        <v>0</v>
      </c>
      <c r="AT17">
        <f>'City 16'!$U$46+'City 16'!$D$276</f>
        <v>0</v>
      </c>
    </row>
    <row r="18" spans="1:46" x14ac:dyDescent="0.25">
      <c r="A18" t="s">
        <v>118</v>
      </c>
      <c r="B18" s="140">
        <f>'City 17'!$D$2</f>
        <v>0</v>
      </c>
      <c r="C18" s="105">
        <f>'City 17'!$D$50+'City 17'!$D$277</f>
        <v>0</v>
      </c>
      <c r="D18" s="105">
        <f>'City 17'!$U$62</f>
        <v>0</v>
      </c>
      <c r="E18" s="105">
        <f>'City 17'!$U$8</f>
        <v>0</v>
      </c>
      <c r="F18" s="605">
        <f>'City 17'!$AA$2</f>
        <v>0</v>
      </c>
      <c r="G18" s="607">
        <f>IF('City 17'!$AP$8="",0,IF('City 17'!$AP$8="Metropolis",(VLOOKUP('City 17'!$AP$8,'Drop Down'!$Y$14:$AD$17,6,FALSE)*'City 17'!$U$8),VLOOKUP('City 17'!$AP$8,'Drop Down'!$Y$14:$AD$17,6,FALSE)))+IF('City 17'!$M$26&lt;&gt;0,-1,0)</f>
        <v>0</v>
      </c>
      <c r="H18" s="475">
        <f>'City 17'!BK$92+'City 17'!O$4+'City 17'!$AQ$6</f>
        <v>0</v>
      </c>
      <c r="I18" s="475">
        <f>'City 17'!BL$92+'City 17'!O$6+'City 17'!$AQ$6</f>
        <v>0</v>
      </c>
      <c r="J18" s="475">
        <f>'City 17'!BM$92+'City 17'!W$8+'City 17'!$AQ$6</f>
        <v>0</v>
      </c>
      <c r="K18" s="475">
        <f>'City 17'!BN$92+'City 17'!O$8+'City 17'!$AQ$6</f>
        <v>0</v>
      </c>
      <c r="L18" s="475">
        <f>'City 17'!BO$92+'City 17'!O$10+'City 17'!$AQ$6</f>
        <v>0</v>
      </c>
      <c r="M18" s="475">
        <f>'City 17'!BP$92+'City 17'!W$10+'City 17'!$AQ$6</f>
        <v>0</v>
      </c>
      <c r="N18">
        <f>'City 17'!$D$66</f>
        <v>0</v>
      </c>
      <c r="O18">
        <f>'City 17'!$U$44</f>
        <v>0</v>
      </c>
      <c r="P18">
        <f>'City 17'!$M$26</f>
        <v>0</v>
      </c>
      <c r="Q18">
        <f>'City 17'!$M$46</f>
        <v>0</v>
      </c>
      <c r="R18">
        <f>'City 17'!$M$16</f>
        <v>0</v>
      </c>
      <c r="S18">
        <f>'City 17'!$U$36</f>
        <v>0</v>
      </c>
      <c r="T18">
        <f>'City 17'!$U$32</f>
        <v>0</v>
      </c>
      <c r="U18">
        <f>'City 17'!$U$54</f>
        <v>0</v>
      </c>
      <c r="V18">
        <f>'City 17'!$U$42</f>
        <v>0</v>
      </c>
      <c r="W18">
        <f>'City 17'!$D$20</f>
        <v>0</v>
      </c>
      <c r="X18">
        <f>'City 17'!$D$46</f>
        <v>0</v>
      </c>
      <c r="Y18">
        <f>'City 17'!$D$64</f>
        <v>0</v>
      </c>
      <c r="Z18">
        <f>'City 17'!$M$30</f>
        <v>0</v>
      </c>
      <c r="AA18">
        <f>'City 17'!$M$48</f>
        <v>0</v>
      </c>
      <c r="AD18">
        <f>'City 17'!$D$22</f>
        <v>0</v>
      </c>
      <c r="AE18">
        <f>'City 17'!$D$34</f>
        <v>0</v>
      </c>
      <c r="AF18">
        <f>'City 17'!$D$36</f>
        <v>0</v>
      </c>
      <c r="AG18">
        <f>'City 17'!$D$60</f>
        <v>0</v>
      </c>
      <c r="AH18">
        <f>'City 17'!$M$18</f>
        <v>0</v>
      </c>
      <c r="AI18">
        <f>'City 17'!$M$36</f>
        <v>0</v>
      </c>
      <c r="AJ18">
        <f>'City 17'!$M$46</f>
        <v>0</v>
      </c>
      <c r="AK18">
        <f>'City 17'!$M$54</f>
        <v>0</v>
      </c>
      <c r="AL18">
        <f>'City 17'!$M$66</f>
        <v>0</v>
      </c>
      <c r="AM18">
        <f>'City 17'!$U$24</f>
        <v>0</v>
      </c>
      <c r="AN18">
        <f>'City 17'!$U$26</f>
        <v>0</v>
      </c>
      <c r="AO18">
        <f>'City 17'!$U$32</f>
        <v>0</v>
      </c>
      <c r="AP18">
        <f>'City 17'!$U$44</f>
        <v>0</v>
      </c>
      <c r="AQ18">
        <f>'City 17'!$D$50+'City 17'!$D$277</f>
        <v>0</v>
      </c>
      <c r="AR18">
        <f>'City 17'!$M$24</f>
        <v>0</v>
      </c>
      <c r="AS18">
        <f>'City 17'!$U$34+'City 17'!$D$275</f>
        <v>0</v>
      </c>
      <c r="AT18">
        <f>'City 17'!$U$46+'City 17'!$D$276</f>
        <v>0</v>
      </c>
    </row>
    <row r="19" spans="1:46" x14ac:dyDescent="0.25">
      <c r="A19" t="s">
        <v>119</v>
      </c>
      <c r="B19" s="140">
        <f>'City 18'!$D$2</f>
        <v>0</v>
      </c>
      <c r="C19" s="105">
        <f>'City 18'!$D$50+'City 18'!$D$277</f>
        <v>0</v>
      </c>
      <c r="D19" s="105">
        <f>'City 18'!$U$62</f>
        <v>0</v>
      </c>
      <c r="E19" s="105">
        <f>'City 18'!$U$8</f>
        <v>0</v>
      </c>
      <c r="F19" s="605">
        <f>'City 18'!$AA$2</f>
        <v>0</v>
      </c>
      <c r="G19" s="607">
        <f>IF('City 18'!$AP$8="",0,IF('City 18'!$AP$8="Metropolis",(VLOOKUP('City 18'!$AP$8,'Drop Down'!$Y$14:$AD$17,6,FALSE)*'City 18'!$U$8),VLOOKUP('City 18'!$AP$8,'Drop Down'!$Y$14:$AD$17,6,FALSE)))+IF('City 18'!$M$26&lt;&gt;0,-1,0)</f>
        <v>0</v>
      </c>
      <c r="H19" s="475">
        <f>'City 18'!BK$92+'City 18'!O$4+'City 18'!$AQ$6</f>
        <v>0</v>
      </c>
      <c r="I19" s="475">
        <f>'City 18'!BL$92+'City 18'!O$6+'City 18'!$AQ$6</f>
        <v>0</v>
      </c>
      <c r="J19" s="475">
        <f>'City 18'!BM$92+'City 18'!W$8+'City 18'!$AQ$6</f>
        <v>0</v>
      </c>
      <c r="K19" s="475">
        <f>'City 18'!BN$92+'City 18'!O$8+'City 18'!$AQ$6</f>
        <v>0</v>
      </c>
      <c r="L19" s="475">
        <f>'City 18'!BO$92+'City 18'!O$10+'City 18'!$AQ$6</f>
        <v>0</v>
      </c>
      <c r="M19" s="475">
        <f>'City 18'!BP$92+'City 18'!W$10+'City 18'!$AQ$6</f>
        <v>0</v>
      </c>
      <c r="N19">
        <f>'City 18'!$D$66</f>
        <v>0</v>
      </c>
      <c r="O19">
        <f>'City 18'!$U$44</f>
        <v>0</v>
      </c>
      <c r="P19">
        <f>'City 18'!$M$26</f>
        <v>0</v>
      </c>
      <c r="Q19">
        <f>'City 18'!$M$46</f>
        <v>0</v>
      </c>
      <c r="R19">
        <f>'City 18'!$M$16</f>
        <v>0</v>
      </c>
      <c r="S19">
        <f>'City 18'!$U$36</f>
        <v>0</v>
      </c>
      <c r="T19">
        <f>'City 18'!$U$32</f>
        <v>0</v>
      </c>
      <c r="U19">
        <f>'City 18'!$U$54</f>
        <v>0</v>
      </c>
      <c r="V19">
        <f>'City 18'!$U$42</f>
        <v>0</v>
      </c>
      <c r="W19">
        <f>'City 20'!$D$20</f>
        <v>0</v>
      </c>
      <c r="X19">
        <f>'City 18'!$D$46</f>
        <v>0</v>
      </c>
      <c r="Y19">
        <f>'City 18'!$D$64</f>
        <v>0</v>
      </c>
      <c r="Z19">
        <f>'City 18'!$M$30</f>
        <v>0</v>
      </c>
      <c r="AA19">
        <f>'City 18'!$M$48</f>
        <v>0</v>
      </c>
      <c r="AD19">
        <f>'City 18'!$D$22</f>
        <v>0</v>
      </c>
      <c r="AE19">
        <f>'City 18'!$D$34</f>
        <v>0</v>
      </c>
      <c r="AF19">
        <f>'City 18'!$D$36</f>
        <v>0</v>
      </c>
      <c r="AG19">
        <f>'City 18'!$D$60</f>
        <v>0</v>
      </c>
      <c r="AH19">
        <f>'City 18'!$M$18</f>
        <v>0</v>
      </c>
      <c r="AI19">
        <f>'City 18'!$M$36</f>
        <v>0</v>
      </c>
      <c r="AJ19">
        <f>'City 18'!$M$46</f>
        <v>0</v>
      </c>
      <c r="AK19">
        <f>'City 18'!$M$54</f>
        <v>0</v>
      </c>
      <c r="AL19">
        <f>'City 18'!$M$66</f>
        <v>0</v>
      </c>
      <c r="AM19">
        <f>'City 18'!$U$24</f>
        <v>0</v>
      </c>
      <c r="AN19">
        <f>'City 18'!$U$26</f>
        <v>0</v>
      </c>
      <c r="AO19">
        <f>'City 18'!$U$32</f>
        <v>0</v>
      </c>
      <c r="AP19">
        <f>'City 18'!$U$44</f>
        <v>0</v>
      </c>
      <c r="AQ19">
        <f>'City 18'!$D$50+'City 18'!$D$277</f>
        <v>0</v>
      </c>
      <c r="AR19">
        <f>'City 18'!$M$24</f>
        <v>0</v>
      </c>
      <c r="AS19">
        <f>'City 18'!$U$34+'City 18'!$D$275</f>
        <v>0</v>
      </c>
      <c r="AT19">
        <f>'City 18'!$U$46+'City 18'!$D$276</f>
        <v>0</v>
      </c>
    </row>
    <row r="20" spans="1:46" x14ac:dyDescent="0.25">
      <c r="A20" t="s">
        <v>120</v>
      </c>
      <c r="B20" s="140">
        <f>'City 19'!$D$2</f>
        <v>0</v>
      </c>
      <c r="C20" s="105">
        <f>'City 19'!$D$50+'City 19'!$D$277</f>
        <v>0</v>
      </c>
      <c r="D20" s="105">
        <f>'City 19'!$U$62</f>
        <v>0</v>
      </c>
      <c r="E20" s="105">
        <f>'City 19'!$U$8</f>
        <v>0</v>
      </c>
      <c r="F20" s="605">
        <f>'City 19'!$AA$2</f>
        <v>0</v>
      </c>
      <c r="G20" s="607">
        <f>IF('City 19'!$AP$8="",0,IF('City 19'!$AP$8="Metropolis",(VLOOKUP('City 19'!$AP$8,'Drop Down'!$Y$14:$AD$17,6,FALSE)*'City 19'!$U$8),VLOOKUP('City 19'!$AP$8,'Drop Down'!$Y$14:$AD$17,6,FALSE)))+IF('City 19'!$M$26&lt;&gt;0,-1,0)</f>
        <v>0</v>
      </c>
      <c r="H20" s="475">
        <f>'City 19'!BK$92+'City 19'!O$4+'City 19'!$AQ$6</f>
        <v>0</v>
      </c>
      <c r="I20" s="475">
        <f>'City 19'!BL$92+'City 19'!O$6+'City 19'!$AQ$6</f>
        <v>0</v>
      </c>
      <c r="J20" s="475">
        <f>'City 19'!BM$92+'City 19'!W$8+'City 19'!$AQ$6</f>
        <v>0</v>
      </c>
      <c r="K20" s="475">
        <f>'City 19'!BN$92+'City 19'!O$8+'City 19'!$AQ$6</f>
        <v>0</v>
      </c>
      <c r="L20" s="475">
        <f>'City 19'!BO$92+'City 19'!O$10+'City 19'!$AQ$6</f>
        <v>0</v>
      </c>
      <c r="M20" s="475">
        <f>'City 19'!BP$92+'City 19'!W$10+'City 19'!$AQ$6</f>
        <v>0</v>
      </c>
      <c r="N20">
        <f>'City 19'!$D$66</f>
        <v>0</v>
      </c>
      <c r="O20">
        <f>'City 19'!$U$44</f>
        <v>0</v>
      </c>
      <c r="P20">
        <f>'City 19'!$M$26</f>
        <v>0</v>
      </c>
      <c r="Q20">
        <f>'City 19'!$M$46</f>
        <v>0</v>
      </c>
      <c r="R20">
        <f>'City 19'!$M$16</f>
        <v>0</v>
      </c>
      <c r="S20">
        <f>'City 19'!$U$36</f>
        <v>0</v>
      </c>
      <c r="T20">
        <f>'City 19'!$U$32</f>
        <v>0</v>
      </c>
      <c r="U20">
        <f>'City 19'!$U$54</f>
        <v>0</v>
      </c>
      <c r="V20">
        <f>'City 19'!$U$42</f>
        <v>0</v>
      </c>
      <c r="W20">
        <f>'City 19'!$D$20</f>
        <v>0</v>
      </c>
      <c r="X20">
        <f>'City 19'!$D$46</f>
        <v>0</v>
      </c>
      <c r="Y20">
        <f>'City 19'!$D$64</f>
        <v>0</v>
      </c>
      <c r="Z20">
        <f>'City 19'!$M$30</f>
        <v>0</v>
      </c>
      <c r="AA20">
        <f>'City 19'!$M$48</f>
        <v>0</v>
      </c>
      <c r="AD20">
        <f>'City 19'!$D$22</f>
        <v>0</v>
      </c>
      <c r="AE20">
        <f>'City 19'!$D$34</f>
        <v>0</v>
      </c>
      <c r="AF20">
        <f>'City 19'!$D$36</f>
        <v>0</v>
      </c>
      <c r="AG20">
        <f>'City 19'!$D$60</f>
        <v>0</v>
      </c>
      <c r="AH20">
        <f>'City 19'!$M$18</f>
        <v>0</v>
      </c>
      <c r="AI20">
        <f>'City 19'!$M$36</f>
        <v>0</v>
      </c>
      <c r="AJ20">
        <f>'City 19'!$M$46</f>
        <v>0</v>
      </c>
      <c r="AK20">
        <f>'City 19'!$M$54</f>
        <v>0</v>
      </c>
      <c r="AL20">
        <f>'City 19'!$M$66</f>
        <v>0</v>
      </c>
      <c r="AM20">
        <f>'City 19'!$U$24</f>
        <v>0</v>
      </c>
      <c r="AN20">
        <f>'City 19'!$U$26</f>
        <v>0</v>
      </c>
      <c r="AO20">
        <f>'City 19'!$U$32</f>
        <v>0</v>
      </c>
      <c r="AP20">
        <f>'City 19'!$U$44</f>
        <v>0</v>
      </c>
      <c r="AQ20">
        <f>'City 19'!$D$50+'City 19'!$D$277</f>
        <v>0</v>
      </c>
      <c r="AR20">
        <f>'City 19'!$M$24</f>
        <v>0</v>
      </c>
      <c r="AS20">
        <f>'City 19'!$U$34+'City 19'!$D$275</f>
        <v>0</v>
      </c>
      <c r="AT20">
        <f>'City 19'!$U$46+'City 19'!$D$276</f>
        <v>0</v>
      </c>
    </row>
    <row r="21" spans="1:46" x14ac:dyDescent="0.25">
      <c r="A21" t="s">
        <v>121</v>
      </c>
      <c r="B21" s="140">
        <f>'City 20'!$D$2</f>
        <v>0</v>
      </c>
      <c r="C21" s="105">
        <f>'City 20'!$D$50+'City 20'!$D$277</f>
        <v>0</v>
      </c>
      <c r="D21" s="105">
        <f>'City 20'!$U$62</f>
        <v>0</v>
      </c>
      <c r="E21" s="105">
        <f>'City 20'!$U$8</f>
        <v>0</v>
      </c>
      <c r="F21" s="605">
        <f>'City 20'!$AA$2</f>
        <v>0</v>
      </c>
      <c r="G21" s="607">
        <f>IF('City 20'!$AP$8="",0,IF('City 20'!$AP$8="Metropolis",(VLOOKUP('City 20'!$AP$8,'Drop Down'!$Y$14:$AD$17,6,FALSE)*'City 20'!$U$8),VLOOKUP('City 20'!$AP$8,'Drop Down'!$Y$14:$AD$17,6,FALSE)))+IF('City 20'!$M$26&lt;&gt;0,-1,0)</f>
        <v>0</v>
      </c>
      <c r="H21" s="475">
        <f>'City 20'!BK$92+'City 20'!O$4+'City 20'!$AQ$6</f>
        <v>0</v>
      </c>
      <c r="I21" s="475">
        <f>'City 20'!BL$92+'City 20'!O$6+'City 20'!$AQ$6</f>
        <v>0</v>
      </c>
      <c r="J21" s="475">
        <f>'City 20'!BM$92+'City 20'!W$8+'City 20'!$AQ$6</f>
        <v>0</v>
      </c>
      <c r="K21" s="475">
        <f>'City 20'!BN$92+'City 20'!O$8+'City 20'!$AQ$6</f>
        <v>0</v>
      </c>
      <c r="L21" s="475">
        <f>'City 20'!BO$92+'City 20'!O$10+'City 20'!$AQ$6</f>
        <v>0</v>
      </c>
      <c r="M21" s="475">
        <f>'City 20'!BP$92+'City 20'!W$10+'City 20'!$AQ$6</f>
        <v>0</v>
      </c>
      <c r="N21">
        <f>'City 20'!$D$66</f>
        <v>0</v>
      </c>
      <c r="O21">
        <f>'City 20'!$U$44</f>
        <v>0</v>
      </c>
      <c r="P21">
        <f>'City 20'!$M$26</f>
        <v>0</v>
      </c>
      <c r="Q21">
        <f>'City 20'!$M$46</f>
        <v>0</v>
      </c>
      <c r="R21">
        <f>'City 20'!$M$16</f>
        <v>0</v>
      </c>
      <c r="S21">
        <f>'City 20'!$U$36</f>
        <v>0</v>
      </c>
      <c r="T21">
        <f>'City 20'!$U$32</f>
        <v>0</v>
      </c>
      <c r="U21">
        <f>'City 20'!$U$54</f>
        <v>0</v>
      </c>
      <c r="V21">
        <f>'City 20'!$U$42</f>
        <v>0</v>
      </c>
      <c r="W21">
        <f>'City 20'!$D$20</f>
        <v>0</v>
      </c>
      <c r="X21">
        <f>'City 20'!$D$46</f>
        <v>0</v>
      </c>
      <c r="Y21">
        <f>'City 20'!$D$64</f>
        <v>0</v>
      </c>
      <c r="Z21">
        <f>'City 20'!$M$30</f>
        <v>0</v>
      </c>
      <c r="AA21">
        <f>'City 20'!$M$48</f>
        <v>0</v>
      </c>
      <c r="AD21">
        <f>'City 22'!$D$22</f>
        <v>0</v>
      </c>
      <c r="AE21">
        <f>'City 20'!$D$34</f>
        <v>0</v>
      </c>
      <c r="AF21">
        <f>'City 20'!$D$36</f>
        <v>0</v>
      </c>
      <c r="AG21">
        <f>'City 20'!$D$60</f>
        <v>0</v>
      </c>
      <c r="AH21">
        <f>'City 20'!$M$18</f>
        <v>0</v>
      </c>
      <c r="AI21">
        <f>'City 20'!$M$36</f>
        <v>0</v>
      </c>
      <c r="AJ21">
        <f>'City 20'!$M$46</f>
        <v>0</v>
      </c>
      <c r="AK21">
        <f>'City 20'!$M$54</f>
        <v>0</v>
      </c>
      <c r="AL21">
        <f>'City 20'!$M$66</f>
        <v>0</v>
      </c>
      <c r="AM21">
        <f>'City 20'!$U$24</f>
        <v>0</v>
      </c>
      <c r="AN21">
        <f>'City 20'!$U$26</f>
        <v>0</v>
      </c>
      <c r="AO21">
        <f>'City 20'!$U$32</f>
        <v>0</v>
      </c>
      <c r="AP21">
        <f>'City 20'!$U$44</f>
        <v>0</v>
      </c>
      <c r="AQ21">
        <f>'City 20'!$D$50+'City 20'!$D$277</f>
        <v>0</v>
      </c>
      <c r="AR21">
        <f>'City 20'!$M$24</f>
        <v>0</v>
      </c>
      <c r="AS21">
        <f>'City 20'!$U$34+'City 20'!$D$275</f>
        <v>0</v>
      </c>
      <c r="AT21">
        <f>'City 20'!$U$46+'City 20'!$D$276</f>
        <v>0</v>
      </c>
    </row>
    <row r="22" spans="1:46" x14ac:dyDescent="0.25">
      <c r="A22" t="s">
        <v>122</v>
      </c>
      <c r="B22" s="140">
        <f>'City 21'!$D$2</f>
        <v>0</v>
      </c>
      <c r="C22" s="105">
        <f>'City 21'!$D$50+'City 21'!$D$277</f>
        <v>0</v>
      </c>
      <c r="D22" s="105">
        <f>'City 21'!$U$62</f>
        <v>0</v>
      </c>
      <c r="E22" s="105">
        <f>'City 21'!$U$8</f>
        <v>0</v>
      </c>
      <c r="F22" s="605">
        <f>'City 21'!$AA$2</f>
        <v>0</v>
      </c>
      <c r="G22" s="607">
        <f>IF('City 21'!$AP$8="",0,IF('City 21'!$AP$8="Metropolis",(VLOOKUP('City 21'!$AP$8,'Drop Down'!$Y$14:$AD$17,6,FALSE)*'City 21'!$U$8),VLOOKUP('City 21'!$AP$8,'Drop Down'!$Y$14:$AD$17,6,FALSE)))+IF('City 21'!$M$26&lt;&gt;0,-1,0)</f>
        <v>0</v>
      </c>
      <c r="H22" s="475">
        <f>'City 21'!BK$92+'City 21'!O$4+'City 21'!$AQ$6</f>
        <v>0</v>
      </c>
      <c r="I22" s="475">
        <f>'City 21'!BL$92+'City 21'!O$6+'City 21'!$AQ$6</f>
        <v>0</v>
      </c>
      <c r="J22" s="475">
        <f>'City 21'!BM$92+'City 21'!W$8+'City 21'!$AQ$6</f>
        <v>0</v>
      </c>
      <c r="K22" s="475">
        <f>'City 21'!BN$92+'City 21'!O$8+'City 21'!$AQ$6</f>
        <v>0</v>
      </c>
      <c r="L22" s="475">
        <f>'City 21'!BO$92+'City 21'!O$10+'City 21'!$AQ$6</f>
        <v>0</v>
      </c>
      <c r="M22" s="475">
        <f>'City 21'!BP$92+'City 21'!W$10+'City 21'!$AQ$6</f>
        <v>0</v>
      </c>
      <c r="N22">
        <f>'City 21'!$D$66</f>
        <v>0</v>
      </c>
      <c r="O22">
        <f>'City 21'!$U$44</f>
        <v>0</v>
      </c>
      <c r="P22">
        <f>'City 21'!$M$26</f>
        <v>0</v>
      </c>
      <c r="Q22">
        <f>'City 21'!$M$46</f>
        <v>0</v>
      </c>
      <c r="R22">
        <f>'City 21'!$M$16</f>
        <v>0</v>
      </c>
      <c r="S22">
        <f>'City 21'!$U$36</f>
        <v>0</v>
      </c>
      <c r="T22">
        <f>'City 21'!$U$32</f>
        <v>0</v>
      </c>
      <c r="U22">
        <f>'City 21'!$U$54</f>
        <v>0</v>
      </c>
      <c r="V22">
        <f>'City 21'!$U$42</f>
        <v>0</v>
      </c>
      <c r="W22">
        <f>'City 21'!$D$20</f>
        <v>0</v>
      </c>
      <c r="X22">
        <f>'City 21'!$D$46</f>
        <v>0</v>
      </c>
      <c r="Y22">
        <f>'City 21'!$D$64</f>
        <v>0</v>
      </c>
      <c r="Z22">
        <f>'City 21'!$M$30</f>
        <v>0</v>
      </c>
      <c r="AA22">
        <f>'City 21'!$M$48</f>
        <v>0</v>
      </c>
      <c r="AD22">
        <f>'City 21'!$D$22</f>
        <v>0</v>
      </c>
      <c r="AE22">
        <f>'City 21'!$D$34</f>
        <v>0</v>
      </c>
      <c r="AF22">
        <f>'City 21'!$D$36</f>
        <v>0</v>
      </c>
      <c r="AG22">
        <f>'City 21'!$D$60</f>
        <v>0</v>
      </c>
      <c r="AH22">
        <f>'City 21'!$M$18</f>
        <v>0</v>
      </c>
      <c r="AI22">
        <f>'City 21'!$M$36</f>
        <v>0</v>
      </c>
      <c r="AJ22">
        <f>'City 21'!$M$46</f>
        <v>0</v>
      </c>
      <c r="AK22">
        <f>'City 21'!$M$54</f>
        <v>0</v>
      </c>
      <c r="AL22">
        <f>'City 21'!$M$66</f>
        <v>0</v>
      </c>
      <c r="AM22">
        <f>'City 21'!$U$24</f>
        <v>0</v>
      </c>
      <c r="AN22">
        <f>'City 21'!$U$26</f>
        <v>0</v>
      </c>
      <c r="AO22">
        <f>'City 21'!$U$32</f>
        <v>0</v>
      </c>
      <c r="AP22">
        <f>'City 21'!$U$44</f>
        <v>0</v>
      </c>
      <c r="AQ22">
        <f>'City 21'!$D$50+'City 21'!$D$277</f>
        <v>0</v>
      </c>
      <c r="AR22">
        <f>'City 21'!$M$24</f>
        <v>0</v>
      </c>
      <c r="AS22">
        <f>'City 21'!$U$34+'City 21'!$D$275</f>
        <v>0</v>
      </c>
      <c r="AT22">
        <f>'City 21'!$U$46+'City 21'!$D$276</f>
        <v>0</v>
      </c>
    </row>
    <row r="23" spans="1:46" x14ac:dyDescent="0.25">
      <c r="A23" t="s">
        <v>123</v>
      </c>
      <c r="B23" s="140">
        <f>'City 22'!$D$2</f>
        <v>0</v>
      </c>
      <c r="C23" s="105">
        <f>'City 22'!$D$50+'City 22'!$D$277</f>
        <v>0</v>
      </c>
      <c r="D23" s="105">
        <f>'City 22'!$U$62</f>
        <v>0</v>
      </c>
      <c r="E23" s="105">
        <f>'City 22'!$U$8</f>
        <v>0</v>
      </c>
      <c r="F23" s="605">
        <f>'City 22'!$AA$2</f>
        <v>0</v>
      </c>
      <c r="G23" s="607">
        <f>IF('City 22'!$AP$8="",0,IF('City 22'!$AP$8="Metropolis",(VLOOKUP('City 22'!$AP$8,'Drop Down'!$Y$14:$AD$17,6,FALSE)*'City 22'!$U$8),VLOOKUP('City 22'!$AP$8,'Drop Down'!$Y$14:$AD$17,6,FALSE)))+IF('City 22'!$M$26&lt;&gt;0,-1,0)</f>
        <v>0</v>
      </c>
      <c r="H23" s="475">
        <f>'City 22'!BK$92+'City 22'!O$4+'City 22'!$AQ$6</f>
        <v>0</v>
      </c>
      <c r="I23" s="475">
        <f>'City 22'!BL$92+'City 22'!O$6+'City 22'!$AQ$6</f>
        <v>0</v>
      </c>
      <c r="J23" s="475">
        <f>'City 22'!BM$92+'City 22'!W$8+'City 22'!$AQ$6</f>
        <v>0</v>
      </c>
      <c r="K23" s="475">
        <f>'City 22'!BN$92+'City 22'!O$8+'City 22'!$AQ$6</f>
        <v>0</v>
      </c>
      <c r="L23" s="475">
        <f>'City 22'!BO$92+'City 22'!O$10+'City 22'!$AQ$6</f>
        <v>0</v>
      </c>
      <c r="M23" s="475">
        <f>'City 22'!BP$92+'City 22'!W$10+'City 22'!$AQ$6</f>
        <v>0</v>
      </c>
      <c r="N23">
        <f>'City 22'!$D$66</f>
        <v>0</v>
      </c>
      <c r="O23">
        <f>'City 22'!$U$44</f>
        <v>0</v>
      </c>
      <c r="P23">
        <f>'City 22'!$M$26</f>
        <v>0</v>
      </c>
      <c r="Q23">
        <f>'City 22'!$M$46</f>
        <v>0</v>
      </c>
      <c r="R23">
        <f>'City 22'!$M$16</f>
        <v>0</v>
      </c>
      <c r="S23">
        <f>'City 22'!$U$36</f>
        <v>0</v>
      </c>
      <c r="T23">
        <f>'City 22'!$U$32</f>
        <v>0</v>
      </c>
      <c r="U23">
        <f>'City 22'!$U$54</f>
        <v>0</v>
      </c>
      <c r="V23">
        <f>'City 22'!$U$42</f>
        <v>0</v>
      </c>
      <c r="W23">
        <f>'City 22'!$D$20</f>
        <v>0</v>
      </c>
      <c r="X23">
        <f>'City 22'!$D$46</f>
        <v>0</v>
      </c>
      <c r="Y23">
        <f>'City 22'!$D$64</f>
        <v>0</v>
      </c>
      <c r="Z23">
        <f>'City 22'!$M$30</f>
        <v>0</v>
      </c>
      <c r="AA23">
        <f>'City 22'!$M$48</f>
        <v>0</v>
      </c>
      <c r="AD23">
        <f>'City 22'!$D$22</f>
        <v>0</v>
      </c>
      <c r="AE23">
        <f>'City 22'!$D$34</f>
        <v>0</v>
      </c>
      <c r="AF23">
        <f>'City 22'!$D$36</f>
        <v>0</v>
      </c>
      <c r="AG23">
        <f>'City 22'!$D$60</f>
        <v>0</v>
      </c>
      <c r="AH23">
        <f>'City 22'!$M$18</f>
        <v>0</v>
      </c>
      <c r="AI23">
        <f>'City 22'!$M$36</f>
        <v>0</v>
      </c>
      <c r="AJ23">
        <f>'City 22'!$M$46</f>
        <v>0</v>
      </c>
      <c r="AK23">
        <f>'City 22'!$M$54</f>
        <v>0</v>
      </c>
      <c r="AL23">
        <f>'City 22'!$M$66</f>
        <v>0</v>
      </c>
      <c r="AM23">
        <f>'City 22'!$U$24</f>
        <v>0</v>
      </c>
      <c r="AN23">
        <f>'City 22'!$U$26</f>
        <v>0</v>
      </c>
      <c r="AO23">
        <f>'City 22'!$U$32</f>
        <v>0</v>
      </c>
      <c r="AP23">
        <f>'City 22'!$U$44</f>
        <v>0</v>
      </c>
      <c r="AQ23">
        <f>'City 22'!$D$50+'City 22'!$D$277</f>
        <v>0</v>
      </c>
      <c r="AR23">
        <f>'City 22'!$M$24</f>
        <v>0</v>
      </c>
      <c r="AS23">
        <f>'City 22'!$U$34+'City 22'!$D$275</f>
        <v>0</v>
      </c>
      <c r="AT23">
        <f>'City 22'!$U$46+'City 22'!$D$276</f>
        <v>0</v>
      </c>
    </row>
    <row r="24" spans="1:46" x14ac:dyDescent="0.25">
      <c r="A24" t="s">
        <v>124</v>
      </c>
      <c r="B24" s="140">
        <f>'City 23'!$D$2</f>
        <v>0</v>
      </c>
      <c r="C24" s="105">
        <f>'City 23'!$D$50+'City 23'!$D$277</f>
        <v>0</v>
      </c>
      <c r="D24" s="105">
        <f>'City 23'!$U$62</f>
        <v>0</v>
      </c>
      <c r="E24" s="105">
        <f>'City 23'!$U$8</f>
        <v>0</v>
      </c>
      <c r="F24" s="605">
        <f>'City 23'!$AA$2</f>
        <v>0</v>
      </c>
      <c r="G24" s="607">
        <f>IF('City 23'!$AP$8="",0,IF('City 23'!$AP$8="Metropolis",(VLOOKUP('City 23'!$AP$8,'Drop Down'!$Y$14:$AD$17,6,FALSE)*'City 23'!$U$8),VLOOKUP('City 23'!$AP$8,'Drop Down'!$Y$14:$AD$17,6,FALSE)))+IF('City 23'!$M$26&lt;&gt;0,-1,0)</f>
        <v>0</v>
      </c>
      <c r="H24" s="475">
        <f>'City 23'!BK$92+'City 23'!O$4+'City 23'!$AQ$6</f>
        <v>0</v>
      </c>
      <c r="I24" s="475">
        <f>'City 23'!BL$92+'City 23'!O$6+'City 23'!$AQ$6</f>
        <v>0</v>
      </c>
      <c r="J24" s="475">
        <f>'City 23'!BM$92+'City 23'!W$8+'City 23'!$AQ$6</f>
        <v>0</v>
      </c>
      <c r="K24" s="475">
        <f>'City 23'!BN$92+'City 23'!O$8+'City 23'!$AQ$6</f>
        <v>0</v>
      </c>
      <c r="L24" s="475">
        <f>'City 23'!BO$92+'City 23'!O$10+'City 23'!$AQ$6</f>
        <v>0</v>
      </c>
      <c r="M24" s="475">
        <f>'City 23'!BP$92+'City 23'!W$10+'City 23'!$AQ$6</f>
        <v>0</v>
      </c>
      <c r="N24">
        <f>'City 23'!$D$66</f>
        <v>0</v>
      </c>
      <c r="O24">
        <f>'City 23'!$U$44</f>
        <v>0</v>
      </c>
      <c r="P24">
        <f>'City 23'!$M$26</f>
        <v>0</v>
      </c>
      <c r="Q24">
        <f>'City 23'!$M$46</f>
        <v>0</v>
      </c>
      <c r="R24">
        <f>'City 23'!$M$16</f>
        <v>0</v>
      </c>
      <c r="S24">
        <f>'City 23'!$U$36</f>
        <v>0</v>
      </c>
      <c r="T24">
        <f>'City 23'!$U$32</f>
        <v>0</v>
      </c>
      <c r="U24">
        <f>'City 23'!$U$54</f>
        <v>0</v>
      </c>
      <c r="V24">
        <f>'City 23'!$U$42</f>
        <v>0</v>
      </c>
      <c r="W24">
        <f>'City 23'!$D$20</f>
        <v>0</v>
      </c>
      <c r="X24">
        <f>'City 23'!$D$46</f>
        <v>0</v>
      </c>
      <c r="Y24">
        <f>'City 23'!$D$64</f>
        <v>0</v>
      </c>
      <c r="Z24">
        <f>'City 23'!$M$30</f>
        <v>0</v>
      </c>
      <c r="AA24">
        <f>'City 23'!$M$48</f>
        <v>0</v>
      </c>
      <c r="AD24">
        <f>'City 23'!$D$22</f>
        <v>0</v>
      </c>
      <c r="AE24">
        <f>'City 23'!$D$34</f>
        <v>0</v>
      </c>
      <c r="AF24">
        <f>'City 23'!$D$36</f>
        <v>0</v>
      </c>
      <c r="AG24">
        <f>'City 23'!$D$60</f>
        <v>0</v>
      </c>
      <c r="AH24">
        <f>'City 23'!$M$18</f>
        <v>0</v>
      </c>
      <c r="AI24">
        <f>'City 23'!$M$36</f>
        <v>0</v>
      </c>
      <c r="AJ24">
        <f>'City 23'!$M$46</f>
        <v>0</v>
      </c>
      <c r="AK24">
        <f>'City 23'!$M$54</f>
        <v>0</v>
      </c>
      <c r="AL24">
        <f>'City 23'!$M$66</f>
        <v>0</v>
      </c>
      <c r="AM24">
        <f>'City 23'!$U$24</f>
        <v>0</v>
      </c>
      <c r="AN24">
        <f>'City 23'!$U$26</f>
        <v>0</v>
      </c>
      <c r="AO24">
        <f>'City 23'!$U$32</f>
        <v>0</v>
      </c>
      <c r="AP24">
        <f>'City 23'!$U$44</f>
        <v>0</v>
      </c>
      <c r="AQ24">
        <f>'City 23'!$D$50+'City 23'!$D$277</f>
        <v>0</v>
      </c>
      <c r="AR24">
        <f>'City 23'!$M$24</f>
        <v>0</v>
      </c>
      <c r="AS24">
        <f>'City 23'!$U$34+'City 23'!$D$275</f>
        <v>0</v>
      </c>
      <c r="AT24">
        <f>'City 23'!$U$46+'City 23'!$D$276</f>
        <v>0</v>
      </c>
    </row>
    <row r="25" spans="1:46" x14ac:dyDescent="0.25">
      <c r="A25" t="s">
        <v>125</v>
      </c>
      <c r="B25" s="140">
        <f>'City 24'!$D$2</f>
        <v>0</v>
      </c>
      <c r="C25" s="105">
        <f>'City 24'!$D$50+'City 24'!$D$277</f>
        <v>0</v>
      </c>
      <c r="D25" s="105">
        <f>'City 24'!$U$62</f>
        <v>0</v>
      </c>
      <c r="E25" s="105">
        <f>'City 24'!$U$8</f>
        <v>0</v>
      </c>
      <c r="F25" s="605">
        <f>'City 24'!$AA$2</f>
        <v>0</v>
      </c>
      <c r="G25" s="607">
        <f>IF('City 24'!$AP$8="",0,IF('City 24'!$AP$8="Metropolis",(VLOOKUP('City 24'!$AP$8,'Drop Down'!$Y$14:$AD$17,6,FALSE)*'City 24'!$U$8),VLOOKUP('City 24'!$AP$8,'Drop Down'!$Y$14:$AD$17,6,FALSE)))+IF('City 24'!$M$26&lt;&gt;0,-1,0)</f>
        <v>0</v>
      </c>
      <c r="H25" s="475">
        <f>'City 24'!BK$92+'City 24'!O$4+'City 24'!$AQ$6</f>
        <v>0</v>
      </c>
      <c r="I25" s="475">
        <f>'City 24'!BL$92+'City 24'!O$6+'City 24'!$AQ$6</f>
        <v>0</v>
      </c>
      <c r="J25" s="475">
        <f>'City 24'!BM$92+'City 24'!W$8+'City 24'!$AQ$6</f>
        <v>0</v>
      </c>
      <c r="K25" s="475">
        <f>'City 24'!BN$92+'City 24'!O$8+'City 24'!$AQ$6</f>
        <v>0</v>
      </c>
      <c r="L25" s="475">
        <f>'City 24'!BO$92+'City 24'!O$10+'City 24'!$AQ$6</f>
        <v>0</v>
      </c>
      <c r="M25" s="475">
        <f>'City 24'!BP$92+'City 24'!W$10+'City 24'!$AQ$6</f>
        <v>0</v>
      </c>
      <c r="N25">
        <f>'City 24'!$D$66</f>
        <v>0</v>
      </c>
      <c r="O25">
        <f>'City 24'!$U$44</f>
        <v>0</v>
      </c>
      <c r="P25">
        <f>'City 24'!$M$26</f>
        <v>0</v>
      </c>
      <c r="Q25">
        <f>'City 24'!$M$46</f>
        <v>0</v>
      </c>
      <c r="R25">
        <f>'City 24'!$M$16</f>
        <v>0</v>
      </c>
      <c r="S25">
        <f>'City 24'!$U$36</f>
        <v>0</v>
      </c>
      <c r="T25">
        <f>'City 24'!$U$32</f>
        <v>0</v>
      </c>
      <c r="U25">
        <f>'City 24'!$U$54</f>
        <v>0</v>
      </c>
      <c r="V25">
        <f>'City 24'!$U$42</f>
        <v>0</v>
      </c>
      <c r="W25">
        <f>'City 24'!$D$20</f>
        <v>0</v>
      </c>
      <c r="X25">
        <f>'City 24'!$D$46</f>
        <v>0</v>
      </c>
      <c r="Y25">
        <f>'City 24'!$D$64</f>
        <v>0</v>
      </c>
      <c r="Z25">
        <f>'City 24'!$M$30</f>
        <v>0</v>
      </c>
      <c r="AA25">
        <f>'City 24'!$M$48</f>
        <v>0</v>
      </c>
      <c r="AD25">
        <f>'City 24'!$D$22</f>
        <v>0</v>
      </c>
      <c r="AE25">
        <f>'City 24'!$D$34</f>
        <v>0</v>
      </c>
      <c r="AF25">
        <f>'City 24'!$D$36</f>
        <v>0</v>
      </c>
      <c r="AG25">
        <f>'City 24'!$D$60</f>
        <v>0</v>
      </c>
      <c r="AH25">
        <f>'City 24'!$M$18</f>
        <v>0</v>
      </c>
      <c r="AI25">
        <f>'City 24'!$M$36</f>
        <v>0</v>
      </c>
      <c r="AJ25">
        <f>'City 24'!$M$46</f>
        <v>0</v>
      </c>
      <c r="AK25">
        <f>'City 24'!$M$54</f>
        <v>0</v>
      </c>
      <c r="AL25">
        <f>'City 24'!$M$66</f>
        <v>0</v>
      </c>
      <c r="AM25">
        <f>'City 24'!$U$24</f>
        <v>0</v>
      </c>
      <c r="AN25">
        <f>'City 24'!$U$26</f>
        <v>0</v>
      </c>
      <c r="AO25">
        <f>'City 24'!$U$32</f>
        <v>0</v>
      </c>
      <c r="AP25">
        <f>'City 24'!$U$44</f>
        <v>0</v>
      </c>
      <c r="AQ25">
        <f>'City 24'!$D$50+'City 24'!$D$277</f>
        <v>0</v>
      </c>
      <c r="AR25">
        <f>'City 24'!$M$24</f>
        <v>0</v>
      </c>
      <c r="AS25">
        <f>'City 24'!$U$34+'City 24'!$D$275</f>
        <v>0</v>
      </c>
      <c r="AT25">
        <f>'City 24'!$U$46+'City 24'!$D$276</f>
        <v>0</v>
      </c>
    </row>
    <row r="26" spans="1:46" x14ac:dyDescent="0.25">
      <c r="A26" t="s">
        <v>126</v>
      </c>
      <c r="B26" s="140">
        <f>'City 25'!$D$2</f>
        <v>0</v>
      </c>
      <c r="C26" s="105">
        <f>'City 25'!$D$50+'City 25'!$D$277</f>
        <v>0</v>
      </c>
      <c r="D26" s="105">
        <f>'City 25'!$U$62</f>
        <v>0</v>
      </c>
      <c r="E26" s="105">
        <f>'City 25'!$U$8</f>
        <v>0</v>
      </c>
      <c r="F26" s="605">
        <f>'City 25'!$AA$2</f>
        <v>0</v>
      </c>
      <c r="G26" s="607">
        <f>IF('City 25'!$AP$8="",0,IF('City 25'!$AP$8="Metropolis",(VLOOKUP('City 25'!$AP$8,'Drop Down'!$Y$14:$AD$17,6,FALSE)*'City 25'!$U$8),VLOOKUP('City 25'!$AP$8,'Drop Down'!$Y$14:$AD$17,6,FALSE)))+IF('City 25'!$M$26&lt;&gt;0,-1,0)</f>
        <v>0</v>
      </c>
      <c r="H26" s="475">
        <f>'City 25'!BK$92+'City 25'!O$4+'City 25'!$AQ$6</f>
        <v>0</v>
      </c>
      <c r="I26" s="475">
        <f>'City 25'!BL$92+'City 25'!O$6+'City 25'!$AQ$6</f>
        <v>0</v>
      </c>
      <c r="J26" s="475">
        <f>'City 25'!BM$92+'City 25'!W$8+'City 25'!$AQ$6</f>
        <v>0</v>
      </c>
      <c r="K26" s="475">
        <f>'City 25'!BN$92+'City 25'!O$8+'City 25'!$AQ$6</f>
        <v>0</v>
      </c>
      <c r="L26" s="475">
        <f>'City 25'!BO$92+'City 25'!O$10+'City 25'!$AQ$6</f>
        <v>0</v>
      </c>
      <c r="M26" s="475">
        <f>'City 25'!BP$92+'City 25'!W$10+'City 25'!$AQ$6</f>
        <v>0</v>
      </c>
      <c r="N26">
        <f>'City 25'!$D$66</f>
        <v>0</v>
      </c>
      <c r="O26">
        <f>'City 25'!$U$44</f>
        <v>0</v>
      </c>
      <c r="P26">
        <f>'City 25'!$M$26</f>
        <v>0</v>
      </c>
      <c r="Q26">
        <f>'City 25'!$M$46</f>
        <v>0</v>
      </c>
      <c r="R26">
        <f>'City 25'!$M$16</f>
        <v>0</v>
      </c>
      <c r="S26">
        <f>'City 25'!$U$36</f>
        <v>0</v>
      </c>
      <c r="T26">
        <f>'City 25'!$U$32</f>
        <v>0</v>
      </c>
      <c r="U26">
        <f>'City 25'!$U$54</f>
        <v>0</v>
      </c>
      <c r="V26">
        <f>'City 25'!$U$42</f>
        <v>0</v>
      </c>
      <c r="W26">
        <f>'City 25'!$D$20</f>
        <v>0</v>
      </c>
      <c r="X26">
        <f>'City 25'!$D$46</f>
        <v>0</v>
      </c>
      <c r="Y26">
        <f>'City 25'!$D$64</f>
        <v>0</v>
      </c>
      <c r="Z26">
        <f>'City 25'!$M$30</f>
        <v>0</v>
      </c>
      <c r="AA26">
        <f>'City 25'!$M$48</f>
        <v>0</v>
      </c>
      <c r="AD26">
        <f>'City 25'!$D$22</f>
        <v>0</v>
      </c>
      <c r="AE26">
        <f>'City 25'!$D$34</f>
        <v>0</v>
      </c>
      <c r="AF26">
        <f>'City 25'!$D$36</f>
        <v>0</v>
      </c>
      <c r="AG26">
        <f>'City 25'!$D$60</f>
        <v>0</v>
      </c>
      <c r="AH26">
        <f>'City 25'!$M$18</f>
        <v>0</v>
      </c>
      <c r="AI26">
        <f>'City 25'!$M$36</f>
        <v>0</v>
      </c>
      <c r="AJ26">
        <f>'City 25'!$M$46</f>
        <v>0</v>
      </c>
      <c r="AK26">
        <f>'City 25'!$M$54</f>
        <v>0</v>
      </c>
      <c r="AL26">
        <f>'City 25'!$M$66</f>
        <v>0</v>
      </c>
      <c r="AM26">
        <f>'City 25'!$U$24</f>
        <v>0</v>
      </c>
      <c r="AN26">
        <f>'City 25'!$U$26</f>
        <v>0</v>
      </c>
      <c r="AO26">
        <f>'City 25'!$U$32</f>
        <v>0</v>
      </c>
      <c r="AP26">
        <f>'City 25'!$U$44</f>
        <v>0</v>
      </c>
      <c r="AQ26">
        <f>'City 25'!$D$50+'City 25'!$D$277</f>
        <v>0</v>
      </c>
      <c r="AR26">
        <f>'City 25'!$M$24</f>
        <v>0</v>
      </c>
      <c r="AS26">
        <f>'City 25'!$U$34+'City 25'!$D$275</f>
        <v>0</v>
      </c>
      <c r="AT26">
        <f>'City 25'!$U$46+'City 25'!$D$276</f>
        <v>0</v>
      </c>
    </row>
    <row r="27" spans="1:46" x14ac:dyDescent="0.25">
      <c r="C27" s="103">
        <f t="shared" ref="C27:O27" si="0">SUM(C2:C26)</f>
        <v>0</v>
      </c>
      <c r="D27" s="103">
        <f t="shared" si="0"/>
        <v>0</v>
      </c>
      <c r="E27" s="103">
        <f t="shared" si="0"/>
        <v>1</v>
      </c>
      <c r="F27" s="605">
        <f>SUM(F2:F26)</f>
        <v>0</v>
      </c>
      <c r="G27" s="605">
        <f>INT(SUM(G2:G26))</f>
        <v>0</v>
      </c>
      <c r="H27">
        <f t="shared" si="0"/>
        <v>-2</v>
      </c>
      <c r="I27">
        <f t="shared" si="0"/>
        <v>-2</v>
      </c>
      <c r="J27">
        <f t="shared" si="0"/>
        <v>-2</v>
      </c>
      <c r="K27">
        <f t="shared" si="0"/>
        <v>-2</v>
      </c>
      <c r="L27">
        <f t="shared" si="0"/>
        <v>-2</v>
      </c>
      <c r="M27">
        <f t="shared" si="0"/>
        <v>-2</v>
      </c>
      <c r="N27">
        <f t="shared" si="0"/>
        <v>0</v>
      </c>
      <c r="O27">
        <f t="shared" si="0"/>
        <v>0</v>
      </c>
      <c r="P27">
        <f t="shared" ref="P27:AA27" si="1">SUM(P2:P26)</f>
        <v>0</v>
      </c>
      <c r="Q27">
        <f t="shared" si="1"/>
        <v>0</v>
      </c>
      <c r="R27">
        <f t="shared" si="1"/>
        <v>0</v>
      </c>
      <c r="S27">
        <f t="shared" si="1"/>
        <v>0</v>
      </c>
      <c r="T27">
        <f t="shared" si="1"/>
        <v>0</v>
      </c>
      <c r="U27">
        <f t="shared" si="1"/>
        <v>0</v>
      </c>
      <c r="V27">
        <f t="shared" si="1"/>
        <v>0</v>
      </c>
      <c r="W27">
        <f t="shared" si="1"/>
        <v>0</v>
      </c>
      <c r="X27">
        <f t="shared" si="1"/>
        <v>0</v>
      </c>
      <c r="Y27">
        <f t="shared" si="1"/>
        <v>0</v>
      </c>
      <c r="Z27">
        <f t="shared" si="1"/>
        <v>0</v>
      </c>
      <c r="AA27">
        <f t="shared" si="1"/>
        <v>0</v>
      </c>
    </row>
    <row r="29" spans="1:46" x14ac:dyDescent="0.25">
      <c r="H29">
        <f t="shared" ref="H29:M29" si="2">INT(H27/10)</f>
        <v>-1</v>
      </c>
      <c r="I29">
        <f t="shared" si="2"/>
        <v>-1</v>
      </c>
      <c r="J29">
        <f t="shared" si="2"/>
        <v>-1</v>
      </c>
      <c r="K29">
        <f t="shared" si="2"/>
        <v>-1</v>
      </c>
      <c r="L29">
        <f t="shared" si="2"/>
        <v>-1</v>
      </c>
      <c r="M29">
        <f t="shared" si="2"/>
        <v>-1</v>
      </c>
    </row>
  </sheetData>
  <sheetProtection sheet="1" objects="1" scenarios="1"/>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F302"/>
  <sheetViews>
    <sheetView topLeftCell="B1" workbookViewId="0">
      <selection activeCell="H12" sqref="H12"/>
    </sheetView>
  </sheetViews>
  <sheetFormatPr defaultRowHeight="15" x14ac:dyDescent="0.25"/>
  <cols>
    <col min="1" max="1" width="0.85546875" customWidth="1"/>
    <col min="2" max="2" width="18.7109375" customWidth="1"/>
    <col min="3" max="3" width="0.85546875" customWidth="1"/>
    <col min="4" max="4" width="11.42578125" customWidth="1"/>
    <col min="5" max="5" width="0.85546875" customWidth="1"/>
    <col min="6" max="6" width="19.85546875" customWidth="1"/>
    <col min="7" max="7" width="0.85546875" customWidth="1"/>
    <col min="9" max="9" width="0.85546875" customWidth="1"/>
    <col min="10" max="10" width="14.85546875" customWidth="1"/>
    <col min="11" max="11" width="0.85546875" customWidth="1"/>
    <col min="13" max="13" width="9.140625" customWidth="1"/>
    <col min="14" max="26" width="9.140625" hidden="1" customWidth="1"/>
    <col min="27" max="33" width="0" hidden="1" customWidth="1"/>
  </cols>
  <sheetData>
    <row r="1" spans="1:32" ht="5.0999999999999996" customHeight="1" thickBot="1" x14ac:dyDescent="0.3">
      <c r="A1" s="9"/>
      <c r="B1" s="11"/>
      <c r="C1" s="11"/>
      <c r="D1" s="11"/>
      <c r="E1" s="11"/>
      <c r="F1" s="11"/>
      <c r="G1" s="11"/>
      <c r="H1" s="11"/>
      <c r="I1" s="11"/>
      <c r="J1" s="11"/>
      <c r="K1" s="12"/>
    </row>
    <row r="2" spans="1:32" ht="15.75" thickBot="1" x14ac:dyDescent="0.3">
      <c r="A2" s="15"/>
      <c r="B2" s="402" t="s">
        <v>47</v>
      </c>
      <c r="C2" s="3"/>
      <c r="D2" s="766" t="s">
        <v>1900</v>
      </c>
      <c r="E2" s="767"/>
      <c r="F2" s="767"/>
      <c r="G2" s="767"/>
      <c r="H2" s="767"/>
      <c r="I2" s="767"/>
      <c r="J2" s="768"/>
      <c r="K2" s="14"/>
    </row>
    <row r="3" spans="1:32" ht="5.0999999999999996" customHeight="1" thickBot="1" x14ac:dyDescent="0.3">
      <c r="A3" s="15"/>
      <c r="B3" s="3"/>
      <c r="C3" s="3"/>
      <c r="D3" s="3"/>
      <c r="E3" s="3"/>
      <c r="F3" s="3"/>
      <c r="G3" s="3"/>
      <c r="H3" s="3"/>
      <c r="I3" s="3"/>
      <c r="J3" s="3"/>
      <c r="K3" s="14"/>
    </row>
    <row r="4" spans="1:32" ht="15.75" thickBot="1" x14ac:dyDescent="0.3">
      <c r="A4" s="15"/>
      <c r="B4" s="402" t="s">
        <v>238</v>
      </c>
      <c r="C4" s="3"/>
      <c r="D4" s="403">
        <v>48</v>
      </c>
      <c r="E4" s="3"/>
      <c r="F4" s="3"/>
      <c r="G4" s="3"/>
      <c r="H4" s="3"/>
      <c r="I4" s="3"/>
      <c r="J4" s="3"/>
      <c r="K4" s="14"/>
      <c r="Y4">
        <f>ROUNDDOWN(D4/5,0)</f>
        <v>9</v>
      </c>
    </row>
    <row r="5" spans="1:32" ht="5.0999999999999996" customHeight="1" thickBot="1" x14ac:dyDescent="0.3">
      <c r="A5" s="15"/>
      <c r="B5" s="3"/>
      <c r="C5" s="3"/>
      <c r="D5" s="3"/>
      <c r="E5" s="3"/>
      <c r="F5" s="3"/>
      <c r="G5" s="3"/>
      <c r="H5" s="3"/>
      <c r="I5" s="3"/>
      <c r="J5" s="3"/>
      <c r="K5" s="14"/>
    </row>
    <row r="6" spans="1:32" ht="15.75" thickBot="1" x14ac:dyDescent="0.3">
      <c r="A6" s="15"/>
      <c r="B6" s="365" t="s">
        <v>48</v>
      </c>
      <c r="C6" s="3"/>
      <c r="D6" s="403" t="s">
        <v>96</v>
      </c>
      <c r="E6" s="3"/>
      <c r="F6" s="403" t="s">
        <v>92</v>
      </c>
      <c r="G6" s="3"/>
      <c r="H6" s="3"/>
      <c r="I6" s="3"/>
      <c r="J6" s="3"/>
      <c r="K6" s="14"/>
      <c r="N6">
        <f>IF(D6="Lawful",2,IF(D6="Neutral",1,IF(D6="Chaotic",0,0)))</f>
        <v>0</v>
      </c>
      <c r="O6">
        <f>IF(Overall!$D$4="Lawful",2,IF(Overall!$D$4="Neutral",1,IF(Overall!$D$4="Chaotic",0,0)))</f>
        <v>1</v>
      </c>
      <c r="P6">
        <f>IF(F6="Good",2,IF(F6="Neutral",1,IF(F6="Evil",0,0)))</f>
        <v>1</v>
      </c>
      <c r="Q6">
        <f>IF(Overall!$F$4="Good",2,IF(Overall!$F$4="Neutral",1,IF(Overall!$F$4="Evil",0,0)))</f>
        <v>2</v>
      </c>
      <c r="S6">
        <f>ABS(N6-O6)</f>
        <v>1</v>
      </c>
      <c r="T6">
        <f>ABS(P6-Q6)</f>
        <v>1</v>
      </c>
      <c r="V6">
        <f>IF(S6=0,0,IF(S6=1,5,IF(S6=2,15,0)))</f>
        <v>5</v>
      </c>
      <c r="W6">
        <f>IF(T6=0,0,IF(T6=1,5,IF(T6=2,15,0)))</f>
        <v>5</v>
      </c>
      <c r="Y6">
        <f>SUM(V6:W6)</f>
        <v>10</v>
      </c>
    </row>
    <row r="7" spans="1:32" ht="5.0999999999999996" customHeight="1" thickBot="1" x14ac:dyDescent="0.3">
      <c r="A7" s="15"/>
      <c r="B7" s="365"/>
      <c r="C7" s="3"/>
      <c r="D7" s="3"/>
      <c r="E7" s="3"/>
      <c r="F7" s="3"/>
      <c r="G7" s="3"/>
      <c r="H7" s="3"/>
      <c r="I7" s="3"/>
      <c r="J7" s="3"/>
      <c r="K7" s="14"/>
      <c r="N7">
        <f>IF(D7="Lawful",2,IF(D7="Neutral",1,IF(D7="Chaotic",0,0)))</f>
        <v>0</v>
      </c>
      <c r="O7">
        <f>IF(Overall!$D$4="Lawful",2,IF(Overall!$D$4="Neutral",1,IF(Overall!$D$4="Chaotic",0,0)))</f>
        <v>1</v>
      </c>
      <c r="P7">
        <f>IF(F7="Good",2,IF(F7="Neutral",1,IF(F7="Evil",0,0)))</f>
        <v>0</v>
      </c>
      <c r="Q7">
        <f>IF(Overall!$F$4="Good",2,IF(Overall!$F$4="Neutral",1,IF(Overall!$F$4="Evil",0,0)))</f>
        <v>2</v>
      </c>
      <c r="S7">
        <f>ABS(N7-O7)</f>
        <v>1</v>
      </c>
      <c r="T7">
        <f>ABS(P7-Q7)</f>
        <v>2</v>
      </c>
      <c r="V7">
        <f>IF(S7=0,0,IF(S7=1,5,IF(S7=2,15,0)))</f>
        <v>5</v>
      </c>
      <c r="W7">
        <f>IF(T7=0,0,IF(T7=1,5,IF(T7=2,15,0)))</f>
        <v>15</v>
      </c>
    </row>
    <row r="8" spans="1:32" ht="15.75" thickBot="1" x14ac:dyDescent="0.3">
      <c r="A8" s="15"/>
      <c r="B8" s="365" t="s">
        <v>790</v>
      </c>
      <c r="C8" s="3"/>
      <c r="D8" s="769"/>
      <c r="E8" s="770"/>
      <c r="F8" s="770"/>
      <c r="G8" s="770"/>
      <c r="H8" s="770"/>
      <c r="I8" s="770"/>
      <c r="J8" s="771"/>
      <c r="K8" s="14"/>
      <c r="Y8">
        <f>IF(D8&lt;&gt;0,VLOOKUP(D8,'Drop Down'!$O$35:$U$40,7,FALSE),0)</f>
        <v>0</v>
      </c>
    </row>
    <row r="9" spans="1:32" ht="5.0999999999999996" customHeight="1" thickBot="1" x14ac:dyDescent="0.3">
      <c r="A9" s="15"/>
      <c r="B9" s="365"/>
      <c r="C9" s="3"/>
      <c r="D9" s="3"/>
      <c r="E9" s="3"/>
      <c r="F9" s="3"/>
      <c r="G9" s="3"/>
      <c r="H9" s="3"/>
      <c r="I9" s="3"/>
      <c r="J9" s="3"/>
      <c r="K9" s="14"/>
    </row>
    <row r="10" spans="1:32" ht="15.75" thickBot="1" x14ac:dyDescent="0.3">
      <c r="A10" s="15"/>
      <c r="B10" s="365" t="s">
        <v>784</v>
      </c>
      <c r="C10" s="3"/>
      <c r="D10" s="403" t="s">
        <v>788</v>
      </c>
      <c r="E10" s="3"/>
      <c r="F10" s="434" t="s">
        <v>1105</v>
      </c>
      <c r="G10" s="3"/>
      <c r="H10" s="403">
        <v>60</v>
      </c>
      <c r="I10" s="433"/>
      <c r="K10" s="14"/>
      <c r="Y10">
        <f>IF(D10&lt;&gt;0,VLOOKUP(D10,'Drop Down'!$O$26:$P$31,2,FALSE),0)</f>
        <v>5</v>
      </c>
      <c r="AA10">
        <f>IF(D12="Treaty",1,0)</f>
        <v>1</v>
      </c>
      <c r="AC10">
        <f>ROUNDDOWN(H10/10,0)</f>
        <v>6</v>
      </c>
    </row>
    <row r="11" spans="1:32" ht="5.0999999999999996" customHeight="1" thickBot="1" x14ac:dyDescent="0.3">
      <c r="A11" s="15"/>
      <c r="B11" s="365"/>
      <c r="C11" s="3"/>
      <c r="D11" s="3"/>
      <c r="E11" s="3"/>
      <c r="F11" s="3"/>
      <c r="G11" s="3"/>
      <c r="H11" s="3"/>
      <c r="I11" s="3"/>
      <c r="K11" s="14"/>
    </row>
    <row r="12" spans="1:32" ht="15.75" thickBot="1" x14ac:dyDescent="0.3">
      <c r="A12" s="15"/>
      <c r="B12" s="365" t="s">
        <v>791</v>
      </c>
      <c r="C12" s="3"/>
      <c r="D12" s="403" t="s">
        <v>794</v>
      </c>
      <c r="E12" s="3"/>
      <c r="F12" s="29" t="s">
        <v>1106</v>
      </c>
      <c r="G12" s="3"/>
      <c r="H12" s="403">
        <v>60</v>
      </c>
      <c r="I12" s="3"/>
      <c r="K12" s="14"/>
      <c r="AA12">
        <f>IF(D12="Alliance",2,0)</f>
        <v>0</v>
      </c>
      <c r="AD12">
        <f>ROUNDDOWN(H12/10,0)</f>
        <v>6</v>
      </c>
    </row>
    <row r="13" spans="1:32" ht="5.0999999999999996" customHeight="1" thickBot="1" x14ac:dyDescent="0.3">
      <c r="A13" s="15"/>
      <c r="B13" s="365"/>
      <c r="C13" s="3"/>
      <c r="D13" s="3"/>
      <c r="E13" s="3"/>
      <c r="F13" s="3"/>
      <c r="G13" s="3"/>
      <c r="H13" s="3"/>
      <c r="I13" s="3"/>
      <c r="J13" s="3"/>
      <c r="K13" s="14"/>
    </row>
    <row r="14" spans="1:32" ht="15.75" thickBot="1" x14ac:dyDescent="0.3">
      <c r="A14" s="15"/>
      <c r="B14" s="365" t="s">
        <v>802</v>
      </c>
      <c r="C14" s="3"/>
      <c r="D14" s="296">
        <f>10+Overall!$D$18+Y4+ROUNDDOWN(Overall!$J$4/5,0)+Y6+Y8+Y10-Overall!$D$16</f>
        <v>34</v>
      </c>
      <c r="E14" s="3"/>
      <c r="F14" s="698" t="s">
        <v>803</v>
      </c>
      <c r="G14" s="699"/>
      <c r="H14" s="699"/>
      <c r="I14" s="699"/>
      <c r="J14" s="700"/>
      <c r="K14" s="14"/>
      <c r="AA14">
        <f>AA12+AA10</f>
        <v>1</v>
      </c>
      <c r="AE14">
        <f>IF(AC10&lt;0,0,IF(AA14&gt;0,AC10,0))</f>
        <v>6</v>
      </c>
      <c r="AF14">
        <f>IF(AD12&lt;0,0,IF(AA14=2,AD12,0))</f>
        <v>0</v>
      </c>
    </row>
    <row r="15" spans="1:32" ht="5.0999999999999996" customHeight="1" thickBot="1" x14ac:dyDescent="0.3">
      <c r="A15" s="307"/>
      <c r="B15" s="2"/>
      <c r="C15" s="2"/>
      <c r="D15" s="2"/>
      <c r="E15" s="2"/>
      <c r="F15" s="2"/>
      <c r="G15" s="2"/>
      <c r="H15" s="2"/>
      <c r="I15" s="2"/>
      <c r="J15" s="2"/>
      <c r="K15" s="24"/>
    </row>
    <row r="16" spans="1:32" ht="5.0999999999999996" customHeight="1" thickBot="1" x14ac:dyDescent="0.3">
      <c r="A16" s="9"/>
      <c r="B16" s="11"/>
      <c r="C16" s="11"/>
      <c r="D16" s="11"/>
      <c r="E16" s="11"/>
      <c r="F16" s="11"/>
      <c r="G16" s="11"/>
      <c r="H16" s="11"/>
      <c r="I16" s="11"/>
      <c r="J16" s="11"/>
      <c r="K16" s="12"/>
    </row>
    <row r="17" spans="1:32" ht="15.75" thickBot="1" x14ac:dyDescent="0.3">
      <c r="A17" s="15"/>
      <c r="B17" s="402" t="s">
        <v>47</v>
      </c>
      <c r="C17" s="3"/>
      <c r="D17" s="766"/>
      <c r="E17" s="767"/>
      <c r="F17" s="767"/>
      <c r="G17" s="767"/>
      <c r="H17" s="767"/>
      <c r="I17" s="767"/>
      <c r="J17" s="768"/>
      <c r="K17" s="14"/>
    </row>
    <row r="18" spans="1:32" ht="5.0999999999999996" customHeight="1" thickBot="1" x14ac:dyDescent="0.3">
      <c r="A18" s="15"/>
      <c r="B18" s="3"/>
      <c r="C18" s="3"/>
      <c r="D18" s="3"/>
      <c r="E18" s="3"/>
      <c r="F18" s="3"/>
      <c r="G18" s="3"/>
      <c r="H18" s="3"/>
      <c r="I18" s="3"/>
      <c r="J18" s="3"/>
      <c r="K18" s="14"/>
    </row>
    <row r="19" spans="1:32" ht="15.75" thickBot="1" x14ac:dyDescent="0.3">
      <c r="A19" s="15"/>
      <c r="B19" s="402" t="s">
        <v>238</v>
      </c>
      <c r="C19" s="3"/>
      <c r="D19" s="403"/>
      <c r="E19" s="3"/>
      <c r="F19" s="3"/>
      <c r="G19" s="3"/>
      <c r="H19" s="3"/>
      <c r="I19" s="3"/>
      <c r="J19" s="3"/>
      <c r="K19" s="14"/>
      <c r="Y19">
        <f>ROUNDDOWN(D19/5,0)</f>
        <v>0</v>
      </c>
    </row>
    <row r="20" spans="1:32" ht="5.0999999999999996" customHeight="1" thickBot="1" x14ac:dyDescent="0.3">
      <c r="A20" s="15"/>
      <c r="B20" s="3"/>
      <c r="C20" s="3"/>
      <c r="D20" s="3"/>
      <c r="E20" s="3"/>
      <c r="F20" s="3"/>
      <c r="G20" s="3"/>
      <c r="H20" s="3"/>
      <c r="I20" s="3"/>
      <c r="J20" s="3"/>
      <c r="K20" s="14"/>
    </row>
    <row r="21" spans="1:32" ht="15.75" thickBot="1" x14ac:dyDescent="0.3">
      <c r="A21" s="15"/>
      <c r="B21" s="440" t="s">
        <v>48</v>
      </c>
      <c r="C21" s="3"/>
      <c r="D21" s="403"/>
      <c r="E21" s="3"/>
      <c r="F21" s="403"/>
      <c r="G21" s="3"/>
      <c r="H21" s="3"/>
      <c r="I21" s="3"/>
      <c r="J21" s="3"/>
      <c r="K21" s="14"/>
      <c r="N21">
        <f>IF(D21="Lawful",2,IF(D21="Neutral",1,IF(D21="Chaotic",0,0)))</f>
        <v>0</v>
      </c>
      <c r="O21">
        <f>IF(Overall!$D$4="Lawful",2,IF(Overall!$D$4="Neutral",1,IF(Overall!$D$4="Chaotic",0,0)))</f>
        <v>1</v>
      </c>
      <c r="P21">
        <f>IF(F21="Good",2,IF(F21="Neutral",1,IF(F21="Evil",0,0)))</f>
        <v>0</v>
      </c>
      <c r="Q21">
        <f>IF(Overall!$F$4="Good",2,IF(Overall!$F$4="Neutral",1,IF(Overall!$F$4="Evil",0,0)))</f>
        <v>2</v>
      </c>
      <c r="S21">
        <f>ABS(N21-O21)</f>
        <v>1</v>
      </c>
      <c r="T21">
        <f>ABS(P21-Q21)</f>
        <v>2</v>
      </c>
      <c r="V21">
        <f>IF(S21=0,0,IF(S21=1,5,IF(S21=2,15,0)))</f>
        <v>5</v>
      </c>
      <c r="W21">
        <f>IF(T21=0,0,IF(T21=1,5,IF(T21=2,15,0)))</f>
        <v>15</v>
      </c>
      <c r="Y21">
        <f>SUM(V21:W21)</f>
        <v>20</v>
      </c>
    </row>
    <row r="22" spans="1:32" ht="5.0999999999999996" customHeight="1" thickBot="1" x14ac:dyDescent="0.3">
      <c r="A22" s="15"/>
      <c r="B22" s="440"/>
      <c r="C22" s="3"/>
      <c r="D22" s="3"/>
      <c r="E22" s="3"/>
      <c r="F22" s="3"/>
      <c r="G22" s="3"/>
      <c r="H22" s="3"/>
      <c r="I22" s="3"/>
      <c r="J22" s="3"/>
      <c r="K22" s="14"/>
      <c r="N22">
        <f>IF(D22="Lawful",2,IF(D22="Neutral",1,IF(D22="Chaotic",0,0)))</f>
        <v>0</v>
      </c>
      <c r="O22">
        <f>IF(Overall!$D$4="Lawful",2,IF(Overall!$D$4="Neutral",1,IF(Overall!$D$4="Chaotic",0,0)))</f>
        <v>1</v>
      </c>
      <c r="P22">
        <f>IF(F22="Good",2,IF(F22="Neutral",1,IF(F22="Evil",0,0)))</f>
        <v>0</v>
      </c>
      <c r="Q22">
        <f>IF(Overall!$F$4="Good",2,IF(Overall!$F$4="Neutral",1,IF(Overall!$F$4="Evil",0,0)))</f>
        <v>2</v>
      </c>
      <c r="S22">
        <f>ABS(N22-O22)</f>
        <v>1</v>
      </c>
      <c r="T22">
        <f>ABS(P22-Q22)</f>
        <v>2</v>
      </c>
      <c r="V22">
        <f>IF(S22=0,0,IF(S22=1,5,IF(S22=2,15,0)))</f>
        <v>5</v>
      </c>
      <c r="W22">
        <f>IF(T22=0,0,IF(T22=1,5,IF(T22=2,15,0)))</f>
        <v>15</v>
      </c>
    </row>
    <row r="23" spans="1:32" ht="15.75" thickBot="1" x14ac:dyDescent="0.3">
      <c r="A23" s="15"/>
      <c r="B23" s="440" t="s">
        <v>790</v>
      </c>
      <c r="C23" s="3"/>
      <c r="D23" s="769"/>
      <c r="E23" s="770"/>
      <c r="F23" s="770"/>
      <c r="G23" s="770"/>
      <c r="H23" s="770"/>
      <c r="I23" s="770"/>
      <c r="J23" s="771"/>
      <c r="K23" s="14"/>
      <c r="Y23">
        <f>IF(D23&lt;&gt;0,VLOOKUP(D23,'Drop Down'!$O$35:$U$40,7,FALSE),0)</f>
        <v>0</v>
      </c>
    </row>
    <row r="24" spans="1:32" ht="5.0999999999999996" customHeight="1" thickBot="1" x14ac:dyDescent="0.3">
      <c r="A24" s="15"/>
      <c r="B24" s="440"/>
      <c r="C24" s="3"/>
      <c r="D24" s="3"/>
      <c r="E24" s="3"/>
      <c r="F24" s="3"/>
      <c r="G24" s="3"/>
      <c r="H24" s="3"/>
      <c r="I24" s="3"/>
      <c r="J24" s="3"/>
      <c r="K24" s="14"/>
    </row>
    <row r="25" spans="1:32" ht="15.75" thickBot="1" x14ac:dyDescent="0.3">
      <c r="A25" s="15"/>
      <c r="B25" s="440" t="s">
        <v>784</v>
      </c>
      <c r="C25" s="3"/>
      <c r="D25" s="403"/>
      <c r="E25" s="3"/>
      <c r="F25" s="434" t="s">
        <v>1105</v>
      </c>
      <c r="G25" s="3"/>
      <c r="H25" s="403"/>
      <c r="I25" s="441"/>
      <c r="K25" s="14"/>
      <c r="Y25">
        <f>IF(D25&lt;&gt;0,VLOOKUP(D25,'Drop Down'!$O$26:$P$31,2,FALSE),0)</f>
        <v>0</v>
      </c>
      <c r="AA25">
        <f>IF(D27="Treaty",1,0)</f>
        <v>0</v>
      </c>
      <c r="AC25">
        <f>ROUNDDOWN(H25/10,0)-1</f>
        <v>-1</v>
      </c>
    </row>
    <row r="26" spans="1:32" ht="5.0999999999999996" customHeight="1" thickBot="1" x14ac:dyDescent="0.3">
      <c r="A26" s="15"/>
      <c r="B26" s="440"/>
      <c r="C26" s="3"/>
      <c r="D26" s="3"/>
      <c r="E26" s="3"/>
      <c r="F26" s="3"/>
      <c r="G26" s="3"/>
      <c r="H26" s="3"/>
      <c r="I26" s="3"/>
      <c r="K26" s="14"/>
    </row>
    <row r="27" spans="1:32" ht="15.75" thickBot="1" x14ac:dyDescent="0.3">
      <c r="A27" s="15"/>
      <c r="B27" s="440" t="s">
        <v>791</v>
      </c>
      <c r="C27" s="3"/>
      <c r="D27" s="403"/>
      <c r="E27" s="3"/>
      <c r="F27" s="29" t="s">
        <v>1106</v>
      </c>
      <c r="G27" s="3"/>
      <c r="H27" s="403"/>
      <c r="I27" s="3"/>
      <c r="K27" s="14"/>
      <c r="AA27">
        <f>IF(D27="Alliance",2,0)</f>
        <v>0</v>
      </c>
      <c r="AD27">
        <f>ROUNDDOWN(H27/10,0)-1</f>
        <v>-1</v>
      </c>
    </row>
    <row r="28" spans="1:32" ht="5.0999999999999996" customHeight="1" thickBot="1" x14ac:dyDescent="0.3">
      <c r="A28" s="15"/>
      <c r="B28" s="440"/>
      <c r="C28" s="3"/>
      <c r="D28" s="3"/>
      <c r="E28" s="3"/>
      <c r="F28" s="3"/>
      <c r="G28" s="3"/>
      <c r="H28" s="3"/>
      <c r="I28" s="3"/>
      <c r="J28" s="3"/>
      <c r="K28" s="14"/>
    </row>
    <row r="29" spans="1:32" ht="15.75" thickBot="1" x14ac:dyDescent="0.3">
      <c r="A29" s="15"/>
      <c r="B29" s="440" t="s">
        <v>802</v>
      </c>
      <c r="C29" s="3"/>
      <c r="D29" s="296">
        <f>10+Overall!$D$18+Y19+ROUNDDOWN(Overall!$J$4/5,0)+Y21+Y23+Y25-Overall!$D$16</f>
        <v>30</v>
      </c>
      <c r="E29" s="3"/>
      <c r="F29" s="698" t="s">
        <v>803</v>
      </c>
      <c r="G29" s="699"/>
      <c r="H29" s="699"/>
      <c r="I29" s="699"/>
      <c r="J29" s="700"/>
      <c r="K29" s="14"/>
      <c r="AA29">
        <f>AA27+AA25</f>
        <v>0</v>
      </c>
      <c r="AE29">
        <f>IF(AC25&lt;0,0,IF(AA29&gt;0,AC25,0))</f>
        <v>0</v>
      </c>
      <c r="AF29">
        <f>IF(AD27&lt;0,0,IF(AA29=2,AD27,0))</f>
        <v>0</v>
      </c>
    </row>
    <row r="30" spans="1:32" ht="5.0999999999999996" customHeight="1" thickBot="1" x14ac:dyDescent="0.3">
      <c r="A30" s="307"/>
      <c r="B30" s="2"/>
      <c r="C30" s="2"/>
      <c r="D30" s="2"/>
      <c r="E30" s="2"/>
      <c r="F30" s="2"/>
      <c r="G30" s="2"/>
      <c r="H30" s="2"/>
      <c r="I30" s="2"/>
      <c r="J30" s="2"/>
      <c r="K30" s="24"/>
      <c r="N30">
        <f>IF(D30="Lawful",2,IF(D30="Neutral",1,IF(D30="Chaotic",0,0)))</f>
        <v>0</v>
      </c>
      <c r="O30">
        <f>IF(Overall!$D$4="Lawful",2,IF(Overall!$D$4="Neutral",1,IF(Overall!$D$4="Chaotic",0,0)))</f>
        <v>1</v>
      </c>
      <c r="P30">
        <f>IF(F30="Good",2,IF(F30="Neutral",1,IF(F30="Evil",0,0)))</f>
        <v>0</v>
      </c>
      <c r="Q30">
        <f>IF(Overall!$F$4="Good",2,IF(Overall!$F$4="Neutral",1,IF(Overall!$F$4="Evil",0,0)))</f>
        <v>2</v>
      </c>
      <c r="S30">
        <f>ABS(N30-O30)</f>
        <v>1</v>
      </c>
      <c r="T30">
        <f>ABS(P30-Q30)</f>
        <v>2</v>
      </c>
      <c r="V30">
        <f>IF(S30=0,0,IF(S30=1,5,IF(S30=2,15,0)))</f>
        <v>5</v>
      </c>
      <c r="W30">
        <f>IF(T30=0,0,IF(T30=1,5,IF(T30=2,15,0)))</f>
        <v>15</v>
      </c>
    </row>
    <row r="31" spans="1:32" ht="5.0999999999999996" customHeight="1" thickBot="1" x14ac:dyDescent="0.3">
      <c r="A31" s="9"/>
      <c r="B31" s="11"/>
      <c r="C31" s="11"/>
      <c r="D31" s="11"/>
      <c r="E31" s="11"/>
      <c r="F31" s="11"/>
      <c r="G31" s="11"/>
      <c r="H31" s="11"/>
      <c r="I31" s="11"/>
      <c r="J31" s="11"/>
      <c r="K31" s="12"/>
      <c r="N31">
        <f>IF(D31="Lawful",2,IF(D31="Neutral",1,IF(D31="Chaotic",0,0)))</f>
        <v>0</v>
      </c>
      <c r="O31">
        <f>IF(Overall!$D$4="Lawful",2,IF(Overall!$D$4="Neutral",1,IF(Overall!$D$4="Chaotic",0,0)))</f>
        <v>1</v>
      </c>
      <c r="P31">
        <f>IF(F31="Good",2,IF(F31="Neutral",1,IF(F31="Evil",0,0)))</f>
        <v>0</v>
      </c>
      <c r="Q31">
        <f>IF(Overall!$F$4="Good",2,IF(Overall!$F$4="Neutral",1,IF(Overall!$F$4="Evil",0,0)))</f>
        <v>2</v>
      </c>
      <c r="S31">
        <f>ABS(N31-O31)</f>
        <v>1</v>
      </c>
      <c r="T31">
        <f>ABS(P31-Q31)</f>
        <v>2</v>
      </c>
      <c r="V31">
        <f>IF(S31=0,0,IF(S31=1,5,IF(S31=2,15,0)))</f>
        <v>5</v>
      </c>
      <c r="W31">
        <f>IF(T31=0,0,IF(T31=1,5,IF(T31=2,15,0)))</f>
        <v>15</v>
      </c>
    </row>
    <row r="32" spans="1:32" ht="15.75" thickBot="1" x14ac:dyDescent="0.3">
      <c r="A32" s="15"/>
      <c r="B32" s="402" t="s">
        <v>47</v>
      </c>
      <c r="C32" s="3"/>
      <c r="D32" s="766"/>
      <c r="E32" s="767"/>
      <c r="F32" s="767"/>
      <c r="G32" s="767"/>
      <c r="H32" s="767"/>
      <c r="I32" s="767"/>
      <c r="J32" s="768"/>
      <c r="K32" s="14"/>
    </row>
    <row r="33" spans="1:32" ht="5.0999999999999996" customHeight="1" thickBot="1" x14ac:dyDescent="0.3">
      <c r="A33" s="15"/>
      <c r="B33" s="3"/>
      <c r="C33" s="3"/>
      <c r="D33" s="3"/>
      <c r="E33" s="3"/>
      <c r="F33" s="3"/>
      <c r="G33" s="3"/>
      <c r="H33" s="3"/>
      <c r="I33" s="3"/>
      <c r="J33" s="3"/>
      <c r="K33" s="14"/>
    </row>
    <row r="34" spans="1:32" ht="15.75" thickBot="1" x14ac:dyDescent="0.3">
      <c r="A34" s="15"/>
      <c r="B34" s="402" t="s">
        <v>238</v>
      </c>
      <c r="C34" s="3"/>
      <c r="D34" s="403"/>
      <c r="E34" s="3"/>
      <c r="F34" s="3"/>
      <c r="G34" s="3"/>
      <c r="H34" s="3"/>
      <c r="I34" s="3"/>
      <c r="J34" s="3"/>
      <c r="K34" s="14"/>
      <c r="Y34">
        <f>ROUNDDOWN(D34/5,0)</f>
        <v>0</v>
      </c>
    </row>
    <row r="35" spans="1:32" ht="5.0999999999999996" customHeight="1" thickBot="1" x14ac:dyDescent="0.3">
      <c r="A35" s="15"/>
      <c r="B35" s="3"/>
      <c r="C35" s="3"/>
      <c r="D35" s="3"/>
      <c r="E35" s="3"/>
      <c r="F35" s="3"/>
      <c r="G35" s="3"/>
      <c r="H35" s="3"/>
      <c r="I35" s="3"/>
      <c r="J35" s="3"/>
      <c r="K35" s="14"/>
    </row>
    <row r="36" spans="1:32" ht="15.75" thickBot="1" x14ac:dyDescent="0.3">
      <c r="A36" s="15"/>
      <c r="B36" s="440" t="s">
        <v>48</v>
      </c>
      <c r="C36" s="3"/>
      <c r="D36" s="403"/>
      <c r="E36" s="3"/>
      <c r="F36" s="403"/>
      <c r="G36" s="3"/>
      <c r="H36" s="3"/>
      <c r="I36" s="3"/>
      <c r="J36" s="3"/>
      <c r="K36" s="14"/>
      <c r="N36">
        <f>IF(D36="Lawful",2,IF(D36="Neutral",1,IF(D36="Chaotic",0,0)))</f>
        <v>0</v>
      </c>
      <c r="O36">
        <f>IF(Overall!$D$4="Lawful",2,IF(Overall!$D$4="Neutral",1,IF(Overall!$D$4="Chaotic",0,0)))</f>
        <v>1</v>
      </c>
      <c r="P36">
        <f>IF(F36="Good",2,IF(F36="Neutral",1,IF(F36="Evil",0,0)))</f>
        <v>0</v>
      </c>
      <c r="Q36">
        <f>IF(Overall!$F$4="Good",2,IF(Overall!$F$4="Neutral",1,IF(Overall!$F$4="Evil",0,0)))</f>
        <v>2</v>
      </c>
      <c r="S36">
        <f>ABS(N36-O36)</f>
        <v>1</v>
      </c>
      <c r="T36">
        <f>ABS(P36-Q36)</f>
        <v>2</v>
      </c>
      <c r="V36">
        <f>IF(S36=0,0,IF(S36=1,5,IF(S36=2,15,0)))</f>
        <v>5</v>
      </c>
      <c r="W36">
        <f>IF(T36=0,0,IF(T36=1,5,IF(T36=2,15,0)))</f>
        <v>15</v>
      </c>
      <c r="Y36">
        <f>SUM(V36:W36)</f>
        <v>20</v>
      </c>
    </row>
    <row r="37" spans="1:32" ht="5.0999999999999996" customHeight="1" thickBot="1" x14ac:dyDescent="0.3">
      <c r="A37" s="15"/>
      <c r="B37" s="440"/>
      <c r="C37" s="3"/>
      <c r="D37" s="3"/>
      <c r="E37" s="3"/>
      <c r="F37" s="3"/>
      <c r="G37" s="3"/>
      <c r="H37" s="3"/>
      <c r="I37" s="3"/>
      <c r="J37" s="3"/>
      <c r="K37" s="14"/>
      <c r="N37">
        <f>IF(D37="Lawful",2,IF(D37="Neutral",1,IF(D37="Chaotic",0,0)))</f>
        <v>0</v>
      </c>
      <c r="O37">
        <f>IF(Overall!$D$4="Lawful",2,IF(Overall!$D$4="Neutral",1,IF(Overall!$D$4="Chaotic",0,0)))</f>
        <v>1</v>
      </c>
      <c r="P37">
        <f>IF(F37="Good",2,IF(F37="Neutral",1,IF(F37="Evil",0,0)))</f>
        <v>0</v>
      </c>
      <c r="Q37">
        <f>IF(Overall!$F$4="Good",2,IF(Overall!$F$4="Neutral",1,IF(Overall!$F$4="Evil",0,0)))</f>
        <v>2</v>
      </c>
      <c r="S37">
        <f>ABS(N37-O37)</f>
        <v>1</v>
      </c>
      <c r="T37">
        <f>ABS(P37-Q37)</f>
        <v>2</v>
      </c>
      <c r="V37">
        <f>IF(S37=0,0,IF(S37=1,5,IF(S37=2,15,0)))</f>
        <v>5</v>
      </c>
      <c r="W37">
        <f>IF(T37=0,0,IF(T37=1,5,IF(T37=2,15,0)))</f>
        <v>15</v>
      </c>
    </row>
    <row r="38" spans="1:32" ht="15.75" thickBot="1" x14ac:dyDescent="0.3">
      <c r="A38" s="15"/>
      <c r="B38" s="440" t="s">
        <v>790</v>
      </c>
      <c r="C38" s="3"/>
      <c r="D38" s="769"/>
      <c r="E38" s="770"/>
      <c r="F38" s="770"/>
      <c r="G38" s="770"/>
      <c r="H38" s="770"/>
      <c r="I38" s="770"/>
      <c r="J38" s="771"/>
      <c r="K38" s="14"/>
      <c r="Y38">
        <f>IF(D38&lt;&gt;0,VLOOKUP(D38,'Drop Down'!$O$35:$U$40,7,FALSE),0)</f>
        <v>0</v>
      </c>
    </row>
    <row r="39" spans="1:32" ht="5.0999999999999996" customHeight="1" thickBot="1" x14ac:dyDescent="0.3">
      <c r="A39" s="15"/>
      <c r="B39" s="440"/>
      <c r="C39" s="3"/>
      <c r="D39" s="3"/>
      <c r="E39" s="3"/>
      <c r="F39" s="3"/>
      <c r="G39" s="3"/>
      <c r="H39" s="3"/>
      <c r="I39" s="3"/>
      <c r="J39" s="3"/>
      <c r="K39" s="14"/>
    </row>
    <row r="40" spans="1:32" ht="15.75" thickBot="1" x14ac:dyDescent="0.3">
      <c r="A40" s="15"/>
      <c r="B40" s="440" t="s">
        <v>784</v>
      </c>
      <c r="C40" s="3"/>
      <c r="D40" s="403"/>
      <c r="E40" s="3"/>
      <c r="F40" s="434" t="s">
        <v>1105</v>
      </c>
      <c r="G40" s="3"/>
      <c r="H40" s="403"/>
      <c r="I40" s="441"/>
      <c r="K40" s="14"/>
      <c r="Y40">
        <f>IF(D40&lt;&gt;0,VLOOKUP(D40,'Drop Down'!$O$26:$P$31,2,FALSE),0)</f>
        <v>0</v>
      </c>
      <c r="AA40">
        <f>IF(D42="Treaty",1,0)</f>
        <v>0</v>
      </c>
      <c r="AC40">
        <f>ROUNDDOWN(H40/10,0)-2</f>
        <v>-2</v>
      </c>
    </row>
    <row r="41" spans="1:32" ht="5.0999999999999996" customHeight="1" thickBot="1" x14ac:dyDescent="0.3">
      <c r="A41" s="15"/>
      <c r="B41" s="440"/>
      <c r="C41" s="3"/>
      <c r="D41" s="3"/>
      <c r="E41" s="3"/>
      <c r="F41" s="3"/>
      <c r="G41" s="3"/>
      <c r="H41" s="3"/>
      <c r="I41" s="3"/>
      <c r="K41" s="14"/>
    </row>
    <row r="42" spans="1:32" ht="15.75" thickBot="1" x14ac:dyDescent="0.3">
      <c r="A42" s="15"/>
      <c r="B42" s="440" t="s">
        <v>791</v>
      </c>
      <c r="C42" s="3"/>
      <c r="D42" s="403"/>
      <c r="E42" s="3"/>
      <c r="F42" s="29" t="s">
        <v>1106</v>
      </c>
      <c r="G42" s="3"/>
      <c r="H42" s="403"/>
      <c r="I42" s="3"/>
      <c r="K42" s="14"/>
      <c r="AA42">
        <f>IF(D42="Alliance",2,0)</f>
        <v>0</v>
      </c>
      <c r="AD42">
        <f>ROUNDDOWN(H42/10,0)-2</f>
        <v>-2</v>
      </c>
    </row>
    <row r="43" spans="1:32" ht="5.0999999999999996" customHeight="1" thickBot="1" x14ac:dyDescent="0.3">
      <c r="A43" s="15"/>
      <c r="B43" s="440"/>
      <c r="C43" s="3"/>
      <c r="D43" s="3"/>
      <c r="E43" s="3"/>
      <c r="F43" s="3"/>
      <c r="G43" s="3"/>
      <c r="H43" s="3"/>
      <c r="I43" s="3"/>
      <c r="J43" s="3"/>
      <c r="K43" s="14"/>
    </row>
    <row r="44" spans="1:32" ht="15.75" thickBot="1" x14ac:dyDescent="0.3">
      <c r="A44" s="15"/>
      <c r="B44" s="440" t="s">
        <v>802</v>
      </c>
      <c r="C44" s="3"/>
      <c r="D44" s="296">
        <f>10+Overall!$D$18+Y34+ROUNDDOWN(Overall!$J$4/5,0)+Y36+Y38+Y40-Overall!$D$16</f>
        <v>30</v>
      </c>
      <c r="E44" s="3"/>
      <c r="F44" s="698" t="s">
        <v>803</v>
      </c>
      <c r="G44" s="699"/>
      <c r="H44" s="699"/>
      <c r="I44" s="699"/>
      <c r="J44" s="700"/>
      <c r="K44" s="14"/>
      <c r="AA44">
        <f>AA42+AA40</f>
        <v>0</v>
      </c>
      <c r="AE44">
        <f>IF(AC40&lt;0,0,IF(AA44&gt;0,AC40,0))</f>
        <v>0</v>
      </c>
      <c r="AF44">
        <f>IF(AD42&lt;0,0,IF(AA44=2,AD42,0))</f>
        <v>0</v>
      </c>
    </row>
    <row r="45" spans="1:32" ht="5.0999999999999996" customHeight="1" thickBot="1" x14ac:dyDescent="0.3">
      <c r="A45" s="307"/>
      <c r="B45" s="2"/>
      <c r="C45" s="2"/>
      <c r="D45" s="2"/>
      <c r="E45" s="2"/>
      <c r="F45" s="2"/>
      <c r="G45" s="2"/>
      <c r="H45" s="2"/>
      <c r="I45" s="2"/>
      <c r="J45" s="2"/>
      <c r="K45" s="24"/>
      <c r="N45">
        <f>IF(D45="Lawful",2,IF(D45="Neutral",1,IF(D45="Chaotic",0,0)))</f>
        <v>0</v>
      </c>
      <c r="O45">
        <f>IF(Overall!$D$4="Lawful",2,IF(Overall!$D$4="Neutral",1,IF(Overall!$D$4="Chaotic",0,0)))</f>
        <v>1</v>
      </c>
      <c r="P45">
        <f>IF(F45="Good",2,IF(F45="Neutral",1,IF(F45="Evil",0,0)))</f>
        <v>0</v>
      </c>
      <c r="Q45">
        <f>IF(Overall!$F$4="Good",2,IF(Overall!$F$4="Neutral",1,IF(Overall!$F$4="Evil",0,0)))</f>
        <v>2</v>
      </c>
      <c r="S45">
        <f>ABS(N45-O45)</f>
        <v>1</v>
      </c>
      <c r="T45">
        <f>ABS(P45-Q45)</f>
        <v>2</v>
      </c>
      <c r="V45">
        <f>IF(S45=0,0,IF(S45=1,5,IF(S45=2,15,0)))</f>
        <v>5</v>
      </c>
      <c r="W45">
        <f>IF(T45=0,0,IF(T45=1,5,IF(T45=2,15,0)))</f>
        <v>15</v>
      </c>
    </row>
    <row r="46" spans="1:32" ht="5.0999999999999996" customHeight="1" thickBot="1" x14ac:dyDescent="0.3">
      <c r="A46" s="9"/>
      <c r="B46" s="11"/>
      <c r="C46" s="11"/>
      <c r="D46" s="11"/>
      <c r="E46" s="11"/>
      <c r="F46" s="11"/>
      <c r="G46" s="11"/>
      <c r="H46" s="11"/>
      <c r="I46" s="11"/>
      <c r="J46" s="11"/>
      <c r="K46" s="12"/>
      <c r="N46">
        <f>IF(D46="Lawful",2,IF(D46="Neutral",1,IF(D46="Chaotic",0,0)))</f>
        <v>0</v>
      </c>
      <c r="O46">
        <f>IF(Overall!$D$4="Lawful",2,IF(Overall!$D$4="Neutral",1,IF(Overall!$D$4="Chaotic",0,0)))</f>
        <v>1</v>
      </c>
      <c r="P46">
        <f>IF(F46="Good",2,IF(F46="Neutral",1,IF(F46="Evil",0,0)))</f>
        <v>0</v>
      </c>
      <c r="Q46">
        <f>IF(Overall!$F$4="Good",2,IF(Overall!$F$4="Neutral",1,IF(Overall!$F$4="Evil",0,0)))</f>
        <v>2</v>
      </c>
      <c r="S46">
        <f>ABS(N46-O46)</f>
        <v>1</v>
      </c>
      <c r="T46">
        <f>ABS(P46-Q46)</f>
        <v>2</v>
      </c>
      <c r="V46">
        <f>IF(S46=0,0,IF(S46=1,5,IF(S46=2,15,0)))</f>
        <v>5</v>
      </c>
      <c r="W46">
        <f>IF(T46=0,0,IF(T46=1,5,IF(T46=2,15,0)))</f>
        <v>15</v>
      </c>
    </row>
    <row r="47" spans="1:32" ht="15.75" thickBot="1" x14ac:dyDescent="0.3">
      <c r="A47" s="15"/>
      <c r="B47" s="402" t="s">
        <v>47</v>
      </c>
      <c r="C47" s="3"/>
      <c r="D47" s="766"/>
      <c r="E47" s="767"/>
      <c r="F47" s="767"/>
      <c r="G47" s="767"/>
      <c r="H47" s="767"/>
      <c r="I47" s="767"/>
      <c r="J47" s="768"/>
      <c r="K47" s="14"/>
    </row>
    <row r="48" spans="1:32" ht="5.0999999999999996" customHeight="1" thickBot="1" x14ac:dyDescent="0.3">
      <c r="A48" s="15"/>
      <c r="B48" s="3"/>
      <c r="C48" s="3"/>
      <c r="D48" s="3"/>
      <c r="E48" s="3"/>
      <c r="F48" s="3"/>
      <c r="G48" s="3"/>
      <c r="H48" s="3"/>
      <c r="I48" s="3"/>
      <c r="J48" s="3"/>
      <c r="K48" s="14"/>
    </row>
    <row r="49" spans="1:32" ht="15.75" thickBot="1" x14ac:dyDescent="0.3">
      <c r="A49" s="15"/>
      <c r="B49" s="402" t="s">
        <v>238</v>
      </c>
      <c r="C49" s="3"/>
      <c r="D49" s="403"/>
      <c r="E49" s="3"/>
      <c r="F49" s="3"/>
      <c r="G49" s="3"/>
      <c r="H49" s="3"/>
      <c r="I49" s="3"/>
      <c r="J49" s="3"/>
      <c r="K49" s="14"/>
      <c r="Y49">
        <f>ROUNDDOWN(D49/5,0)</f>
        <v>0</v>
      </c>
    </row>
    <row r="50" spans="1:32" ht="5.0999999999999996" customHeight="1" thickBot="1" x14ac:dyDescent="0.3">
      <c r="A50" s="15"/>
      <c r="B50" s="3"/>
      <c r="C50" s="3"/>
      <c r="D50" s="3"/>
      <c r="E50" s="3"/>
      <c r="F50" s="3"/>
      <c r="G50" s="3"/>
      <c r="H50" s="3"/>
      <c r="I50" s="3"/>
      <c r="J50" s="3"/>
      <c r="K50" s="14"/>
    </row>
    <row r="51" spans="1:32" ht="15.75" thickBot="1" x14ac:dyDescent="0.3">
      <c r="A51" s="15"/>
      <c r="B51" s="440" t="s">
        <v>48</v>
      </c>
      <c r="C51" s="3"/>
      <c r="D51" s="403"/>
      <c r="E51" s="3"/>
      <c r="F51" s="403"/>
      <c r="G51" s="3"/>
      <c r="H51" s="3"/>
      <c r="I51" s="3"/>
      <c r="J51" s="3"/>
      <c r="K51" s="14"/>
      <c r="N51">
        <f>IF(D51="Lawful",2,IF(D51="Neutral",1,IF(D51="Chaotic",0,0)))</f>
        <v>0</v>
      </c>
      <c r="O51">
        <f>IF(Overall!$D$4="Lawful",2,IF(Overall!$D$4="Neutral",1,IF(Overall!$D$4="Chaotic",0,0)))</f>
        <v>1</v>
      </c>
      <c r="P51">
        <f>IF(F51="Good",2,IF(F51="Neutral",1,IF(F51="Evil",0,0)))</f>
        <v>0</v>
      </c>
      <c r="Q51">
        <f>IF(Overall!$F$4="Good",2,IF(Overall!$F$4="Neutral",1,IF(Overall!$F$4="Evil",0,0)))</f>
        <v>2</v>
      </c>
      <c r="S51">
        <f>ABS(N51-O51)</f>
        <v>1</v>
      </c>
      <c r="T51">
        <f>ABS(P51-Q51)</f>
        <v>2</v>
      </c>
      <c r="V51">
        <f>IF(S51=0,0,IF(S51=1,5,IF(S51=2,15,0)))</f>
        <v>5</v>
      </c>
      <c r="W51">
        <f>IF(T51=0,0,IF(T51=1,5,IF(T51=2,15,0)))</f>
        <v>15</v>
      </c>
      <c r="Y51">
        <f>SUM(V51:W51)</f>
        <v>20</v>
      </c>
    </row>
    <row r="52" spans="1:32" ht="5.0999999999999996" customHeight="1" thickBot="1" x14ac:dyDescent="0.3">
      <c r="A52" s="15"/>
      <c r="B52" s="440"/>
      <c r="C52" s="3"/>
      <c r="D52" s="3"/>
      <c r="E52" s="3"/>
      <c r="F52" s="3"/>
      <c r="G52" s="3"/>
      <c r="H52" s="3"/>
      <c r="I52" s="3"/>
      <c r="J52" s="3"/>
      <c r="K52" s="14"/>
      <c r="N52">
        <f>IF(D52="Lawful",2,IF(D52="Neutral",1,IF(D52="Chaotic",0,0)))</f>
        <v>0</v>
      </c>
      <c r="O52">
        <f>IF(Overall!$D$4="Lawful",2,IF(Overall!$D$4="Neutral",1,IF(Overall!$D$4="Chaotic",0,0)))</f>
        <v>1</v>
      </c>
      <c r="P52">
        <f>IF(F52="Good",2,IF(F52="Neutral",1,IF(F52="Evil",0,0)))</f>
        <v>0</v>
      </c>
      <c r="Q52">
        <f>IF(Overall!$F$4="Good",2,IF(Overall!$F$4="Neutral",1,IF(Overall!$F$4="Evil",0,0)))</f>
        <v>2</v>
      </c>
      <c r="S52">
        <f>ABS(N52-O52)</f>
        <v>1</v>
      </c>
      <c r="T52">
        <f>ABS(P52-Q52)</f>
        <v>2</v>
      </c>
      <c r="V52">
        <f>IF(S52=0,0,IF(S52=1,5,IF(S52=2,15,0)))</f>
        <v>5</v>
      </c>
      <c r="W52">
        <f>IF(T52=0,0,IF(T52=1,5,IF(T52=2,15,0)))</f>
        <v>15</v>
      </c>
    </row>
    <row r="53" spans="1:32" ht="15.75" thickBot="1" x14ac:dyDescent="0.3">
      <c r="A53" s="15"/>
      <c r="B53" s="440" t="s">
        <v>790</v>
      </c>
      <c r="C53" s="3"/>
      <c r="D53" s="769"/>
      <c r="E53" s="770"/>
      <c r="F53" s="770"/>
      <c r="G53" s="770"/>
      <c r="H53" s="770"/>
      <c r="I53" s="770"/>
      <c r="J53" s="771"/>
      <c r="K53" s="14"/>
      <c r="Y53">
        <f>IF(D53&lt;&gt;0,VLOOKUP(D53,'Drop Down'!$O$35:$U$40,7,FALSE),0)</f>
        <v>0</v>
      </c>
    </row>
    <row r="54" spans="1:32" ht="5.0999999999999996" customHeight="1" thickBot="1" x14ac:dyDescent="0.3">
      <c r="A54" s="15"/>
      <c r="B54" s="440"/>
      <c r="C54" s="3"/>
      <c r="D54" s="3"/>
      <c r="E54" s="3"/>
      <c r="F54" s="3"/>
      <c r="G54" s="3"/>
      <c r="H54" s="3"/>
      <c r="I54" s="3"/>
      <c r="J54" s="3"/>
      <c r="K54" s="14"/>
    </row>
    <row r="55" spans="1:32" ht="15.75" thickBot="1" x14ac:dyDescent="0.3">
      <c r="A55" s="15"/>
      <c r="B55" s="440" t="s">
        <v>784</v>
      </c>
      <c r="C55" s="3"/>
      <c r="D55" s="403"/>
      <c r="E55" s="3"/>
      <c r="F55" s="434" t="s">
        <v>1105</v>
      </c>
      <c r="G55" s="3"/>
      <c r="H55" s="403"/>
      <c r="I55" s="441"/>
      <c r="K55" s="14"/>
      <c r="Y55">
        <f>IF(D55&lt;&gt;0,VLOOKUP(D55,'Drop Down'!$O$26:$P$31,2,FALSE),0)</f>
        <v>0</v>
      </c>
      <c r="AA55">
        <f>IF(D57="Treaty",1,0)</f>
        <v>0</v>
      </c>
      <c r="AC55">
        <f>ROUNDDOWN(H55/10,0)-3</f>
        <v>-3</v>
      </c>
    </row>
    <row r="56" spans="1:32" ht="5.0999999999999996" customHeight="1" thickBot="1" x14ac:dyDescent="0.3">
      <c r="A56" s="15"/>
      <c r="B56" s="440"/>
      <c r="C56" s="3"/>
      <c r="D56" s="3"/>
      <c r="E56" s="3"/>
      <c r="F56" s="3"/>
      <c r="G56" s="3"/>
      <c r="H56" s="3"/>
      <c r="I56" s="3"/>
      <c r="K56" s="14"/>
    </row>
    <row r="57" spans="1:32" ht="15.75" thickBot="1" x14ac:dyDescent="0.3">
      <c r="A57" s="15"/>
      <c r="B57" s="440" t="s">
        <v>791</v>
      </c>
      <c r="C57" s="3"/>
      <c r="D57" s="403"/>
      <c r="E57" s="3"/>
      <c r="F57" s="29" t="s">
        <v>1106</v>
      </c>
      <c r="G57" s="3"/>
      <c r="H57" s="403"/>
      <c r="I57" s="3"/>
      <c r="K57" s="14"/>
      <c r="AA57">
        <f>IF(D57="Alliance",2,0)</f>
        <v>0</v>
      </c>
      <c r="AD57">
        <f>ROUNDDOWN(H57/10,0)-3</f>
        <v>-3</v>
      </c>
    </row>
    <row r="58" spans="1:32" ht="5.0999999999999996" customHeight="1" thickBot="1" x14ac:dyDescent="0.3">
      <c r="A58" s="15"/>
      <c r="B58" s="440"/>
      <c r="C58" s="3"/>
      <c r="D58" s="3"/>
      <c r="E58" s="3"/>
      <c r="F58" s="3"/>
      <c r="G58" s="3"/>
      <c r="H58" s="3"/>
      <c r="I58" s="3"/>
      <c r="J58" s="3"/>
      <c r="K58" s="14"/>
    </row>
    <row r="59" spans="1:32" ht="15.75" thickBot="1" x14ac:dyDescent="0.3">
      <c r="A59" s="15"/>
      <c r="B59" s="440" t="s">
        <v>802</v>
      </c>
      <c r="C59" s="3"/>
      <c r="D59" s="296">
        <f>10+Overall!$D$18+Y49+ROUNDDOWN(Overall!$J$4/5,0)+Y51+Y53+Y55-Overall!$D$16</f>
        <v>30</v>
      </c>
      <c r="E59" s="3"/>
      <c r="F59" s="698" t="s">
        <v>803</v>
      </c>
      <c r="G59" s="699"/>
      <c r="H59" s="699"/>
      <c r="I59" s="699"/>
      <c r="J59" s="700"/>
      <c r="K59" s="14"/>
      <c r="AA59">
        <f>AA57+AA55</f>
        <v>0</v>
      </c>
      <c r="AE59">
        <f>IF(AC55&lt;0,0,IF(AA59&gt;0,AC55,0))</f>
        <v>0</v>
      </c>
      <c r="AF59">
        <f>IF(AD57&lt;0,0,IF(AA59=2,AD57,0))</f>
        <v>0</v>
      </c>
    </row>
    <row r="60" spans="1:32" ht="5.0999999999999996" customHeight="1" thickBot="1" x14ac:dyDescent="0.3">
      <c r="A60" s="307"/>
      <c r="B60" s="2"/>
      <c r="C60" s="2"/>
      <c r="D60" s="2"/>
      <c r="E60" s="2"/>
      <c r="F60" s="2"/>
      <c r="G60" s="2"/>
      <c r="H60" s="2"/>
      <c r="I60" s="2"/>
      <c r="J60" s="2"/>
      <c r="K60" s="24"/>
      <c r="N60">
        <f>IF(D60="Lawful",2,IF(D60="Neutral",1,IF(D60="Chaotic",0,0)))</f>
        <v>0</v>
      </c>
      <c r="O60">
        <f>IF(Overall!$D$4="Lawful",2,IF(Overall!$D$4="Neutral",1,IF(Overall!$D$4="Chaotic",0,0)))</f>
        <v>1</v>
      </c>
      <c r="P60">
        <f>IF(F60="Good",2,IF(F60="Neutral",1,IF(F60="Evil",0,0)))</f>
        <v>0</v>
      </c>
      <c r="Q60">
        <f>IF(Overall!$F$4="Good",2,IF(Overall!$F$4="Neutral",1,IF(Overall!$F$4="Evil",0,0)))</f>
        <v>2</v>
      </c>
      <c r="S60">
        <f>ABS(N60-O60)</f>
        <v>1</v>
      </c>
      <c r="T60">
        <f>ABS(P60-Q60)</f>
        <v>2</v>
      </c>
      <c r="V60">
        <f>IF(S60=0,0,IF(S60=1,5,IF(S60=2,15,0)))</f>
        <v>5</v>
      </c>
      <c r="W60">
        <f>IF(T60=0,0,IF(T60=1,5,IF(T60=2,15,0)))</f>
        <v>15</v>
      </c>
    </row>
    <row r="61" spans="1:32" ht="5.0999999999999996" customHeight="1" thickBot="1" x14ac:dyDescent="0.3">
      <c r="A61" s="9"/>
      <c r="B61" s="11"/>
      <c r="C61" s="11"/>
      <c r="D61" s="11"/>
      <c r="E61" s="11"/>
      <c r="F61" s="11"/>
      <c r="G61" s="11"/>
      <c r="H61" s="11"/>
      <c r="I61" s="11"/>
      <c r="J61" s="11"/>
      <c r="K61" s="12"/>
      <c r="N61">
        <f>IF(D61="Lawful",2,IF(D61="Neutral",1,IF(D61="Chaotic",0,0)))</f>
        <v>0</v>
      </c>
      <c r="O61">
        <f>IF(Overall!$D$4="Lawful",2,IF(Overall!$D$4="Neutral",1,IF(Overall!$D$4="Chaotic",0,0)))</f>
        <v>1</v>
      </c>
      <c r="P61">
        <f>IF(F61="Good",2,IF(F61="Neutral",1,IF(F61="Evil",0,0)))</f>
        <v>0</v>
      </c>
      <c r="Q61">
        <f>IF(Overall!$F$4="Good",2,IF(Overall!$F$4="Neutral",1,IF(Overall!$F$4="Evil",0,0)))</f>
        <v>2</v>
      </c>
      <c r="S61">
        <f>ABS(N61-O61)</f>
        <v>1</v>
      </c>
      <c r="T61">
        <f>ABS(P61-Q61)</f>
        <v>2</v>
      </c>
      <c r="V61">
        <f>IF(S61=0,0,IF(S61=1,5,IF(S61=2,15,0)))</f>
        <v>5</v>
      </c>
      <c r="W61">
        <f>IF(T61=0,0,IF(T61=1,5,IF(T61=2,15,0)))</f>
        <v>15</v>
      </c>
    </row>
    <row r="62" spans="1:32" ht="15.75" thickBot="1" x14ac:dyDescent="0.3">
      <c r="A62" s="15"/>
      <c r="B62" s="402" t="s">
        <v>47</v>
      </c>
      <c r="C62" s="3"/>
      <c r="D62" s="766"/>
      <c r="E62" s="767"/>
      <c r="F62" s="767"/>
      <c r="G62" s="767"/>
      <c r="H62" s="767"/>
      <c r="I62" s="767"/>
      <c r="J62" s="768"/>
      <c r="K62" s="14"/>
    </row>
    <row r="63" spans="1:32" ht="5.0999999999999996" customHeight="1" thickBot="1" x14ac:dyDescent="0.3">
      <c r="A63" s="15"/>
      <c r="B63" s="3"/>
      <c r="C63" s="3"/>
      <c r="D63" s="3"/>
      <c r="E63" s="3"/>
      <c r="F63" s="3"/>
      <c r="G63" s="3"/>
      <c r="H63" s="3"/>
      <c r="I63" s="3"/>
      <c r="J63" s="3"/>
      <c r="K63" s="14"/>
    </row>
    <row r="64" spans="1:32" ht="15.75" thickBot="1" x14ac:dyDescent="0.3">
      <c r="A64" s="15"/>
      <c r="B64" s="402" t="s">
        <v>238</v>
      </c>
      <c r="C64" s="3"/>
      <c r="D64" s="403"/>
      <c r="E64" s="3"/>
      <c r="F64" s="3"/>
      <c r="G64" s="3"/>
      <c r="H64" s="3"/>
      <c r="I64" s="3"/>
      <c r="J64" s="3"/>
      <c r="K64" s="14"/>
      <c r="Y64">
        <f>ROUNDDOWN(D64/5,0)</f>
        <v>0</v>
      </c>
    </row>
    <row r="65" spans="1:32" ht="5.0999999999999996" customHeight="1" thickBot="1" x14ac:dyDescent="0.3">
      <c r="A65" s="15"/>
      <c r="B65" s="3"/>
      <c r="C65" s="3"/>
      <c r="D65" s="3"/>
      <c r="E65" s="3"/>
      <c r="F65" s="3"/>
      <c r="G65" s="3"/>
      <c r="H65" s="3"/>
      <c r="I65" s="3"/>
      <c r="J65" s="3"/>
      <c r="K65" s="14"/>
    </row>
    <row r="66" spans="1:32" ht="15.75" thickBot="1" x14ac:dyDescent="0.3">
      <c r="A66" s="15"/>
      <c r="B66" s="440" t="s">
        <v>48</v>
      </c>
      <c r="C66" s="3"/>
      <c r="D66" s="403"/>
      <c r="E66" s="3"/>
      <c r="F66" s="403"/>
      <c r="G66" s="3"/>
      <c r="H66" s="3"/>
      <c r="I66" s="3"/>
      <c r="J66" s="3"/>
      <c r="K66" s="14"/>
      <c r="N66">
        <f>IF(D66="Lawful",2,IF(D66="Neutral",1,IF(D66="Chaotic",0,0)))</f>
        <v>0</v>
      </c>
      <c r="O66">
        <f>IF(Overall!$D$4="Lawful",2,IF(Overall!$D$4="Neutral",1,IF(Overall!$D$4="Chaotic",0,0)))</f>
        <v>1</v>
      </c>
      <c r="P66">
        <f>IF(F66="Good",2,IF(F66="Neutral",1,IF(F66="Evil",0,0)))</f>
        <v>0</v>
      </c>
      <c r="Q66">
        <f>IF(Overall!$F$4="Good",2,IF(Overall!$F$4="Neutral",1,IF(Overall!$F$4="Evil",0,0)))</f>
        <v>2</v>
      </c>
      <c r="S66">
        <f>ABS(N66-O66)</f>
        <v>1</v>
      </c>
      <c r="T66">
        <f>ABS(P66-Q66)</f>
        <v>2</v>
      </c>
      <c r="V66">
        <f>IF(S66=0,0,IF(S66=1,5,IF(S66=2,15,0)))</f>
        <v>5</v>
      </c>
      <c r="W66">
        <f>IF(T66=0,0,IF(T66=1,5,IF(T66=2,15,0)))</f>
        <v>15</v>
      </c>
      <c r="Y66">
        <f>SUM(V66:W66)</f>
        <v>20</v>
      </c>
    </row>
    <row r="67" spans="1:32" ht="5.0999999999999996" customHeight="1" thickBot="1" x14ac:dyDescent="0.3">
      <c r="A67" s="15"/>
      <c r="B67" s="440"/>
      <c r="C67" s="3"/>
      <c r="D67" s="3"/>
      <c r="E67" s="3"/>
      <c r="F67" s="3"/>
      <c r="G67" s="3"/>
      <c r="H67" s="3"/>
      <c r="I67" s="3"/>
      <c r="J67" s="3"/>
      <c r="K67" s="14"/>
      <c r="N67">
        <f>IF(D67="Lawful",2,IF(D67="Neutral",1,IF(D67="Chaotic",0,0)))</f>
        <v>0</v>
      </c>
      <c r="O67">
        <f>IF(Overall!$D$4="Lawful",2,IF(Overall!$D$4="Neutral",1,IF(Overall!$D$4="Chaotic",0,0)))</f>
        <v>1</v>
      </c>
      <c r="P67">
        <f>IF(F67="Good",2,IF(F67="Neutral",1,IF(F67="Evil",0,0)))</f>
        <v>0</v>
      </c>
      <c r="Q67">
        <f>IF(Overall!$F$4="Good",2,IF(Overall!$F$4="Neutral",1,IF(Overall!$F$4="Evil",0,0)))</f>
        <v>2</v>
      </c>
      <c r="S67">
        <f>ABS(N67-O67)</f>
        <v>1</v>
      </c>
      <c r="T67">
        <f>ABS(P67-Q67)</f>
        <v>2</v>
      </c>
      <c r="V67">
        <f>IF(S67=0,0,IF(S67=1,5,IF(S67=2,15,0)))</f>
        <v>5</v>
      </c>
      <c r="W67">
        <f>IF(T67=0,0,IF(T67=1,5,IF(T67=2,15,0)))</f>
        <v>15</v>
      </c>
    </row>
    <row r="68" spans="1:32" ht="15.75" thickBot="1" x14ac:dyDescent="0.3">
      <c r="A68" s="15"/>
      <c r="B68" s="440" t="s">
        <v>790</v>
      </c>
      <c r="C68" s="3"/>
      <c r="D68" s="769"/>
      <c r="E68" s="770"/>
      <c r="F68" s="770"/>
      <c r="G68" s="770"/>
      <c r="H68" s="770"/>
      <c r="I68" s="770"/>
      <c r="J68" s="771"/>
      <c r="K68" s="14"/>
      <c r="Y68">
        <f>IF(D68&lt;&gt;0,VLOOKUP(D68,'Drop Down'!$O$35:$U$40,7,FALSE),0)</f>
        <v>0</v>
      </c>
    </row>
    <row r="69" spans="1:32" ht="5.0999999999999996" customHeight="1" thickBot="1" x14ac:dyDescent="0.3">
      <c r="A69" s="15"/>
      <c r="B69" s="440"/>
      <c r="C69" s="3"/>
      <c r="D69" s="3"/>
      <c r="E69" s="3"/>
      <c r="F69" s="3"/>
      <c r="G69" s="3"/>
      <c r="H69" s="3"/>
      <c r="I69" s="3"/>
      <c r="J69" s="3"/>
      <c r="K69" s="14"/>
    </row>
    <row r="70" spans="1:32" ht="15.75" thickBot="1" x14ac:dyDescent="0.3">
      <c r="A70" s="15"/>
      <c r="B70" s="440" t="s">
        <v>784</v>
      </c>
      <c r="C70" s="3"/>
      <c r="D70" s="403"/>
      <c r="E70" s="3"/>
      <c r="F70" s="434" t="s">
        <v>1105</v>
      </c>
      <c r="G70" s="3"/>
      <c r="H70" s="403"/>
      <c r="I70" s="441"/>
      <c r="K70" s="14"/>
      <c r="Y70">
        <f>IF(D70&lt;&gt;0,VLOOKUP(D70,'Drop Down'!$O$26:$P$31,2,FALSE),0)</f>
        <v>0</v>
      </c>
      <c r="AA70">
        <f>IF(D72="Treaty",1,0)</f>
        <v>0</v>
      </c>
      <c r="AC70">
        <f>ROUNDDOWN(H70/10,0)-4</f>
        <v>-4</v>
      </c>
    </row>
    <row r="71" spans="1:32" ht="5.0999999999999996" customHeight="1" thickBot="1" x14ac:dyDescent="0.3">
      <c r="A71" s="15"/>
      <c r="B71" s="440"/>
      <c r="C71" s="3"/>
      <c r="D71" s="3"/>
      <c r="E71" s="3"/>
      <c r="F71" s="3"/>
      <c r="G71" s="3"/>
      <c r="H71" s="3"/>
      <c r="I71" s="3"/>
      <c r="K71" s="14"/>
    </row>
    <row r="72" spans="1:32" ht="15.75" thickBot="1" x14ac:dyDescent="0.3">
      <c r="A72" s="15"/>
      <c r="B72" s="440" t="s">
        <v>791</v>
      </c>
      <c r="C72" s="3"/>
      <c r="D72" s="403"/>
      <c r="E72" s="3"/>
      <c r="F72" s="29" t="s">
        <v>1106</v>
      </c>
      <c r="G72" s="3"/>
      <c r="H72" s="403"/>
      <c r="I72" s="3"/>
      <c r="K72" s="14"/>
      <c r="AA72">
        <f>IF(D72="Alliance",2,0)</f>
        <v>0</v>
      </c>
      <c r="AD72">
        <f>ROUNDDOWN(H72/10,0)-4</f>
        <v>-4</v>
      </c>
    </row>
    <row r="73" spans="1:32" ht="5.0999999999999996" customHeight="1" thickBot="1" x14ac:dyDescent="0.3">
      <c r="A73" s="15"/>
      <c r="B73" s="440"/>
      <c r="C73" s="3"/>
      <c r="D73" s="3"/>
      <c r="E73" s="3"/>
      <c r="F73" s="3"/>
      <c r="G73" s="3"/>
      <c r="H73" s="3"/>
      <c r="I73" s="3"/>
      <c r="J73" s="3"/>
      <c r="K73" s="14"/>
    </row>
    <row r="74" spans="1:32" ht="15.75" thickBot="1" x14ac:dyDescent="0.3">
      <c r="A74" s="15"/>
      <c r="B74" s="440" t="s">
        <v>802</v>
      </c>
      <c r="C74" s="3"/>
      <c r="D74" s="296">
        <f>10+Overall!$D$18+Y64+ROUNDDOWN(Overall!$J$4/5,0)+Y66+Y68+Y70-Overall!$D$16</f>
        <v>30</v>
      </c>
      <c r="E74" s="3"/>
      <c r="F74" s="698" t="s">
        <v>803</v>
      </c>
      <c r="G74" s="699"/>
      <c r="H74" s="699"/>
      <c r="I74" s="699"/>
      <c r="J74" s="700"/>
      <c r="K74" s="14"/>
      <c r="AA74">
        <f>AA72+AA70</f>
        <v>0</v>
      </c>
      <c r="AE74">
        <f>IF(AC70&lt;0,0,IF(AA74&gt;0,AC70,0))</f>
        <v>0</v>
      </c>
      <c r="AF74">
        <f>IF(AD72&lt;0,0,IF(AA74=2,AD72,0))</f>
        <v>0</v>
      </c>
    </row>
    <row r="75" spans="1:32" ht="5.0999999999999996" customHeight="1" thickBot="1" x14ac:dyDescent="0.3">
      <c r="A75" s="307"/>
      <c r="B75" s="2"/>
      <c r="C75" s="2"/>
      <c r="D75" s="2"/>
      <c r="E75" s="2"/>
      <c r="F75" s="2"/>
      <c r="G75" s="2"/>
      <c r="H75" s="2"/>
      <c r="I75" s="2"/>
      <c r="J75" s="2"/>
      <c r="K75" s="24"/>
      <c r="N75">
        <f>IF(D75="Lawful",2,IF(D75="Neutral",1,IF(D75="Chaotic",0,0)))</f>
        <v>0</v>
      </c>
      <c r="O75">
        <f>IF(Overall!$D$4="Lawful",2,IF(Overall!$D$4="Neutral",1,IF(Overall!$D$4="Chaotic",0,0)))</f>
        <v>1</v>
      </c>
      <c r="P75">
        <f>IF(F75="Good",2,IF(F75="Neutral",1,IF(F75="Evil",0,0)))</f>
        <v>0</v>
      </c>
      <c r="Q75">
        <f>IF(Overall!$F$4="Good",2,IF(Overall!$F$4="Neutral",1,IF(Overall!$F$4="Evil",0,0)))</f>
        <v>2</v>
      </c>
      <c r="S75">
        <f>ABS(N75-O75)</f>
        <v>1</v>
      </c>
      <c r="T75">
        <f>ABS(P75-Q75)</f>
        <v>2</v>
      </c>
      <c r="V75">
        <f>IF(S75=0,0,IF(S75=1,5,IF(S75=2,15,0)))</f>
        <v>5</v>
      </c>
      <c r="W75">
        <f>IF(T75=0,0,IF(T75=1,5,IF(T75=2,15,0)))</f>
        <v>15</v>
      </c>
    </row>
    <row r="76" spans="1:32" ht="5.0999999999999996" customHeight="1" thickBot="1" x14ac:dyDescent="0.3">
      <c r="A76" s="9"/>
      <c r="B76" s="11"/>
      <c r="C76" s="11"/>
      <c r="D76" s="11"/>
      <c r="E76" s="11"/>
      <c r="F76" s="11"/>
      <c r="G76" s="11"/>
      <c r="H76" s="11"/>
      <c r="I76" s="11"/>
      <c r="J76" s="11"/>
      <c r="K76" s="12"/>
      <c r="N76">
        <f>IF(D76="Lawful",2,IF(D76="Neutral",1,IF(D76="Chaotic",0,0)))</f>
        <v>0</v>
      </c>
      <c r="O76">
        <f>IF(Overall!$D$4="Lawful",2,IF(Overall!$D$4="Neutral",1,IF(Overall!$D$4="Chaotic",0,0)))</f>
        <v>1</v>
      </c>
      <c r="P76">
        <f>IF(F76="Good",2,IF(F76="Neutral",1,IF(F76="Evil",0,0)))</f>
        <v>0</v>
      </c>
      <c r="Q76">
        <f>IF(Overall!$F$4="Good",2,IF(Overall!$F$4="Neutral",1,IF(Overall!$F$4="Evil",0,0)))</f>
        <v>2</v>
      </c>
      <c r="S76">
        <f>ABS(N76-O76)</f>
        <v>1</v>
      </c>
      <c r="T76">
        <f>ABS(P76-Q76)</f>
        <v>2</v>
      </c>
      <c r="V76">
        <f>IF(S76=0,0,IF(S76=1,5,IF(S76=2,15,0)))</f>
        <v>5</v>
      </c>
      <c r="W76">
        <f>IF(T76=0,0,IF(T76=1,5,IF(T76=2,15,0)))</f>
        <v>15</v>
      </c>
    </row>
    <row r="77" spans="1:32" ht="15.75" thickBot="1" x14ac:dyDescent="0.3">
      <c r="A77" s="15"/>
      <c r="B77" s="402" t="s">
        <v>47</v>
      </c>
      <c r="C77" s="3"/>
      <c r="D77" s="766"/>
      <c r="E77" s="767"/>
      <c r="F77" s="767"/>
      <c r="G77" s="767"/>
      <c r="H77" s="767"/>
      <c r="I77" s="767"/>
      <c r="J77" s="768"/>
      <c r="K77" s="14"/>
    </row>
    <row r="78" spans="1:32" ht="5.0999999999999996" customHeight="1" thickBot="1" x14ac:dyDescent="0.3">
      <c r="A78" s="15"/>
      <c r="B78" s="3"/>
      <c r="C78" s="3"/>
      <c r="D78" s="3"/>
      <c r="E78" s="3"/>
      <c r="F78" s="3"/>
      <c r="G78" s="3"/>
      <c r="H78" s="3"/>
      <c r="I78" s="3"/>
      <c r="J78" s="3"/>
      <c r="K78" s="14"/>
    </row>
    <row r="79" spans="1:32" ht="15.75" thickBot="1" x14ac:dyDescent="0.3">
      <c r="A79" s="15"/>
      <c r="B79" s="402" t="s">
        <v>238</v>
      </c>
      <c r="C79" s="3"/>
      <c r="D79" s="403"/>
      <c r="E79" s="3"/>
      <c r="F79" s="3"/>
      <c r="G79" s="3"/>
      <c r="H79" s="3"/>
      <c r="I79" s="3"/>
      <c r="J79" s="3"/>
      <c r="K79" s="14"/>
      <c r="Y79">
        <f>ROUNDDOWN(D79/5,0)</f>
        <v>0</v>
      </c>
    </row>
    <row r="80" spans="1:32" ht="5.0999999999999996" customHeight="1" thickBot="1" x14ac:dyDescent="0.3">
      <c r="A80" s="15"/>
      <c r="B80" s="3"/>
      <c r="C80" s="3"/>
      <c r="D80" s="3"/>
      <c r="E80" s="3"/>
      <c r="F80" s="3"/>
      <c r="G80" s="3"/>
      <c r="H80" s="3"/>
      <c r="I80" s="3"/>
      <c r="J80" s="3"/>
      <c r="K80" s="14"/>
    </row>
    <row r="81" spans="1:32" ht="15.75" thickBot="1" x14ac:dyDescent="0.3">
      <c r="A81" s="15"/>
      <c r="B81" s="440" t="s">
        <v>48</v>
      </c>
      <c r="C81" s="3"/>
      <c r="D81" s="403"/>
      <c r="E81" s="3"/>
      <c r="F81" s="403"/>
      <c r="G81" s="3"/>
      <c r="H81" s="3"/>
      <c r="I81" s="3"/>
      <c r="J81" s="3"/>
      <c r="K81" s="14"/>
      <c r="N81">
        <f>IF(D81="Lawful",2,IF(D81="Neutral",1,IF(D81="Chaotic",0,0)))</f>
        <v>0</v>
      </c>
      <c r="O81">
        <f>IF(Overall!$D$4="Lawful",2,IF(Overall!$D$4="Neutral",1,IF(Overall!$D$4="Chaotic",0,0)))</f>
        <v>1</v>
      </c>
      <c r="P81">
        <f>IF(F81="Good",2,IF(F81="Neutral",1,IF(F81="Evil",0,0)))</f>
        <v>0</v>
      </c>
      <c r="Q81">
        <f>IF(Overall!$F$4="Good",2,IF(Overall!$F$4="Neutral",1,IF(Overall!$F$4="Evil",0,0)))</f>
        <v>2</v>
      </c>
      <c r="S81">
        <f>ABS(N81-O81)</f>
        <v>1</v>
      </c>
      <c r="T81">
        <f>ABS(P81-Q81)</f>
        <v>2</v>
      </c>
      <c r="V81">
        <f>IF(S81=0,0,IF(S81=1,5,IF(S81=2,15,0)))</f>
        <v>5</v>
      </c>
      <c r="W81">
        <f>IF(T81=0,0,IF(T81=1,5,IF(T81=2,15,0)))</f>
        <v>15</v>
      </c>
      <c r="Y81">
        <f>SUM(V81:W81)</f>
        <v>20</v>
      </c>
    </row>
    <row r="82" spans="1:32" ht="5.0999999999999996" customHeight="1" thickBot="1" x14ac:dyDescent="0.3">
      <c r="A82" s="15"/>
      <c r="B82" s="440"/>
      <c r="C82" s="3"/>
      <c r="D82" s="3"/>
      <c r="E82" s="3"/>
      <c r="F82" s="3"/>
      <c r="G82" s="3"/>
      <c r="H82" s="3"/>
      <c r="I82" s="3"/>
      <c r="J82" s="3"/>
      <c r="K82" s="14"/>
      <c r="N82">
        <f>IF(D82="Lawful",2,IF(D82="Neutral",1,IF(D82="Chaotic",0,0)))</f>
        <v>0</v>
      </c>
      <c r="O82">
        <f>IF(Overall!$D$4="Lawful",2,IF(Overall!$D$4="Neutral",1,IF(Overall!$D$4="Chaotic",0,0)))</f>
        <v>1</v>
      </c>
      <c r="P82">
        <f>IF(F82="Good",2,IF(F82="Neutral",1,IF(F82="Evil",0,0)))</f>
        <v>0</v>
      </c>
      <c r="Q82">
        <f>IF(Overall!$F$4="Good",2,IF(Overall!$F$4="Neutral",1,IF(Overall!$F$4="Evil",0,0)))</f>
        <v>2</v>
      </c>
      <c r="S82">
        <f>ABS(N82-O82)</f>
        <v>1</v>
      </c>
      <c r="T82">
        <f>ABS(P82-Q82)</f>
        <v>2</v>
      </c>
      <c r="V82">
        <f>IF(S82=0,0,IF(S82=1,5,IF(S82=2,15,0)))</f>
        <v>5</v>
      </c>
      <c r="W82">
        <f>IF(T82=0,0,IF(T82=1,5,IF(T82=2,15,0)))</f>
        <v>15</v>
      </c>
    </row>
    <row r="83" spans="1:32" ht="15.75" thickBot="1" x14ac:dyDescent="0.3">
      <c r="A83" s="15"/>
      <c r="B83" s="440" t="s">
        <v>790</v>
      </c>
      <c r="C83" s="3"/>
      <c r="D83" s="769"/>
      <c r="E83" s="770"/>
      <c r="F83" s="770"/>
      <c r="G83" s="770"/>
      <c r="H83" s="770"/>
      <c r="I83" s="770"/>
      <c r="J83" s="771"/>
      <c r="K83" s="14"/>
      <c r="Y83">
        <f>IF(D83&lt;&gt;0,VLOOKUP(D83,'Drop Down'!$O$35:$U$40,7,FALSE),0)</f>
        <v>0</v>
      </c>
    </row>
    <row r="84" spans="1:32" ht="5.0999999999999996" customHeight="1" thickBot="1" x14ac:dyDescent="0.3">
      <c r="A84" s="15"/>
      <c r="B84" s="440"/>
      <c r="C84" s="3"/>
      <c r="D84" s="3"/>
      <c r="E84" s="3"/>
      <c r="F84" s="3"/>
      <c r="G84" s="3"/>
      <c r="H84" s="3"/>
      <c r="I84" s="3"/>
      <c r="J84" s="3"/>
      <c r="K84" s="14"/>
    </row>
    <row r="85" spans="1:32" ht="15.75" thickBot="1" x14ac:dyDescent="0.3">
      <c r="A85" s="15"/>
      <c r="B85" s="440" t="s">
        <v>784</v>
      </c>
      <c r="C85" s="3"/>
      <c r="D85" s="403"/>
      <c r="E85" s="3"/>
      <c r="F85" s="434" t="s">
        <v>1105</v>
      </c>
      <c r="G85" s="3"/>
      <c r="H85" s="403"/>
      <c r="I85" s="441"/>
      <c r="K85" s="14"/>
      <c r="Y85">
        <f>IF(D85&lt;&gt;0,VLOOKUP(D85,'Drop Down'!$O$26:$P$31,2,FALSE),0)</f>
        <v>0</v>
      </c>
      <c r="AA85">
        <f>IF(D87="Treaty",1,0)</f>
        <v>0</v>
      </c>
      <c r="AC85">
        <f>ROUNDDOWN(H85/10,0)-5</f>
        <v>-5</v>
      </c>
    </row>
    <row r="86" spans="1:32" ht="5.0999999999999996" customHeight="1" thickBot="1" x14ac:dyDescent="0.3">
      <c r="A86" s="15"/>
      <c r="B86" s="440"/>
      <c r="C86" s="3"/>
      <c r="D86" s="3"/>
      <c r="E86" s="3"/>
      <c r="F86" s="3"/>
      <c r="G86" s="3"/>
      <c r="H86" s="3"/>
      <c r="I86" s="3"/>
      <c r="K86" s="14"/>
    </row>
    <row r="87" spans="1:32" ht="15.75" thickBot="1" x14ac:dyDescent="0.3">
      <c r="A87" s="15"/>
      <c r="B87" s="440" t="s">
        <v>791</v>
      </c>
      <c r="C87" s="3"/>
      <c r="D87" s="403"/>
      <c r="E87" s="3"/>
      <c r="F87" s="29" t="s">
        <v>1106</v>
      </c>
      <c r="G87" s="3"/>
      <c r="H87" s="403"/>
      <c r="I87" s="3"/>
      <c r="K87" s="14"/>
      <c r="AA87">
        <f>IF(D87="Alliance",2,0)</f>
        <v>0</v>
      </c>
      <c r="AD87">
        <f>ROUNDDOWN(H87/10,0)-5</f>
        <v>-5</v>
      </c>
    </row>
    <row r="88" spans="1:32" ht="5.0999999999999996" customHeight="1" thickBot="1" x14ac:dyDescent="0.3">
      <c r="A88" s="15"/>
      <c r="B88" s="440"/>
      <c r="C88" s="3"/>
      <c r="D88" s="3"/>
      <c r="E88" s="3"/>
      <c r="F88" s="3"/>
      <c r="G88" s="3"/>
      <c r="H88" s="3"/>
      <c r="I88" s="3"/>
      <c r="J88" s="3"/>
      <c r="K88" s="14"/>
    </row>
    <row r="89" spans="1:32" ht="15.75" thickBot="1" x14ac:dyDescent="0.3">
      <c r="A89" s="15"/>
      <c r="B89" s="440" t="s">
        <v>802</v>
      </c>
      <c r="C89" s="3"/>
      <c r="D89" s="296">
        <f>10+Overall!$D$18+Y79+ROUNDDOWN(Overall!$J$4/5,0)+Y81+Y83+Y85-Overall!$D$16</f>
        <v>30</v>
      </c>
      <c r="E89" s="3"/>
      <c r="F89" s="698" t="s">
        <v>803</v>
      </c>
      <c r="G89" s="699"/>
      <c r="H89" s="699"/>
      <c r="I89" s="699"/>
      <c r="J89" s="700"/>
      <c r="K89" s="14"/>
      <c r="AA89">
        <f>AA87+AA85</f>
        <v>0</v>
      </c>
      <c r="AE89">
        <f>IF(AC85&lt;0,0,IF(AA89&gt;0,AC85,0))</f>
        <v>0</v>
      </c>
      <c r="AF89">
        <f>IF(AD87&lt;0,0,IF(AA89=2,AD87,0))</f>
        <v>0</v>
      </c>
    </row>
    <row r="90" spans="1:32" ht="5.0999999999999996" customHeight="1" thickBot="1" x14ac:dyDescent="0.3">
      <c r="A90" s="307"/>
      <c r="B90" s="2"/>
      <c r="C90" s="2"/>
      <c r="D90" s="2"/>
      <c r="E90" s="2"/>
      <c r="F90" s="2"/>
      <c r="G90" s="2"/>
      <c r="H90" s="2"/>
      <c r="I90" s="2"/>
      <c r="J90" s="2"/>
      <c r="K90" s="24"/>
      <c r="N90">
        <f>IF(D90="Lawful",2,IF(D90="Neutral",1,IF(D90="Chaotic",0,0)))</f>
        <v>0</v>
      </c>
      <c r="O90">
        <f>IF(Overall!$D$4="Lawful",2,IF(Overall!$D$4="Neutral",1,IF(Overall!$D$4="Chaotic",0,0)))</f>
        <v>1</v>
      </c>
      <c r="P90">
        <f>IF(F90="Good",2,IF(F90="Neutral",1,IF(F90="Evil",0,0)))</f>
        <v>0</v>
      </c>
      <c r="Q90">
        <f>IF(Overall!$F$4="Good",2,IF(Overall!$F$4="Neutral",1,IF(Overall!$F$4="Evil",0,0)))</f>
        <v>2</v>
      </c>
      <c r="S90">
        <f>ABS(N90-O90)</f>
        <v>1</v>
      </c>
      <c r="T90">
        <f>ABS(P90-Q90)</f>
        <v>2</v>
      </c>
      <c r="V90">
        <f>IF(S90=0,0,IF(S90=1,5,IF(S90=2,15,0)))</f>
        <v>5</v>
      </c>
      <c r="W90">
        <f>IF(T90=0,0,IF(T90=1,5,IF(T90=2,15,0)))</f>
        <v>15</v>
      </c>
    </row>
    <row r="91" spans="1:32" ht="5.0999999999999996" customHeight="1" thickBot="1" x14ac:dyDescent="0.3">
      <c r="A91" s="9"/>
      <c r="B91" s="11"/>
      <c r="C91" s="11"/>
      <c r="D91" s="11"/>
      <c r="E91" s="11"/>
      <c r="F91" s="11"/>
      <c r="G91" s="11"/>
      <c r="H91" s="11"/>
      <c r="I91" s="11"/>
      <c r="J91" s="11"/>
      <c r="K91" s="12"/>
      <c r="N91">
        <f>IF(D91="Lawful",2,IF(D91="Neutral",1,IF(D91="Chaotic",0,0)))</f>
        <v>0</v>
      </c>
      <c r="O91">
        <f>IF(Overall!$D$4="Lawful",2,IF(Overall!$D$4="Neutral",1,IF(Overall!$D$4="Chaotic",0,0)))</f>
        <v>1</v>
      </c>
      <c r="P91">
        <f>IF(F91="Good",2,IF(F91="Neutral",1,IF(F91="Evil",0,0)))</f>
        <v>0</v>
      </c>
      <c r="Q91">
        <f>IF(Overall!$F$4="Good",2,IF(Overall!$F$4="Neutral",1,IF(Overall!$F$4="Evil",0,0)))</f>
        <v>2</v>
      </c>
      <c r="S91">
        <f>ABS(N91-O91)</f>
        <v>1</v>
      </c>
      <c r="T91">
        <f>ABS(P91-Q91)</f>
        <v>2</v>
      </c>
      <c r="V91">
        <f>IF(S91=0,0,IF(S91=1,5,IF(S91=2,15,0)))</f>
        <v>5</v>
      </c>
      <c r="W91">
        <f>IF(T91=0,0,IF(T91=1,5,IF(T91=2,15,0)))</f>
        <v>15</v>
      </c>
    </row>
    <row r="92" spans="1:32" ht="15.75" thickBot="1" x14ac:dyDescent="0.3">
      <c r="A92" s="15"/>
      <c r="B92" s="402" t="s">
        <v>47</v>
      </c>
      <c r="C92" s="3"/>
      <c r="D92" s="766"/>
      <c r="E92" s="767"/>
      <c r="F92" s="767"/>
      <c r="G92" s="767"/>
      <c r="H92" s="767"/>
      <c r="I92" s="767"/>
      <c r="J92" s="768"/>
      <c r="K92" s="14"/>
    </row>
    <row r="93" spans="1:32" ht="5.0999999999999996" customHeight="1" thickBot="1" x14ac:dyDescent="0.3">
      <c r="A93" s="15"/>
      <c r="B93" s="3"/>
      <c r="C93" s="3"/>
      <c r="D93" s="3"/>
      <c r="E93" s="3"/>
      <c r="F93" s="3"/>
      <c r="G93" s="3"/>
      <c r="H93" s="3"/>
      <c r="I93" s="3"/>
      <c r="J93" s="3"/>
      <c r="K93" s="14"/>
    </row>
    <row r="94" spans="1:32" ht="15.75" thickBot="1" x14ac:dyDescent="0.3">
      <c r="A94" s="15"/>
      <c r="B94" s="402" t="s">
        <v>238</v>
      </c>
      <c r="C94" s="3"/>
      <c r="D94" s="403"/>
      <c r="E94" s="3"/>
      <c r="F94" s="3"/>
      <c r="G94" s="3"/>
      <c r="H94" s="3"/>
      <c r="I94" s="3"/>
      <c r="J94" s="3"/>
      <c r="K94" s="14"/>
      <c r="Y94">
        <f>ROUNDDOWN(D94/5,0)</f>
        <v>0</v>
      </c>
    </row>
    <row r="95" spans="1:32" ht="5.0999999999999996" customHeight="1" thickBot="1" x14ac:dyDescent="0.3">
      <c r="A95" s="15"/>
      <c r="B95" s="3"/>
      <c r="C95" s="3"/>
      <c r="D95" s="3"/>
      <c r="E95" s="3"/>
      <c r="F95" s="3"/>
      <c r="G95" s="3"/>
      <c r="H95" s="3"/>
      <c r="I95" s="3"/>
      <c r="J95" s="3"/>
      <c r="K95" s="14"/>
    </row>
    <row r="96" spans="1:32" ht="15.75" thickBot="1" x14ac:dyDescent="0.3">
      <c r="A96" s="15"/>
      <c r="B96" s="440" t="s">
        <v>48</v>
      </c>
      <c r="C96" s="3"/>
      <c r="D96" s="403"/>
      <c r="E96" s="3"/>
      <c r="F96" s="403"/>
      <c r="G96" s="3"/>
      <c r="H96" s="3"/>
      <c r="I96" s="3"/>
      <c r="J96" s="3"/>
      <c r="K96" s="14"/>
      <c r="N96">
        <f>IF(D96="Lawful",2,IF(D96="Neutral",1,IF(D96="Chaotic",0,0)))</f>
        <v>0</v>
      </c>
      <c r="O96">
        <f>IF(Overall!$D$4="Lawful",2,IF(Overall!$D$4="Neutral",1,IF(Overall!$D$4="Chaotic",0,0)))</f>
        <v>1</v>
      </c>
      <c r="P96">
        <f>IF(F96="Good",2,IF(F96="Neutral",1,IF(F96="Evil",0,0)))</f>
        <v>0</v>
      </c>
      <c r="Q96">
        <f>IF(Overall!$F$4="Good",2,IF(Overall!$F$4="Neutral",1,IF(Overall!$F$4="Evil",0,0)))</f>
        <v>2</v>
      </c>
      <c r="S96">
        <f>ABS(N96-O96)</f>
        <v>1</v>
      </c>
      <c r="T96">
        <f>ABS(P96-Q96)</f>
        <v>2</v>
      </c>
      <c r="V96">
        <f>IF(S96=0,0,IF(S96=1,5,IF(S96=2,15,0)))</f>
        <v>5</v>
      </c>
      <c r="W96">
        <f>IF(T96=0,0,IF(T96=1,5,IF(T96=2,15,0)))</f>
        <v>15</v>
      </c>
      <c r="Y96">
        <f>SUM(V96:W96)</f>
        <v>20</v>
      </c>
    </row>
    <row r="97" spans="1:32" ht="5.0999999999999996" customHeight="1" thickBot="1" x14ac:dyDescent="0.3">
      <c r="A97" s="15"/>
      <c r="B97" s="440"/>
      <c r="C97" s="3"/>
      <c r="D97" s="3"/>
      <c r="E97" s="3"/>
      <c r="F97" s="3"/>
      <c r="G97" s="3"/>
      <c r="H97" s="3"/>
      <c r="I97" s="3"/>
      <c r="J97" s="3"/>
      <c r="K97" s="14"/>
      <c r="N97">
        <f>IF(D97="Lawful",2,IF(D97="Neutral",1,IF(D97="Chaotic",0,0)))</f>
        <v>0</v>
      </c>
      <c r="O97">
        <f>IF(Overall!$D$4="Lawful",2,IF(Overall!$D$4="Neutral",1,IF(Overall!$D$4="Chaotic",0,0)))</f>
        <v>1</v>
      </c>
      <c r="P97">
        <f>IF(F97="Good",2,IF(F97="Neutral",1,IF(F97="Evil",0,0)))</f>
        <v>0</v>
      </c>
      <c r="Q97">
        <f>IF(Overall!$F$4="Good",2,IF(Overall!$F$4="Neutral",1,IF(Overall!$F$4="Evil",0,0)))</f>
        <v>2</v>
      </c>
      <c r="S97">
        <f>ABS(N97-O97)</f>
        <v>1</v>
      </c>
      <c r="T97">
        <f>ABS(P97-Q97)</f>
        <v>2</v>
      </c>
      <c r="V97">
        <f>IF(S97=0,0,IF(S97=1,5,IF(S97=2,15,0)))</f>
        <v>5</v>
      </c>
      <c r="W97">
        <f>IF(T97=0,0,IF(T97=1,5,IF(T97=2,15,0)))</f>
        <v>15</v>
      </c>
    </row>
    <row r="98" spans="1:32" ht="15.75" thickBot="1" x14ac:dyDescent="0.3">
      <c r="A98" s="15"/>
      <c r="B98" s="440" t="s">
        <v>790</v>
      </c>
      <c r="C98" s="3"/>
      <c r="D98" s="769"/>
      <c r="E98" s="770"/>
      <c r="F98" s="770"/>
      <c r="G98" s="770"/>
      <c r="H98" s="770"/>
      <c r="I98" s="770"/>
      <c r="J98" s="771"/>
      <c r="K98" s="14"/>
      <c r="Y98">
        <f>IF(D98&lt;&gt;0,VLOOKUP(D98,'Drop Down'!$O$35:$U$40,7,FALSE),0)</f>
        <v>0</v>
      </c>
    </row>
    <row r="99" spans="1:32" ht="5.0999999999999996" customHeight="1" thickBot="1" x14ac:dyDescent="0.3">
      <c r="A99" s="15"/>
      <c r="B99" s="440"/>
      <c r="C99" s="3"/>
      <c r="D99" s="3"/>
      <c r="E99" s="3"/>
      <c r="F99" s="3"/>
      <c r="G99" s="3"/>
      <c r="H99" s="3"/>
      <c r="I99" s="3"/>
      <c r="J99" s="3"/>
      <c r="K99" s="14"/>
    </row>
    <row r="100" spans="1:32" ht="15.75" thickBot="1" x14ac:dyDescent="0.3">
      <c r="A100" s="15"/>
      <c r="B100" s="440" t="s">
        <v>784</v>
      </c>
      <c r="C100" s="3"/>
      <c r="D100" s="403"/>
      <c r="E100" s="3"/>
      <c r="F100" s="434" t="s">
        <v>1105</v>
      </c>
      <c r="G100" s="3"/>
      <c r="H100" s="403"/>
      <c r="I100" s="441"/>
      <c r="K100" s="14"/>
      <c r="Y100">
        <f>IF(D100&lt;&gt;0,VLOOKUP(D100,'Drop Down'!$O$26:$P$31,2,FALSE),0)</f>
        <v>0</v>
      </c>
      <c r="AA100">
        <f>IF(D102="Treaty",1,0)</f>
        <v>0</v>
      </c>
      <c r="AC100">
        <f>ROUNDDOWN(H100/10,0)-6</f>
        <v>-6</v>
      </c>
    </row>
    <row r="101" spans="1:32" ht="5.0999999999999996" customHeight="1" thickBot="1" x14ac:dyDescent="0.3">
      <c r="A101" s="15"/>
      <c r="B101" s="440"/>
      <c r="C101" s="3"/>
      <c r="D101" s="3"/>
      <c r="E101" s="3"/>
      <c r="F101" s="3"/>
      <c r="G101" s="3"/>
      <c r="H101" s="3"/>
      <c r="I101" s="3"/>
      <c r="K101" s="14"/>
    </row>
    <row r="102" spans="1:32" ht="15.75" thickBot="1" x14ac:dyDescent="0.3">
      <c r="A102" s="15"/>
      <c r="B102" s="440" t="s">
        <v>791</v>
      </c>
      <c r="C102" s="3"/>
      <c r="D102" s="403"/>
      <c r="E102" s="3"/>
      <c r="F102" s="29" t="s">
        <v>1106</v>
      </c>
      <c r="G102" s="3"/>
      <c r="H102" s="403"/>
      <c r="I102" s="3"/>
      <c r="K102" s="14"/>
      <c r="AA102">
        <f>IF(D102="Alliance",2,0)</f>
        <v>0</v>
      </c>
      <c r="AD102">
        <f>ROUNDDOWN(H102/10,0)-6</f>
        <v>-6</v>
      </c>
    </row>
    <row r="103" spans="1:32" ht="5.0999999999999996" customHeight="1" thickBot="1" x14ac:dyDescent="0.3">
      <c r="A103" s="15"/>
      <c r="B103" s="440"/>
      <c r="C103" s="3"/>
      <c r="D103" s="3"/>
      <c r="E103" s="3"/>
      <c r="F103" s="3"/>
      <c r="G103" s="3"/>
      <c r="H103" s="3"/>
      <c r="I103" s="3"/>
      <c r="J103" s="3"/>
      <c r="K103" s="14"/>
    </row>
    <row r="104" spans="1:32" ht="15.75" thickBot="1" x14ac:dyDescent="0.3">
      <c r="A104" s="15"/>
      <c r="B104" s="440" t="s">
        <v>802</v>
      </c>
      <c r="C104" s="3"/>
      <c r="D104" s="296">
        <f>10+Overall!$D$18+Y94+ROUNDDOWN(Overall!$J$4/5,0)+Y96+Y98+Y100-Overall!$D$16</f>
        <v>30</v>
      </c>
      <c r="E104" s="3"/>
      <c r="F104" s="698" t="s">
        <v>803</v>
      </c>
      <c r="G104" s="699"/>
      <c r="H104" s="699"/>
      <c r="I104" s="699"/>
      <c r="J104" s="700"/>
      <c r="K104" s="14"/>
      <c r="AA104">
        <f>AA102+AA100</f>
        <v>0</v>
      </c>
      <c r="AE104">
        <f>IF(AC100&lt;0,0,IF(AA104&gt;0,AC100,0))</f>
        <v>0</v>
      </c>
      <c r="AF104">
        <f>IF(AD102&lt;0,0,IF(AA104=2,AD102,0))</f>
        <v>0</v>
      </c>
    </row>
    <row r="105" spans="1:32" ht="5.0999999999999996" customHeight="1" thickBot="1" x14ac:dyDescent="0.3">
      <c r="A105" s="307"/>
      <c r="B105" s="2"/>
      <c r="C105" s="2"/>
      <c r="D105" s="2"/>
      <c r="E105" s="2"/>
      <c r="F105" s="2"/>
      <c r="G105" s="2"/>
      <c r="H105" s="2"/>
      <c r="I105" s="2"/>
      <c r="J105" s="2"/>
      <c r="K105" s="24"/>
      <c r="N105">
        <f>IF(D105="Lawful",2,IF(D105="Neutral",1,IF(D105="Chaotic",0,0)))</f>
        <v>0</v>
      </c>
      <c r="O105">
        <f>IF(Overall!$D$4="Lawful",2,IF(Overall!$D$4="Neutral",1,IF(Overall!$D$4="Chaotic",0,0)))</f>
        <v>1</v>
      </c>
      <c r="P105">
        <f>IF(F105="Good",2,IF(F105="Neutral",1,IF(F105="Evil",0,0)))</f>
        <v>0</v>
      </c>
      <c r="Q105">
        <f>IF(Overall!$F$4="Good",2,IF(Overall!$F$4="Neutral",1,IF(Overall!$F$4="Evil",0,0)))</f>
        <v>2</v>
      </c>
      <c r="S105">
        <f>ABS(N105-O105)</f>
        <v>1</v>
      </c>
      <c r="T105">
        <f>ABS(P105-Q105)</f>
        <v>2</v>
      </c>
      <c r="V105">
        <f>IF(S105=0,0,IF(S105=1,5,IF(S105=2,15,0)))</f>
        <v>5</v>
      </c>
      <c r="W105">
        <f>IF(T105=0,0,IF(T105=1,5,IF(T105=2,15,0)))</f>
        <v>15</v>
      </c>
    </row>
    <row r="106" spans="1:32" ht="5.0999999999999996" customHeight="1" thickBot="1" x14ac:dyDescent="0.3">
      <c r="A106" s="9"/>
      <c r="B106" s="11"/>
      <c r="C106" s="11"/>
      <c r="D106" s="11"/>
      <c r="E106" s="11"/>
      <c r="F106" s="11"/>
      <c r="G106" s="11"/>
      <c r="H106" s="11"/>
      <c r="I106" s="11"/>
      <c r="J106" s="11"/>
      <c r="K106" s="12"/>
      <c r="N106">
        <f>IF(D106="Lawful",2,IF(D106="Neutral",1,IF(D106="Chaotic",0,0)))</f>
        <v>0</v>
      </c>
      <c r="O106">
        <f>IF(Overall!$D$4="Lawful",2,IF(Overall!$D$4="Neutral",1,IF(Overall!$D$4="Chaotic",0,0)))</f>
        <v>1</v>
      </c>
      <c r="P106">
        <f>IF(F106="Good",2,IF(F106="Neutral",1,IF(F106="Evil",0,0)))</f>
        <v>0</v>
      </c>
      <c r="Q106">
        <f>IF(Overall!$F$4="Good",2,IF(Overall!$F$4="Neutral",1,IF(Overall!$F$4="Evil",0,0)))</f>
        <v>2</v>
      </c>
      <c r="S106">
        <f>ABS(N106-O106)</f>
        <v>1</v>
      </c>
      <c r="T106">
        <f>ABS(P106-Q106)</f>
        <v>2</v>
      </c>
      <c r="V106">
        <f>IF(S106=0,0,IF(S106=1,5,IF(S106=2,15,0)))</f>
        <v>5</v>
      </c>
      <c r="W106">
        <f>IF(T106=0,0,IF(T106=1,5,IF(T106=2,15,0)))</f>
        <v>15</v>
      </c>
    </row>
    <row r="107" spans="1:32" ht="15.75" thickBot="1" x14ac:dyDescent="0.3">
      <c r="A107" s="15"/>
      <c r="B107" s="402" t="s">
        <v>47</v>
      </c>
      <c r="C107" s="3"/>
      <c r="D107" s="766"/>
      <c r="E107" s="767"/>
      <c r="F107" s="767"/>
      <c r="G107" s="767"/>
      <c r="H107" s="767"/>
      <c r="I107" s="767"/>
      <c r="J107" s="768"/>
      <c r="K107" s="14"/>
    </row>
    <row r="108" spans="1:32" ht="5.0999999999999996" customHeight="1" thickBot="1" x14ac:dyDescent="0.3">
      <c r="A108" s="15"/>
      <c r="B108" s="3"/>
      <c r="C108" s="3"/>
      <c r="D108" s="3"/>
      <c r="E108" s="3"/>
      <c r="F108" s="3"/>
      <c r="G108" s="3"/>
      <c r="H108" s="3"/>
      <c r="I108" s="3"/>
      <c r="J108" s="3"/>
      <c r="K108" s="14"/>
    </row>
    <row r="109" spans="1:32" ht="15.75" thickBot="1" x14ac:dyDescent="0.3">
      <c r="A109" s="15"/>
      <c r="B109" s="402" t="s">
        <v>238</v>
      </c>
      <c r="C109" s="3"/>
      <c r="D109" s="403"/>
      <c r="E109" s="3"/>
      <c r="F109" s="3"/>
      <c r="G109" s="3"/>
      <c r="H109" s="3"/>
      <c r="I109" s="3"/>
      <c r="J109" s="3"/>
      <c r="K109" s="14"/>
      <c r="Y109">
        <f>ROUNDDOWN(D109/5,0)</f>
        <v>0</v>
      </c>
    </row>
    <row r="110" spans="1:32" ht="5.0999999999999996" customHeight="1" thickBot="1" x14ac:dyDescent="0.3">
      <c r="A110" s="15"/>
      <c r="B110" s="3"/>
      <c r="C110" s="3"/>
      <c r="D110" s="3"/>
      <c r="E110" s="3"/>
      <c r="F110" s="3"/>
      <c r="G110" s="3"/>
      <c r="H110" s="3"/>
      <c r="I110" s="3"/>
      <c r="J110" s="3"/>
      <c r="K110" s="14"/>
    </row>
    <row r="111" spans="1:32" ht="15.75" thickBot="1" x14ac:dyDescent="0.3">
      <c r="A111" s="15"/>
      <c r="B111" s="440" t="s">
        <v>48</v>
      </c>
      <c r="C111" s="3"/>
      <c r="D111" s="403"/>
      <c r="E111" s="3"/>
      <c r="F111" s="403"/>
      <c r="G111" s="3"/>
      <c r="H111" s="3"/>
      <c r="I111" s="3"/>
      <c r="J111" s="3"/>
      <c r="K111" s="14"/>
      <c r="N111">
        <f>IF(D111="Lawful",2,IF(D111="Neutral",1,IF(D111="Chaotic",0,0)))</f>
        <v>0</v>
      </c>
      <c r="O111">
        <f>IF(Overall!$D$4="Lawful",2,IF(Overall!$D$4="Neutral",1,IF(Overall!$D$4="Chaotic",0,0)))</f>
        <v>1</v>
      </c>
      <c r="P111">
        <f>IF(F111="Good",2,IF(F111="Neutral",1,IF(F111="Evil",0,0)))</f>
        <v>0</v>
      </c>
      <c r="Q111">
        <f>IF(Overall!$F$4="Good",2,IF(Overall!$F$4="Neutral",1,IF(Overall!$F$4="Evil",0,0)))</f>
        <v>2</v>
      </c>
      <c r="S111">
        <f>ABS(N111-O111)</f>
        <v>1</v>
      </c>
      <c r="T111">
        <f>ABS(P111-Q111)</f>
        <v>2</v>
      </c>
      <c r="V111">
        <f>IF(S111=0,0,IF(S111=1,5,IF(S111=2,15,0)))</f>
        <v>5</v>
      </c>
      <c r="W111">
        <f>IF(T111=0,0,IF(T111=1,5,IF(T111=2,15,0)))</f>
        <v>15</v>
      </c>
      <c r="Y111">
        <f>SUM(V111:W111)</f>
        <v>20</v>
      </c>
    </row>
    <row r="112" spans="1:32" ht="5.0999999999999996" customHeight="1" thickBot="1" x14ac:dyDescent="0.3">
      <c r="A112" s="15"/>
      <c r="B112" s="440"/>
      <c r="C112" s="3"/>
      <c r="D112" s="3"/>
      <c r="E112" s="3"/>
      <c r="F112" s="3"/>
      <c r="G112" s="3"/>
      <c r="H112" s="3"/>
      <c r="I112" s="3"/>
      <c r="J112" s="3"/>
      <c r="K112" s="14"/>
      <c r="N112">
        <f>IF(D112="Lawful",2,IF(D112="Neutral",1,IF(D112="Chaotic",0,0)))</f>
        <v>0</v>
      </c>
      <c r="O112">
        <f>IF(Overall!$D$4="Lawful",2,IF(Overall!$D$4="Neutral",1,IF(Overall!$D$4="Chaotic",0,0)))</f>
        <v>1</v>
      </c>
      <c r="P112">
        <f>IF(F112="Good",2,IF(F112="Neutral",1,IF(F112="Evil",0,0)))</f>
        <v>0</v>
      </c>
      <c r="Q112">
        <f>IF(Overall!$F$4="Good",2,IF(Overall!$F$4="Neutral",1,IF(Overall!$F$4="Evil",0,0)))</f>
        <v>2</v>
      </c>
      <c r="S112">
        <f>ABS(N112-O112)</f>
        <v>1</v>
      </c>
      <c r="T112">
        <f>ABS(P112-Q112)</f>
        <v>2</v>
      </c>
      <c r="V112">
        <f>IF(S112=0,0,IF(S112=1,5,IF(S112=2,15,0)))</f>
        <v>5</v>
      </c>
      <c r="W112">
        <f>IF(T112=0,0,IF(T112=1,5,IF(T112=2,15,0)))</f>
        <v>15</v>
      </c>
    </row>
    <row r="113" spans="1:32" ht="15.75" thickBot="1" x14ac:dyDescent="0.3">
      <c r="A113" s="15"/>
      <c r="B113" s="440" t="s">
        <v>790</v>
      </c>
      <c r="C113" s="3"/>
      <c r="D113" s="769"/>
      <c r="E113" s="770"/>
      <c r="F113" s="770"/>
      <c r="G113" s="770"/>
      <c r="H113" s="770"/>
      <c r="I113" s="770"/>
      <c r="J113" s="771"/>
      <c r="K113" s="14"/>
      <c r="Y113">
        <f>IF(D113&lt;&gt;0,VLOOKUP(D113,'Drop Down'!$O$35:$U$40,7,FALSE),0)</f>
        <v>0</v>
      </c>
    </row>
    <row r="114" spans="1:32" ht="5.0999999999999996" customHeight="1" thickBot="1" x14ac:dyDescent="0.3">
      <c r="A114" s="15"/>
      <c r="B114" s="440"/>
      <c r="C114" s="3"/>
      <c r="D114" s="3"/>
      <c r="E114" s="3"/>
      <c r="F114" s="3"/>
      <c r="G114" s="3"/>
      <c r="H114" s="3"/>
      <c r="I114" s="3"/>
      <c r="J114" s="3"/>
      <c r="K114" s="14"/>
    </row>
    <row r="115" spans="1:32" ht="15.75" thickBot="1" x14ac:dyDescent="0.3">
      <c r="A115" s="15"/>
      <c r="B115" s="440" t="s">
        <v>784</v>
      </c>
      <c r="C115" s="3"/>
      <c r="D115" s="403"/>
      <c r="E115" s="3"/>
      <c r="F115" s="434" t="s">
        <v>1105</v>
      </c>
      <c r="G115" s="3"/>
      <c r="H115" s="403"/>
      <c r="I115" s="441"/>
      <c r="K115" s="14"/>
      <c r="Y115">
        <f>IF(D115&lt;&gt;0,VLOOKUP(D115,'Drop Down'!$O$26:$P$31,2,FALSE),0)</f>
        <v>0</v>
      </c>
      <c r="AA115">
        <f>IF(D117="Treaty",1,0)</f>
        <v>0</v>
      </c>
      <c r="AC115">
        <f>ROUNDDOWN(H115/10,0)-7</f>
        <v>-7</v>
      </c>
    </row>
    <row r="116" spans="1:32" ht="5.0999999999999996" customHeight="1" thickBot="1" x14ac:dyDescent="0.3">
      <c r="A116" s="15"/>
      <c r="B116" s="440"/>
      <c r="C116" s="3"/>
      <c r="D116" s="3"/>
      <c r="E116" s="3"/>
      <c r="F116" s="3"/>
      <c r="G116" s="3"/>
      <c r="H116" s="3"/>
      <c r="I116" s="3"/>
      <c r="K116" s="14"/>
    </row>
    <row r="117" spans="1:32" ht="15.75" thickBot="1" x14ac:dyDescent="0.3">
      <c r="A117" s="15"/>
      <c r="B117" s="440" t="s">
        <v>791</v>
      </c>
      <c r="C117" s="3"/>
      <c r="D117" s="403"/>
      <c r="E117" s="3"/>
      <c r="F117" s="29" t="s">
        <v>1106</v>
      </c>
      <c r="G117" s="3"/>
      <c r="H117" s="403"/>
      <c r="I117" s="3"/>
      <c r="K117" s="14"/>
      <c r="AA117">
        <f>IF(D117="Alliance",2,0)</f>
        <v>0</v>
      </c>
      <c r="AD117">
        <f>ROUNDDOWN(H117/10,0)-7</f>
        <v>-7</v>
      </c>
    </row>
    <row r="118" spans="1:32" ht="5.0999999999999996" customHeight="1" thickBot="1" x14ac:dyDescent="0.3">
      <c r="A118" s="15"/>
      <c r="B118" s="440"/>
      <c r="C118" s="3"/>
      <c r="D118" s="3"/>
      <c r="E118" s="3"/>
      <c r="F118" s="3"/>
      <c r="G118" s="3"/>
      <c r="H118" s="3"/>
      <c r="I118" s="3"/>
      <c r="J118" s="3"/>
      <c r="K118" s="14"/>
    </row>
    <row r="119" spans="1:32" ht="15.75" thickBot="1" x14ac:dyDescent="0.3">
      <c r="A119" s="15"/>
      <c r="B119" s="440" t="s">
        <v>802</v>
      </c>
      <c r="C119" s="3"/>
      <c r="D119" s="296">
        <f>10+Overall!$D$18+Y109+ROUNDDOWN(Overall!$J$4/5,0)+Y111+Y113+Y115-Overall!$D$16</f>
        <v>30</v>
      </c>
      <c r="E119" s="3"/>
      <c r="F119" s="698" t="s">
        <v>803</v>
      </c>
      <c r="G119" s="699"/>
      <c r="H119" s="699"/>
      <c r="I119" s="699"/>
      <c r="J119" s="700"/>
      <c r="K119" s="14"/>
      <c r="AA119">
        <f>AA117+AA115</f>
        <v>0</v>
      </c>
      <c r="AE119">
        <f>IF(AC115&lt;0,0,IF(AA119&gt;0,AC115,0))</f>
        <v>0</v>
      </c>
      <c r="AF119">
        <f>IF(AD117&lt;0,0,IF(AA119=2,AD117,0))</f>
        <v>0</v>
      </c>
    </row>
    <row r="120" spans="1:32" ht="5.0999999999999996" customHeight="1" thickBot="1" x14ac:dyDescent="0.3">
      <c r="A120" s="307"/>
      <c r="B120" s="2"/>
      <c r="C120" s="2"/>
      <c r="D120" s="2"/>
      <c r="E120" s="2"/>
      <c r="F120" s="2"/>
      <c r="G120" s="2"/>
      <c r="H120" s="2"/>
      <c r="I120" s="2"/>
      <c r="J120" s="2"/>
      <c r="K120" s="24"/>
      <c r="N120">
        <f>IF(D120="Lawful",2,IF(D120="Neutral",1,IF(D120="Chaotic",0,0)))</f>
        <v>0</v>
      </c>
      <c r="O120">
        <f>IF(Overall!$D$4="Lawful",2,IF(Overall!$D$4="Neutral",1,IF(Overall!$D$4="Chaotic",0,0)))</f>
        <v>1</v>
      </c>
      <c r="P120">
        <f>IF(F120="Good",2,IF(F120="Neutral",1,IF(F120="Evil",0,0)))</f>
        <v>0</v>
      </c>
      <c r="Q120">
        <f>IF(Overall!$F$4="Good",2,IF(Overall!$F$4="Neutral",1,IF(Overall!$F$4="Evil",0,0)))</f>
        <v>2</v>
      </c>
      <c r="S120">
        <f>ABS(N120-O120)</f>
        <v>1</v>
      </c>
      <c r="T120">
        <f>ABS(P120-Q120)</f>
        <v>2</v>
      </c>
      <c r="V120">
        <f>IF(S120=0,0,IF(S120=1,5,IF(S120=2,15,0)))</f>
        <v>5</v>
      </c>
      <c r="W120">
        <f>IF(T120=0,0,IF(T120=1,5,IF(T120=2,15,0)))</f>
        <v>15</v>
      </c>
    </row>
    <row r="121" spans="1:32" ht="5.0999999999999996" customHeight="1" thickBot="1" x14ac:dyDescent="0.3">
      <c r="A121" s="9"/>
      <c r="B121" s="11"/>
      <c r="C121" s="11"/>
      <c r="D121" s="11"/>
      <c r="E121" s="11"/>
      <c r="F121" s="11"/>
      <c r="G121" s="11"/>
      <c r="H121" s="11"/>
      <c r="I121" s="11"/>
      <c r="J121" s="11"/>
      <c r="K121" s="12"/>
      <c r="N121">
        <f>IF(D121="Lawful",2,IF(D121="Neutral",1,IF(D121="Chaotic",0,0)))</f>
        <v>0</v>
      </c>
      <c r="O121">
        <f>IF(Overall!$D$4="Lawful",2,IF(Overall!$D$4="Neutral",1,IF(Overall!$D$4="Chaotic",0,0)))</f>
        <v>1</v>
      </c>
      <c r="P121">
        <f>IF(F121="Good",2,IF(F121="Neutral",1,IF(F121="Evil",0,0)))</f>
        <v>0</v>
      </c>
      <c r="Q121">
        <f>IF(Overall!$F$4="Good",2,IF(Overall!$F$4="Neutral",1,IF(Overall!$F$4="Evil",0,0)))</f>
        <v>2</v>
      </c>
      <c r="S121">
        <f>ABS(N121-O121)</f>
        <v>1</v>
      </c>
      <c r="T121">
        <f>ABS(P121-Q121)</f>
        <v>2</v>
      </c>
      <c r="V121">
        <f>IF(S121=0,0,IF(S121=1,5,IF(S121=2,15,0)))</f>
        <v>5</v>
      </c>
      <c r="W121">
        <f>IF(T121=0,0,IF(T121=1,5,IF(T121=2,15,0)))</f>
        <v>15</v>
      </c>
    </row>
    <row r="122" spans="1:32" ht="15.75" thickBot="1" x14ac:dyDescent="0.3">
      <c r="A122" s="15"/>
      <c r="B122" s="402" t="s">
        <v>47</v>
      </c>
      <c r="C122" s="3"/>
      <c r="D122" s="766"/>
      <c r="E122" s="767"/>
      <c r="F122" s="767"/>
      <c r="G122" s="767"/>
      <c r="H122" s="767"/>
      <c r="I122" s="767"/>
      <c r="J122" s="768"/>
      <c r="K122" s="14"/>
    </row>
    <row r="123" spans="1:32" ht="5.0999999999999996" customHeight="1" thickBot="1" x14ac:dyDescent="0.3">
      <c r="A123" s="15"/>
      <c r="B123" s="3"/>
      <c r="C123" s="3"/>
      <c r="D123" s="3"/>
      <c r="E123" s="3"/>
      <c r="F123" s="3"/>
      <c r="G123" s="3"/>
      <c r="H123" s="3"/>
      <c r="I123" s="3"/>
      <c r="J123" s="3"/>
      <c r="K123" s="14"/>
    </row>
    <row r="124" spans="1:32" ht="15.75" thickBot="1" x14ac:dyDescent="0.3">
      <c r="A124" s="15"/>
      <c r="B124" s="402" t="s">
        <v>238</v>
      </c>
      <c r="C124" s="3"/>
      <c r="D124" s="403"/>
      <c r="E124" s="3"/>
      <c r="F124" s="3"/>
      <c r="G124" s="3"/>
      <c r="H124" s="3"/>
      <c r="I124" s="3"/>
      <c r="J124" s="3"/>
      <c r="K124" s="14"/>
      <c r="Y124">
        <f>ROUNDDOWN(D124/5,0)</f>
        <v>0</v>
      </c>
    </row>
    <row r="125" spans="1:32" ht="5.0999999999999996" customHeight="1" thickBot="1" x14ac:dyDescent="0.3">
      <c r="A125" s="15"/>
      <c r="B125" s="3"/>
      <c r="C125" s="3"/>
      <c r="D125" s="3"/>
      <c r="E125" s="3"/>
      <c r="F125" s="3"/>
      <c r="G125" s="3"/>
      <c r="H125" s="3"/>
      <c r="I125" s="3"/>
      <c r="J125" s="3"/>
      <c r="K125" s="14"/>
    </row>
    <row r="126" spans="1:32" ht="15.75" thickBot="1" x14ac:dyDescent="0.3">
      <c r="A126" s="15"/>
      <c r="B126" s="440" t="s">
        <v>48</v>
      </c>
      <c r="C126" s="3"/>
      <c r="D126" s="403"/>
      <c r="E126" s="3"/>
      <c r="F126" s="403"/>
      <c r="G126" s="3"/>
      <c r="H126" s="3"/>
      <c r="I126" s="3"/>
      <c r="J126" s="3"/>
      <c r="K126" s="14"/>
      <c r="N126">
        <f>IF(D126="Lawful",2,IF(D126="Neutral",1,IF(D126="Chaotic",0,0)))</f>
        <v>0</v>
      </c>
      <c r="O126">
        <f>IF(Overall!$D$4="Lawful",2,IF(Overall!$D$4="Neutral",1,IF(Overall!$D$4="Chaotic",0,0)))</f>
        <v>1</v>
      </c>
      <c r="P126">
        <f>IF(F126="Good",2,IF(F126="Neutral",1,IF(F126="Evil",0,0)))</f>
        <v>0</v>
      </c>
      <c r="Q126">
        <f>IF(Overall!$F$4="Good",2,IF(Overall!$F$4="Neutral",1,IF(Overall!$F$4="Evil",0,0)))</f>
        <v>2</v>
      </c>
      <c r="S126">
        <f>ABS(N126-O126)</f>
        <v>1</v>
      </c>
      <c r="T126">
        <f>ABS(P126-Q126)</f>
        <v>2</v>
      </c>
      <c r="V126">
        <f>IF(S126=0,0,IF(S126=1,5,IF(S126=2,15,0)))</f>
        <v>5</v>
      </c>
      <c r="W126">
        <f>IF(T126=0,0,IF(T126=1,5,IF(T126=2,15,0)))</f>
        <v>15</v>
      </c>
      <c r="Y126">
        <f>SUM(V126:W126)</f>
        <v>20</v>
      </c>
    </row>
    <row r="127" spans="1:32" ht="5.0999999999999996" customHeight="1" thickBot="1" x14ac:dyDescent="0.3">
      <c r="A127" s="15"/>
      <c r="B127" s="440"/>
      <c r="C127" s="3"/>
      <c r="D127" s="3"/>
      <c r="E127" s="3"/>
      <c r="F127" s="3"/>
      <c r="G127" s="3"/>
      <c r="H127" s="3"/>
      <c r="I127" s="3"/>
      <c r="J127" s="3"/>
      <c r="K127" s="14"/>
      <c r="N127">
        <f>IF(D127="Lawful",2,IF(D127="Neutral",1,IF(D127="Chaotic",0,0)))</f>
        <v>0</v>
      </c>
      <c r="O127">
        <f>IF(Overall!$D$4="Lawful",2,IF(Overall!$D$4="Neutral",1,IF(Overall!$D$4="Chaotic",0,0)))</f>
        <v>1</v>
      </c>
      <c r="P127">
        <f>IF(F127="Good",2,IF(F127="Neutral",1,IF(F127="Evil",0,0)))</f>
        <v>0</v>
      </c>
      <c r="Q127">
        <f>IF(Overall!$F$4="Good",2,IF(Overall!$F$4="Neutral",1,IF(Overall!$F$4="Evil",0,0)))</f>
        <v>2</v>
      </c>
      <c r="S127">
        <f>ABS(N127-O127)</f>
        <v>1</v>
      </c>
      <c r="T127">
        <f>ABS(P127-Q127)</f>
        <v>2</v>
      </c>
      <c r="V127">
        <f>IF(S127=0,0,IF(S127=1,5,IF(S127=2,15,0)))</f>
        <v>5</v>
      </c>
      <c r="W127">
        <f>IF(T127=0,0,IF(T127=1,5,IF(T127=2,15,0)))</f>
        <v>15</v>
      </c>
    </row>
    <row r="128" spans="1:32" ht="15.75" thickBot="1" x14ac:dyDescent="0.3">
      <c r="A128" s="15"/>
      <c r="B128" s="440" t="s">
        <v>790</v>
      </c>
      <c r="C128" s="3"/>
      <c r="D128" s="769"/>
      <c r="E128" s="770"/>
      <c r="F128" s="770"/>
      <c r="G128" s="770"/>
      <c r="H128" s="770"/>
      <c r="I128" s="770"/>
      <c r="J128" s="771"/>
      <c r="K128" s="14"/>
      <c r="Y128">
        <f>IF(D128&lt;&gt;0,VLOOKUP(D128,'Drop Down'!$O$35:$U$40,7,FALSE),0)</f>
        <v>0</v>
      </c>
    </row>
    <row r="129" spans="1:32" ht="5.0999999999999996" customHeight="1" thickBot="1" x14ac:dyDescent="0.3">
      <c r="A129" s="15"/>
      <c r="B129" s="440"/>
      <c r="C129" s="3"/>
      <c r="D129" s="3"/>
      <c r="E129" s="3"/>
      <c r="F129" s="3"/>
      <c r="G129" s="3"/>
      <c r="H129" s="3"/>
      <c r="I129" s="3"/>
      <c r="J129" s="3"/>
      <c r="K129" s="14"/>
    </row>
    <row r="130" spans="1:32" ht="15.75" thickBot="1" x14ac:dyDescent="0.3">
      <c r="A130" s="15"/>
      <c r="B130" s="440" t="s">
        <v>784</v>
      </c>
      <c r="C130" s="3"/>
      <c r="D130" s="403"/>
      <c r="E130" s="3"/>
      <c r="F130" s="434" t="s">
        <v>1105</v>
      </c>
      <c r="G130" s="3"/>
      <c r="H130" s="403"/>
      <c r="I130" s="441"/>
      <c r="K130" s="14"/>
      <c r="Y130">
        <f>IF(D130&lt;&gt;0,VLOOKUP(D130,'Drop Down'!$O$26:$P$31,2,FALSE),0)</f>
        <v>0</v>
      </c>
      <c r="AA130">
        <f>IF(D132="Treaty",1,0)</f>
        <v>0</v>
      </c>
      <c r="AC130">
        <f>ROUNDDOWN(H130/10,0)-8</f>
        <v>-8</v>
      </c>
    </row>
    <row r="131" spans="1:32" ht="5.0999999999999996" customHeight="1" thickBot="1" x14ac:dyDescent="0.3">
      <c r="A131" s="15"/>
      <c r="B131" s="440"/>
      <c r="C131" s="3"/>
      <c r="D131" s="3"/>
      <c r="E131" s="3"/>
      <c r="F131" s="3"/>
      <c r="G131" s="3"/>
      <c r="H131" s="3"/>
      <c r="I131" s="3"/>
      <c r="K131" s="14"/>
    </row>
    <row r="132" spans="1:32" ht="15.75" thickBot="1" x14ac:dyDescent="0.3">
      <c r="A132" s="15"/>
      <c r="B132" s="440" t="s">
        <v>791</v>
      </c>
      <c r="C132" s="3"/>
      <c r="D132" s="403"/>
      <c r="E132" s="3"/>
      <c r="F132" s="29" t="s">
        <v>1106</v>
      </c>
      <c r="G132" s="3"/>
      <c r="H132" s="403"/>
      <c r="I132" s="3"/>
      <c r="K132" s="14"/>
      <c r="AA132">
        <f>IF(D132="Alliance",2,0)</f>
        <v>0</v>
      </c>
      <c r="AD132">
        <f>ROUNDDOWN(H132/10,0)-8</f>
        <v>-8</v>
      </c>
    </row>
    <row r="133" spans="1:32" ht="5.0999999999999996" customHeight="1" thickBot="1" x14ac:dyDescent="0.3">
      <c r="A133" s="15"/>
      <c r="B133" s="440"/>
      <c r="C133" s="3"/>
      <c r="D133" s="3"/>
      <c r="E133" s="3"/>
      <c r="F133" s="3"/>
      <c r="G133" s="3"/>
      <c r="H133" s="3"/>
      <c r="I133" s="3"/>
      <c r="J133" s="3"/>
      <c r="K133" s="14"/>
    </row>
    <row r="134" spans="1:32" ht="15.75" thickBot="1" x14ac:dyDescent="0.3">
      <c r="A134" s="15"/>
      <c r="B134" s="440" t="s">
        <v>802</v>
      </c>
      <c r="C134" s="3"/>
      <c r="D134" s="296">
        <f>10+Overall!$D$18+Y124+ROUNDDOWN(Overall!$J$4/5,0)+Y126+Y128+Y130-Overall!$D$16</f>
        <v>30</v>
      </c>
      <c r="E134" s="3"/>
      <c r="F134" s="698" t="s">
        <v>803</v>
      </c>
      <c r="G134" s="699"/>
      <c r="H134" s="699"/>
      <c r="I134" s="699"/>
      <c r="J134" s="700"/>
      <c r="K134" s="14"/>
      <c r="AA134">
        <f>AA132+AA130</f>
        <v>0</v>
      </c>
      <c r="AE134">
        <f>IF(AC130&lt;0,0,IF(AA134&gt;0,AC130,0))</f>
        <v>0</v>
      </c>
      <c r="AF134">
        <f>IF(AD132&lt;0,0,IF(AA134=2,AD132,0))</f>
        <v>0</v>
      </c>
    </row>
    <row r="135" spans="1:32" ht="5.0999999999999996" customHeight="1" thickBot="1" x14ac:dyDescent="0.3">
      <c r="A135" s="307"/>
      <c r="B135" s="2"/>
      <c r="C135" s="2"/>
      <c r="D135" s="2"/>
      <c r="E135" s="2"/>
      <c r="F135" s="2"/>
      <c r="G135" s="2"/>
      <c r="H135" s="2"/>
      <c r="I135" s="2"/>
      <c r="J135" s="2"/>
      <c r="K135" s="24"/>
      <c r="N135">
        <f>IF(D135="Lawful",2,IF(D135="Neutral",1,IF(D135="Chaotic",0,0)))</f>
        <v>0</v>
      </c>
      <c r="O135">
        <f>IF(Overall!$D$4="Lawful",2,IF(Overall!$D$4="Neutral",1,IF(Overall!$D$4="Chaotic",0,0)))</f>
        <v>1</v>
      </c>
      <c r="P135">
        <f>IF(F135="Good",2,IF(F135="Neutral",1,IF(F135="Evil",0,0)))</f>
        <v>0</v>
      </c>
      <c r="Q135">
        <f>IF(Overall!$F$4="Good",2,IF(Overall!$F$4="Neutral",1,IF(Overall!$F$4="Evil",0,0)))</f>
        <v>2</v>
      </c>
      <c r="S135">
        <f>ABS(N135-O135)</f>
        <v>1</v>
      </c>
      <c r="T135">
        <f>ABS(P135-Q135)</f>
        <v>2</v>
      </c>
      <c r="V135">
        <f>IF(S135=0,0,IF(S135=1,5,IF(S135=2,15,0)))</f>
        <v>5</v>
      </c>
      <c r="W135">
        <f>IF(T135=0,0,IF(T135=1,5,IF(T135=2,15,0)))</f>
        <v>15</v>
      </c>
    </row>
    <row r="136" spans="1:32" ht="5.0999999999999996" customHeight="1" thickBot="1" x14ac:dyDescent="0.3">
      <c r="A136" s="9"/>
      <c r="B136" s="11"/>
      <c r="C136" s="11"/>
      <c r="D136" s="11"/>
      <c r="E136" s="11"/>
      <c r="F136" s="11"/>
      <c r="G136" s="11"/>
      <c r="H136" s="11"/>
      <c r="I136" s="11"/>
      <c r="J136" s="11"/>
      <c r="K136" s="12"/>
      <c r="N136">
        <f>IF(D136="Lawful",2,IF(D136="Neutral",1,IF(D136="Chaotic",0,0)))</f>
        <v>0</v>
      </c>
      <c r="O136">
        <f>IF(Overall!$D$4="Lawful",2,IF(Overall!$D$4="Neutral",1,IF(Overall!$D$4="Chaotic",0,0)))</f>
        <v>1</v>
      </c>
      <c r="P136">
        <f>IF(F136="Good",2,IF(F136="Neutral",1,IF(F136="Evil",0,0)))</f>
        <v>0</v>
      </c>
      <c r="Q136">
        <f>IF(Overall!$F$4="Good",2,IF(Overall!$F$4="Neutral",1,IF(Overall!$F$4="Evil",0,0)))</f>
        <v>2</v>
      </c>
      <c r="S136">
        <f>ABS(N136-O136)</f>
        <v>1</v>
      </c>
      <c r="T136">
        <f>ABS(P136-Q136)</f>
        <v>2</v>
      </c>
      <c r="V136">
        <f>IF(S136=0,0,IF(S136=1,5,IF(S136=2,15,0)))</f>
        <v>5</v>
      </c>
      <c r="W136">
        <f>IF(T136=0,0,IF(T136=1,5,IF(T136=2,15,0)))</f>
        <v>15</v>
      </c>
    </row>
    <row r="137" spans="1:32" ht="15.75" thickBot="1" x14ac:dyDescent="0.3">
      <c r="A137" s="15"/>
      <c r="B137" s="402" t="s">
        <v>47</v>
      </c>
      <c r="C137" s="3"/>
      <c r="D137" s="766"/>
      <c r="E137" s="767"/>
      <c r="F137" s="767"/>
      <c r="G137" s="767"/>
      <c r="H137" s="767"/>
      <c r="I137" s="767"/>
      <c r="J137" s="768"/>
      <c r="K137" s="14"/>
    </row>
    <row r="138" spans="1:32" ht="5.0999999999999996" customHeight="1" thickBot="1" x14ac:dyDescent="0.3">
      <c r="A138" s="15"/>
      <c r="B138" s="3"/>
      <c r="C138" s="3"/>
      <c r="D138" s="3"/>
      <c r="E138" s="3"/>
      <c r="F138" s="3"/>
      <c r="G138" s="3"/>
      <c r="H138" s="3"/>
      <c r="I138" s="3"/>
      <c r="J138" s="3"/>
      <c r="K138" s="14"/>
    </row>
    <row r="139" spans="1:32" ht="15.75" thickBot="1" x14ac:dyDescent="0.3">
      <c r="A139" s="15"/>
      <c r="B139" s="402" t="s">
        <v>238</v>
      </c>
      <c r="C139" s="3"/>
      <c r="D139" s="403"/>
      <c r="E139" s="3"/>
      <c r="F139" s="3"/>
      <c r="G139" s="3"/>
      <c r="H139" s="3"/>
      <c r="I139" s="3"/>
      <c r="J139" s="3"/>
      <c r="K139" s="14"/>
      <c r="Y139">
        <f>ROUNDDOWN(D139/5,0)</f>
        <v>0</v>
      </c>
    </row>
    <row r="140" spans="1:32" ht="5.0999999999999996" customHeight="1" thickBot="1" x14ac:dyDescent="0.3">
      <c r="A140" s="15"/>
      <c r="B140" s="3"/>
      <c r="C140" s="3"/>
      <c r="D140" s="3"/>
      <c r="E140" s="3"/>
      <c r="F140" s="3"/>
      <c r="G140" s="3"/>
      <c r="H140" s="3"/>
      <c r="I140" s="3"/>
      <c r="J140" s="3"/>
      <c r="K140" s="14"/>
    </row>
    <row r="141" spans="1:32" ht="15.75" thickBot="1" x14ac:dyDescent="0.3">
      <c r="A141" s="15"/>
      <c r="B141" s="440" t="s">
        <v>48</v>
      </c>
      <c r="C141" s="3"/>
      <c r="D141" s="403"/>
      <c r="E141" s="3"/>
      <c r="F141" s="403"/>
      <c r="G141" s="3"/>
      <c r="H141" s="3"/>
      <c r="I141" s="3"/>
      <c r="J141" s="3"/>
      <c r="K141" s="14"/>
      <c r="N141">
        <f>IF(D141="Lawful",2,IF(D141="Neutral",1,IF(D141="Chaotic",0,0)))</f>
        <v>0</v>
      </c>
      <c r="O141">
        <f>IF(Overall!$D$4="Lawful",2,IF(Overall!$D$4="Neutral",1,IF(Overall!$D$4="Chaotic",0,0)))</f>
        <v>1</v>
      </c>
      <c r="P141">
        <f>IF(F141="Good",2,IF(F141="Neutral",1,IF(F141="Evil",0,0)))</f>
        <v>0</v>
      </c>
      <c r="Q141">
        <f>IF(Overall!$F$4="Good",2,IF(Overall!$F$4="Neutral",1,IF(Overall!$F$4="Evil",0,0)))</f>
        <v>2</v>
      </c>
      <c r="S141">
        <f>ABS(N141-O141)</f>
        <v>1</v>
      </c>
      <c r="T141">
        <f>ABS(P141-Q141)</f>
        <v>2</v>
      </c>
      <c r="V141">
        <f>IF(S141=0,0,IF(S141=1,5,IF(S141=2,15,0)))</f>
        <v>5</v>
      </c>
      <c r="W141">
        <f>IF(T141=0,0,IF(T141=1,5,IF(T141=2,15,0)))</f>
        <v>15</v>
      </c>
      <c r="Y141">
        <f>SUM(V141:W141)</f>
        <v>20</v>
      </c>
    </row>
    <row r="142" spans="1:32" ht="5.0999999999999996" customHeight="1" thickBot="1" x14ac:dyDescent="0.3">
      <c r="A142" s="15"/>
      <c r="B142" s="440"/>
      <c r="C142" s="3"/>
      <c r="D142" s="3"/>
      <c r="E142" s="3"/>
      <c r="F142" s="3"/>
      <c r="G142" s="3"/>
      <c r="H142" s="3"/>
      <c r="I142" s="3"/>
      <c r="J142" s="3"/>
      <c r="K142" s="14"/>
      <c r="N142">
        <f>IF(D142="Lawful",2,IF(D142="Neutral",1,IF(D142="Chaotic",0,0)))</f>
        <v>0</v>
      </c>
      <c r="O142">
        <f>IF(Overall!$D$4="Lawful",2,IF(Overall!$D$4="Neutral",1,IF(Overall!$D$4="Chaotic",0,0)))</f>
        <v>1</v>
      </c>
      <c r="P142">
        <f>IF(F142="Good",2,IF(F142="Neutral",1,IF(F142="Evil",0,0)))</f>
        <v>0</v>
      </c>
      <c r="Q142">
        <f>IF(Overall!$F$4="Good",2,IF(Overall!$F$4="Neutral",1,IF(Overall!$F$4="Evil",0,0)))</f>
        <v>2</v>
      </c>
      <c r="S142">
        <f>ABS(N142-O142)</f>
        <v>1</v>
      </c>
      <c r="T142">
        <f>ABS(P142-Q142)</f>
        <v>2</v>
      </c>
      <c r="V142">
        <f>IF(S142=0,0,IF(S142=1,5,IF(S142=2,15,0)))</f>
        <v>5</v>
      </c>
      <c r="W142">
        <f>IF(T142=0,0,IF(T142=1,5,IF(T142=2,15,0)))</f>
        <v>15</v>
      </c>
    </row>
    <row r="143" spans="1:32" ht="15.75" thickBot="1" x14ac:dyDescent="0.3">
      <c r="A143" s="15"/>
      <c r="B143" s="440" t="s">
        <v>790</v>
      </c>
      <c r="C143" s="3"/>
      <c r="D143" s="769"/>
      <c r="E143" s="770"/>
      <c r="F143" s="770"/>
      <c r="G143" s="770"/>
      <c r="H143" s="770"/>
      <c r="I143" s="770"/>
      <c r="J143" s="771"/>
      <c r="K143" s="14"/>
      <c r="Y143">
        <f>IF(D143&lt;&gt;0,VLOOKUP(D143,'Drop Down'!$O$35:$U$40,7,FALSE),0)</f>
        <v>0</v>
      </c>
    </row>
    <row r="144" spans="1:32" ht="5.0999999999999996" customHeight="1" thickBot="1" x14ac:dyDescent="0.3">
      <c r="A144" s="15"/>
      <c r="B144" s="440"/>
      <c r="C144" s="3"/>
      <c r="D144" s="3"/>
      <c r="E144" s="3"/>
      <c r="F144" s="3"/>
      <c r="G144" s="3"/>
      <c r="H144" s="3"/>
      <c r="I144" s="3"/>
      <c r="J144" s="3"/>
      <c r="K144" s="14"/>
    </row>
    <row r="145" spans="1:32" ht="15.75" thickBot="1" x14ac:dyDescent="0.3">
      <c r="A145" s="15"/>
      <c r="B145" s="440" t="s">
        <v>784</v>
      </c>
      <c r="C145" s="3"/>
      <c r="D145" s="403"/>
      <c r="E145" s="3"/>
      <c r="F145" s="434" t="s">
        <v>1105</v>
      </c>
      <c r="G145" s="3"/>
      <c r="H145" s="403"/>
      <c r="I145" s="441"/>
      <c r="K145" s="14"/>
      <c r="Y145">
        <f>IF(D145&lt;&gt;0,VLOOKUP(D145,'Drop Down'!$O$26:$P$31,2,FALSE),0)</f>
        <v>0</v>
      </c>
      <c r="AA145">
        <f>IF(D147="Treaty",1,0)</f>
        <v>0</v>
      </c>
      <c r="AC145">
        <f>ROUNDDOWN(H145/10,0)-9</f>
        <v>-9</v>
      </c>
    </row>
    <row r="146" spans="1:32" ht="5.0999999999999996" customHeight="1" thickBot="1" x14ac:dyDescent="0.3">
      <c r="A146" s="15"/>
      <c r="B146" s="440"/>
      <c r="C146" s="3"/>
      <c r="D146" s="3"/>
      <c r="E146" s="3"/>
      <c r="F146" s="3"/>
      <c r="G146" s="3"/>
      <c r="H146" s="3"/>
      <c r="I146" s="3"/>
      <c r="K146" s="14"/>
    </row>
    <row r="147" spans="1:32" ht="15.75" thickBot="1" x14ac:dyDescent="0.3">
      <c r="A147" s="15"/>
      <c r="B147" s="440" t="s">
        <v>791</v>
      </c>
      <c r="C147" s="3"/>
      <c r="D147" s="403"/>
      <c r="E147" s="3"/>
      <c r="F147" s="29" t="s">
        <v>1106</v>
      </c>
      <c r="G147" s="3"/>
      <c r="H147" s="403"/>
      <c r="I147" s="3"/>
      <c r="K147" s="14"/>
      <c r="AA147">
        <f>IF(D147="Alliance",2,0)</f>
        <v>0</v>
      </c>
      <c r="AD147">
        <f>ROUNDDOWN(H147/10,0)-9</f>
        <v>-9</v>
      </c>
    </row>
    <row r="148" spans="1:32" ht="5.0999999999999996" customHeight="1" thickBot="1" x14ac:dyDescent="0.3">
      <c r="A148" s="15"/>
      <c r="B148" s="440"/>
      <c r="C148" s="3"/>
      <c r="D148" s="3"/>
      <c r="E148" s="3"/>
      <c r="F148" s="3"/>
      <c r="G148" s="3"/>
      <c r="H148" s="3"/>
      <c r="I148" s="3"/>
      <c r="J148" s="3"/>
      <c r="K148" s="14"/>
    </row>
    <row r="149" spans="1:32" ht="15.75" thickBot="1" x14ac:dyDescent="0.3">
      <c r="A149" s="15"/>
      <c r="B149" s="440" t="s">
        <v>802</v>
      </c>
      <c r="C149" s="3"/>
      <c r="D149" s="296">
        <f>10+Overall!$D$18+Y139+ROUNDDOWN(Overall!$J$4/5,0)+Y141+Y143+Y145-Overall!$D$16</f>
        <v>30</v>
      </c>
      <c r="E149" s="3"/>
      <c r="F149" s="698" t="s">
        <v>803</v>
      </c>
      <c r="G149" s="699"/>
      <c r="H149" s="699"/>
      <c r="I149" s="699"/>
      <c r="J149" s="700"/>
      <c r="K149" s="14"/>
      <c r="AA149">
        <f>AA147+AA145</f>
        <v>0</v>
      </c>
      <c r="AE149">
        <f>IF(AC145&lt;0,0,IF(AA149&gt;0,AC145,0))</f>
        <v>0</v>
      </c>
      <c r="AF149">
        <f>IF(AD147&lt;0,0,IF(AA149=2,AD147,0))</f>
        <v>0</v>
      </c>
    </row>
    <row r="150" spans="1:32" ht="5.0999999999999996" customHeight="1" thickBot="1" x14ac:dyDescent="0.3">
      <c r="A150" s="307"/>
      <c r="B150" s="2"/>
      <c r="C150" s="2"/>
      <c r="D150" s="2"/>
      <c r="E150" s="2"/>
      <c r="F150" s="2"/>
      <c r="G150" s="2"/>
      <c r="H150" s="2"/>
      <c r="I150" s="2"/>
      <c r="J150" s="2"/>
      <c r="K150" s="24"/>
      <c r="N150">
        <f>IF(D150="Lawful",2,IF(D150="Neutral",1,IF(D150="Chaotic",0,0)))</f>
        <v>0</v>
      </c>
      <c r="O150">
        <f>IF(Overall!$D$4="Lawful",2,IF(Overall!$D$4="Neutral",1,IF(Overall!$D$4="Chaotic",0,0)))</f>
        <v>1</v>
      </c>
      <c r="P150">
        <f>IF(F150="Good",2,IF(F150="Neutral",1,IF(F150="Evil",0,0)))</f>
        <v>0</v>
      </c>
      <c r="Q150">
        <f>IF(Overall!$F$4="Good",2,IF(Overall!$F$4="Neutral",1,IF(Overall!$F$4="Evil",0,0)))</f>
        <v>2</v>
      </c>
      <c r="S150">
        <f>ABS(N150-O150)</f>
        <v>1</v>
      </c>
      <c r="T150">
        <f>ABS(P150-Q150)</f>
        <v>2</v>
      </c>
      <c r="V150">
        <f>IF(S150=0,0,IF(S150=1,5,IF(S150=2,15,0)))</f>
        <v>5</v>
      </c>
      <c r="W150">
        <f>IF(T150=0,0,IF(T150=1,5,IF(T150=2,15,0)))</f>
        <v>15</v>
      </c>
    </row>
    <row r="151" spans="1:32" ht="5.0999999999999996" customHeight="1" thickBot="1" x14ac:dyDescent="0.3">
      <c r="A151" s="9"/>
      <c r="B151" s="11"/>
      <c r="C151" s="11"/>
      <c r="D151" s="11"/>
      <c r="E151" s="11"/>
      <c r="F151" s="11"/>
      <c r="G151" s="11"/>
      <c r="H151" s="11"/>
      <c r="I151" s="11"/>
      <c r="J151" s="11"/>
      <c r="K151" s="12"/>
      <c r="N151">
        <f>IF(D151="Lawful",2,IF(D151="Neutral",1,IF(D151="Chaotic",0,0)))</f>
        <v>0</v>
      </c>
      <c r="O151">
        <f>IF(Overall!$D$4="Lawful",2,IF(Overall!$D$4="Neutral",1,IF(Overall!$D$4="Chaotic",0,0)))</f>
        <v>1</v>
      </c>
      <c r="P151">
        <f>IF(F151="Good",2,IF(F151="Neutral",1,IF(F151="Evil",0,0)))</f>
        <v>0</v>
      </c>
      <c r="Q151">
        <f>IF(Overall!$F$4="Good",2,IF(Overall!$F$4="Neutral",1,IF(Overall!$F$4="Evil",0,0)))</f>
        <v>2</v>
      </c>
      <c r="S151">
        <f>ABS(N151-O151)</f>
        <v>1</v>
      </c>
      <c r="T151">
        <f>ABS(P151-Q151)</f>
        <v>2</v>
      </c>
      <c r="V151">
        <f>IF(S151=0,0,IF(S151=1,5,IF(S151=2,15,0)))</f>
        <v>5</v>
      </c>
      <c r="W151">
        <f>IF(T151=0,0,IF(T151=1,5,IF(T151=2,15,0)))</f>
        <v>15</v>
      </c>
    </row>
    <row r="152" spans="1:32" ht="15.75" thickBot="1" x14ac:dyDescent="0.3">
      <c r="A152" s="15"/>
      <c r="B152" s="402" t="s">
        <v>47</v>
      </c>
      <c r="C152" s="3"/>
      <c r="D152" s="766"/>
      <c r="E152" s="767"/>
      <c r="F152" s="767"/>
      <c r="G152" s="767"/>
      <c r="H152" s="767"/>
      <c r="I152" s="767"/>
      <c r="J152" s="768"/>
      <c r="K152" s="14"/>
    </row>
    <row r="153" spans="1:32" ht="5.0999999999999996" customHeight="1" thickBot="1" x14ac:dyDescent="0.3">
      <c r="A153" s="15"/>
      <c r="B153" s="3"/>
      <c r="C153" s="3"/>
      <c r="D153" s="3"/>
      <c r="E153" s="3"/>
      <c r="F153" s="3"/>
      <c r="G153" s="3"/>
      <c r="H153" s="3"/>
      <c r="I153" s="3"/>
      <c r="J153" s="3"/>
      <c r="K153" s="14"/>
    </row>
    <row r="154" spans="1:32" ht="15.75" thickBot="1" x14ac:dyDescent="0.3">
      <c r="A154" s="15"/>
      <c r="B154" s="402" t="s">
        <v>238</v>
      </c>
      <c r="C154" s="3"/>
      <c r="D154" s="403"/>
      <c r="E154" s="3"/>
      <c r="F154" s="3"/>
      <c r="G154" s="3"/>
      <c r="H154" s="3"/>
      <c r="I154" s="3"/>
      <c r="J154" s="3"/>
      <c r="K154" s="14"/>
      <c r="Y154">
        <f>ROUNDDOWN(D154/5,0)</f>
        <v>0</v>
      </c>
    </row>
    <row r="155" spans="1:32" ht="5.0999999999999996" customHeight="1" thickBot="1" x14ac:dyDescent="0.3">
      <c r="A155" s="15"/>
      <c r="B155" s="3"/>
      <c r="C155" s="3"/>
      <c r="D155" s="3"/>
      <c r="E155" s="3"/>
      <c r="F155" s="3"/>
      <c r="G155" s="3"/>
      <c r="H155" s="3"/>
      <c r="I155" s="3"/>
      <c r="J155" s="3"/>
      <c r="K155" s="14"/>
    </row>
    <row r="156" spans="1:32" ht="15.75" thickBot="1" x14ac:dyDescent="0.3">
      <c r="A156" s="15"/>
      <c r="B156" s="440" t="s">
        <v>48</v>
      </c>
      <c r="C156" s="3"/>
      <c r="D156" s="403"/>
      <c r="E156" s="3"/>
      <c r="F156" s="403"/>
      <c r="G156" s="3"/>
      <c r="H156" s="3"/>
      <c r="I156" s="3"/>
      <c r="J156" s="3"/>
      <c r="K156" s="14"/>
      <c r="N156">
        <f>IF(D156="Lawful",2,IF(D156="Neutral",1,IF(D156="Chaotic",0,0)))</f>
        <v>0</v>
      </c>
      <c r="O156">
        <f>IF(Overall!$D$4="Lawful",2,IF(Overall!$D$4="Neutral",1,IF(Overall!$D$4="Chaotic",0,0)))</f>
        <v>1</v>
      </c>
      <c r="P156">
        <f>IF(F156="Good",2,IF(F156="Neutral",1,IF(F156="Evil",0,0)))</f>
        <v>0</v>
      </c>
      <c r="Q156">
        <f>IF(Overall!$F$4="Good",2,IF(Overall!$F$4="Neutral",1,IF(Overall!$F$4="Evil",0,0)))</f>
        <v>2</v>
      </c>
      <c r="S156">
        <f>ABS(N156-O156)</f>
        <v>1</v>
      </c>
      <c r="T156">
        <f>ABS(P156-Q156)</f>
        <v>2</v>
      </c>
      <c r="V156">
        <f>IF(S156=0,0,IF(S156=1,5,IF(S156=2,15,0)))</f>
        <v>5</v>
      </c>
      <c r="W156">
        <f>IF(T156=0,0,IF(T156=1,5,IF(T156=2,15,0)))</f>
        <v>15</v>
      </c>
      <c r="Y156">
        <f>SUM(V156:W156)</f>
        <v>20</v>
      </c>
    </row>
    <row r="157" spans="1:32" ht="5.0999999999999996" customHeight="1" thickBot="1" x14ac:dyDescent="0.3">
      <c r="A157" s="15"/>
      <c r="B157" s="440"/>
      <c r="C157" s="3"/>
      <c r="D157" s="3"/>
      <c r="E157" s="3"/>
      <c r="F157" s="3"/>
      <c r="G157" s="3"/>
      <c r="H157" s="3"/>
      <c r="I157" s="3"/>
      <c r="J157" s="3"/>
      <c r="K157" s="14"/>
      <c r="N157">
        <f>IF(D157="Lawful",2,IF(D157="Neutral",1,IF(D157="Chaotic",0,0)))</f>
        <v>0</v>
      </c>
      <c r="O157">
        <f>IF(Overall!$D$4="Lawful",2,IF(Overall!$D$4="Neutral",1,IF(Overall!$D$4="Chaotic",0,0)))</f>
        <v>1</v>
      </c>
      <c r="P157">
        <f>IF(F157="Good",2,IF(F157="Neutral",1,IF(F157="Evil",0,0)))</f>
        <v>0</v>
      </c>
      <c r="Q157">
        <f>IF(Overall!$F$4="Good",2,IF(Overall!$F$4="Neutral",1,IF(Overall!$F$4="Evil",0,0)))</f>
        <v>2</v>
      </c>
      <c r="S157">
        <f>ABS(N157-O157)</f>
        <v>1</v>
      </c>
      <c r="T157">
        <f>ABS(P157-Q157)</f>
        <v>2</v>
      </c>
      <c r="V157">
        <f>IF(S157=0,0,IF(S157=1,5,IF(S157=2,15,0)))</f>
        <v>5</v>
      </c>
      <c r="W157">
        <f>IF(T157=0,0,IF(T157=1,5,IF(T157=2,15,0)))</f>
        <v>15</v>
      </c>
    </row>
    <row r="158" spans="1:32" ht="15.75" thickBot="1" x14ac:dyDescent="0.3">
      <c r="A158" s="15"/>
      <c r="B158" s="440" t="s">
        <v>790</v>
      </c>
      <c r="C158" s="3"/>
      <c r="D158" s="769"/>
      <c r="E158" s="770"/>
      <c r="F158" s="770"/>
      <c r="G158" s="770"/>
      <c r="H158" s="770"/>
      <c r="I158" s="770"/>
      <c r="J158" s="771"/>
      <c r="K158" s="14"/>
      <c r="Y158">
        <f>IF(D158&lt;&gt;0,VLOOKUP(D158,'Drop Down'!$O$35:$U$40,7,FALSE),0)</f>
        <v>0</v>
      </c>
    </row>
    <row r="159" spans="1:32" ht="5.0999999999999996" customHeight="1" thickBot="1" x14ac:dyDescent="0.3">
      <c r="A159" s="15"/>
      <c r="B159" s="440"/>
      <c r="C159" s="3"/>
      <c r="D159" s="3"/>
      <c r="E159" s="3"/>
      <c r="F159" s="3"/>
      <c r="G159" s="3"/>
      <c r="H159" s="3"/>
      <c r="I159" s="3"/>
      <c r="J159" s="3"/>
      <c r="K159" s="14"/>
    </row>
    <row r="160" spans="1:32" ht="15.75" thickBot="1" x14ac:dyDescent="0.3">
      <c r="A160" s="15"/>
      <c r="B160" s="440" t="s">
        <v>784</v>
      </c>
      <c r="C160" s="3"/>
      <c r="D160" s="403"/>
      <c r="E160" s="3"/>
      <c r="F160" s="434" t="s">
        <v>1105</v>
      </c>
      <c r="G160" s="3"/>
      <c r="H160" s="403"/>
      <c r="I160" s="441"/>
      <c r="K160" s="14"/>
      <c r="Y160">
        <f>IF(D160&lt;&gt;0,VLOOKUP(D160,'Drop Down'!$O$26:$P$31,2,FALSE),0)</f>
        <v>0</v>
      </c>
      <c r="AA160">
        <f>IF(D162="Treaty",1,0)</f>
        <v>0</v>
      </c>
      <c r="AC160">
        <f>ROUNDDOWN(H160/10,0)-10</f>
        <v>-10</v>
      </c>
    </row>
    <row r="161" spans="1:32" ht="5.0999999999999996" customHeight="1" thickBot="1" x14ac:dyDescent="0.3">
      <c r="A161" s="15"/>
      <c r="B161" s="440"/>
      <c r="C161" s="3"/>
      <c r="D161" s="3"/>
      <c r="E161" s="3"/>
      <c r="F161" s="3"/>
      <c r="G161" s="3"/>
      <c r="H161" s="3"/>
      <c r="I161" s="3"/>
      <c r="K161" s="14"/>
    </row>
    <row r="162" spans="1:32" ht="15.75" thickBot="1" x14ac:dyDescent="0.3">
      <c r="A162" s="15"/>
      <c r="B162" s="440" t="s">
        <v>791</v>
      </c>
      <c r="C162" s="3"/>
      <c r="D162" s="403"/>
      <c r="E162" s="3"/>
      <c r="F162" s="29" t="s">
        <v>1106</v>
      </c>
      <c r="G162" s="3"/>
      <c r="H162" s="403"/>
      <c r="I162" s="3"/>
      <c r="K162" s="14"/>
      <c r="AA162">
        <f>IF(D162="Alliance",2,0)</f>
        <v>0</v>
      </c>
      <c r="AD162">
        <f>ROUNDDOWN(H162/10,0)-10</f>
        <v>-10</v>
      </c>
    </row>
    <row r="163" spans="1:32" ht="5.0999999999999996" customHeight="1" thickBot="1" x14ac:dyDescent="0.3">
      <c r="A163" s="15"/>
      <c r="B163" s="440"/>
      <c r="C163" s="3"/>
      <c r="D163" s="3"/>
      <c r="E163" s="3"/>
      <c r="F163" s="3"/>
      <c r="G163" s="3"/>
      <c r="H163" s="3"/>
      <c r="I163" s="3"/>
      <c r="J163" s="3"/>
      <c r="K163" s="14"/>
    </row>
    <row r="164" spans="1:32" ht="15.75" thickBot="1" x14ac:dyDescent="0.3">
      <c r="A164" s="15"/>
      <c r="B164" s="440" t="s">
        <v>802</v>
      </c>
      <c r="C164" s="3"/>
      <c r="D164" s="296">
        <f>10+Overall!$D$18+Y154+ROUNDDOWN(Overall!$J$4/5,0)+Y156+Y158+Y160-Overall!$D$16</f>
        <v>30</v>
      </c>
      <c r="E164" s="3"/>
      <c r="F164" s="698" t="s">
        <v>803</v>
      </c>
      <c r="G164" s="699"/>
      <c r="H164" s="699"/>
      <c r="I164" s="699"/>
      <c r="J164" s="700"/>
      <c r="K164" s="14"/>
      <c r="AA164">
        <f>AA162+AA160</f>
        <v>0</v>
      </c>
      <c r="AE164">
        <f>IF(AC160&lt;0,0,IF(AA164&gt;0,AC160,0))</f>
        <v>0</v>
      </c>
      <c r="AF164">
        <f>IF(AD162&lt;0,0,IF(AA164=2,AD162,0))</f>
        <v>0</v>
      </c>
    </row>
    <row r="165" spans="1:32" ht="5.0999999999999996" customHeight="1" thickBot="1" x14ac:dyDescent="0.3">
      <c r="A165" s="307"/>
      <c r="B165" s="2"/>
      <c r="C165" s="2"/>
      <c r="D165" s="2"/>
      <c r="E165" s="2"/>
      <c r="F165" s="2"/>
      <c r="G165" s="2"/>
      <c r="H165" s="2"/>
      <c r="I165" s="2"/>
      <c r="J165" s="2"/>
      <c r="K165" s="24"/>
      <c r="N165">
        <f>IF(D165="Lawful",2,IF(D165="Neutral",1,IF(D165="Chaotic",0,0)))</f>
        <v>0</v>
      </c>
      <c r="O165">
        <f>IF(Overall!$D$4="Lawful",2,IF(Overall!$D$4="Neutral",1,IF(Overall!$D$4="Chaotic",0,0)))</f>
        <v>1</v>
      </c>
      <c r="P165">
        <f>IF(F165="Good",2,IF(F165="Neutral",1,IF(F165="Evil",0,0)))</f>
        <v>0</v>
      </c>
      <c r="Q165">
        <f>IF(Overall!$F$4="Good",2,IF(Overall!$F$4="Neutral",1,IF(Overall!$F$4="Evil",0,0)))</f>
        <v>2</v>
      </c>
      <c r="S165">
        <f>ABS(N165-O165)</f>
        <v>1</v>
      </c>
      <c r="T165">
        <f>ABS(P165-Q165)</f>
        <v>2</v>
      </c>
      <c r="V165">
        <f>IF(S165=0,0,IF(S165=1,5,IF(S165=2,15,0)))</f>
        <v>5</v>
      </c>
      <c r="W165">
        <f>IF(T165=0,0,IF(T165=1,5,IF(T165=2,15,0)))</f>
        <v>15</v>
      </c>
    </row>
    <row r="166" spans="1:32" ht="5.0999999999999996" customHeight="1" thickBot="1" x14ac:dyDescent="0.3">
      <c r="A166" s="9"/>
      <c r="B166" s="11"/>
      <c r="C166" s="11"/>
      <c r="D166" s="11"/>
      <c r="E166" s="11"/>
      <c r="F166" s="11"/>
      <c r="G166" s="11"/>
      <c r="H166" s="11"/>
      <c r="I166" s="11"/>
      <c r="J166" s="11"/>
      <c r="K166" s="12"/>
      <c r="N166">
        <f>IF(D166="Lawful",2,IF(D166="Neutral",1,IF(D166="Chaotic",0,0)))</f>
        <v>0</v>
      </c>
      <c r="O166">
        <f>IF(Overall!$D$4="Lawful",2,IF(Overall!$D$4="Neutral",1,IF(Overall!$D$4="Chaotic",0,0)))</f>
        <v>1</v>
      </c>
      <c r="P166">
        <f>IF(F166="Good",2,IF(F166="Neutral",1,IF(F166="Evil",0,0)))</f>
        <v>0</v>
      </c>
      <c r="Q166">
        <f>IF(Overall!$F$4="Good",2,IF(Overall!$F$4="Neutral",1,IF(Overall!$F$4="Evil",0,0)))</f>
        <v>2</v>
      </c>
      <c r="S166">
        <f>ABS(N166-O166)</f>
        <v>1</v>
      </c>
      <c r="T166">
        <f>ABS(P166-Q166)</f>
        <v>2</v>
      </c>
      <c r="V166">
        <f>IF(S166=0,0,IF(S166=1,5,IF(S166=2,15,0)))</f>
        <v>5</v>
      </c>
      <c r="W166">
        <f>IF(T166=0,0,IF(T166=1,5,IF(T166=2,15,0)))</f>
        <v>15</v>
      </c>
    </row>
    <row r="167" spans="1:32" ht="15.75" thickBot="1" x14ac:dyDescent="0.3">
      <c r="A167" s="15"/>
      <c r="B167" s="402" t="s">
        <v>47</v>
      </c>
      <c r="C167" s="3"/>
      <c r="D167" s="766"/>
      <c r="E167" s="767"/>
      <c r="F167" s="767"/>
      <c r="G167" s="767"/>
      <c r="H167" s="767"/>
      <c r="I167" s="767"/>
      <c r="J167" s="768"/>
      <c r="K167" s="14"/>
    </row>
    <row r="168" spans="1:32" ht="5.0999999999999996" customHeight="1" thickBot="1" x14ac:dyDescent="0.3">
      <c r="A168" s="15"/>
      <c r="B168" s="3"/>
      <c r="C168" s="3"/>
      <c r="D168" s="3"/>
      <c r="E168" s="3"/>
      <c r="F168" s="3"/>
      <c r="G168" s="3"/>
      <c r="H168" s="3"/>
      <c r="I168" s="3"/>
      <c r="J168" s="3"/>
      <c r="K168" s="14"/>
    </row>
    <row r="169" spans="1:32" ht="15.75" thickBot="1" x14ac:dyDescent="0.3">
      <c r="A169" s="15"/>
      <c r="B169" s="402" t="s">
        <v>238</v>
      </c>
      <c r="C169" s="3"/>
      <c r="D169" s="403"/>
      <c r="E169" s="3"/>
      <c r="F169" s="3"/>
      <c r="G169" s="3"/>
      <c r="H169" s="3"/>
      <c r="I169" s="3"/>
      <c r="J169" s="3"/>
      <c r="K169" s="14"/>
      <c r="Y169">
        <f>ROUNDDOWN(D169/5,0)</f>
        <v>0</v>
      </c>
    </row>
    <row r="170" spans="1:32" ht="5.0999999999999996" customHeight="1" thickBot="1" x14ac:dyDescent="0.3">
      <c r="A170" s="15"/>
      <c r="B170" s="3"/>
      <c r="C170" s="3"/>
      <c r="D170" s="3"/>
      <c r="E170" s="3"/>
      <c r="F170" s="3"/>
      <c r="G170" s="3"/>
      <c r="H170" s="3"/>
      <c r="I170" s="3"/>
      <c r="J170" s="3"/>
      <c r="K170" s="14"/>
    </row>
    <row r="171" spans="1:32" ht="15.75" thickBot="1" x14ac:dyDescent="0.3">
      <c r="A171" s="15"/>
      <c r="B171" s="440" t="s">
        <v>48</v>
      </c>
      <c r="C171" s="3"/>
      <c r="D171" s="403"/>
      <c r="E171" s="3"/>
      <c r="F171" s="403"/>
      <c r="G171" s="3"/>
      <c r="H171" s="3"/>
      <c r="I171" s="3"/>
      <c r="J171" s="3"/>
      <c r="K171" s="14"/>
      <c r="N171">
        <f>IF(D171="Lawful",2,IF(D171="Neutral",1,IF(D171="Chaotic",0,0)))</f>
        <v>0</v>
      </c>
      <c r="O171">
        <f>IF(Overall!$D$4="Lawful",2,IF(Overall!$D$4="Neutral",1,IF(Overall!$D$4="Chaotic",0,0)))</f>
        <v>1</v>
      </c>
      <c r="P171">
        <f>IF(F171="Good",2,IF(F171="Neutral",1,IF(F171="Evil",0,0)))</f>
        <v>0</v>
      </c>
      <c r="Q171">
        <f>IF(Overall!$F$4="Good",2,IF(Overall!$F$4="Neutral",1,IF(Overall!$F$4="Evil",0,0)))</f>
        <v>2</v>
      </c>
      <c r="S171">
        <f>ABS(N171-O171)</f>
        <v>1</v>
      </c>
      <c r="T171">
        <f>ABS(P171-Q171)</f>
        <v>2</v>
      </c>
      <c r="V171">
        <f>IF(S171=0,0,IF(S171=1,5,IF(S171=2,15,0)))</f>
        <v>5</v>
      </c>
      <c r="W171">
        <f>IF(T171=0,0,IF(T171=1,5,IF(T171=2,15,0)))</f>
        <v>15</v>
      </c>
      <c r="Y171">
        <f>SUM(V171:W171)</f>
        <v>20</v>
      </c>
    </row>
    <row r="172" spans="1:32" ht="5.0999999999999996" customHeight="1" thickBot="1" x14ac:dyDescent="0.3">
      <c r="A172" s="15"/>
      <c r="B172" s="440"/>
      <c r="C172" s="3"/>
      <c r="D172" s="3"/>
      <c r="E172" s="3"/>
      <c r="F172" s="3"/>
      <c r="G172" s="3"/>
      <c r="H172" s="3"/>
      <c r="I172" s="3"/>
      <c r="J172" s="3"/>
      <c r="K172" s="14"/>
      <c r="N172">
        <f>IF(D172="Lawful",2,IF(D172="Neutral",1,IF(D172="Chaotic",0,0)))</f>
        <v>0</v>
      </c>
      <c r="O172">
        <f>IF(Overall!$D$4="Lawful",2,IF(Overall!$D$4="Neutral",1,IF(Overall!$D$4="Chaotic",0,0)))</f>
        <v>1</v>
      </c>
      <c r="P172">
        <f>IF(F172="Good",2,IF(F172="Neutral",1,IF(F172="Evil",0,0)))</f>
        <v>0</v>
      </c>
      <c r="Q172">
        <f>IF(Overall!$F$4="Good",2,IF(Overall!$F$4="Neutral",1,IF(Overall!$F$4="Evil",0,0)))</f>
        <v>2</v>
      </c>
      <c r="S172">
        <f>ABS(N172-O172)</f>
        <v>1</v>
      </c>
      <c r="T172">
        <f>ABS(P172-Q172)</f>
        <v>2</v>
      </c>
      <c r="V172">
        <f>IF(S172=0,0,IF(S172=1,5,IF(S172=2,15,0)))</f>
        <v>5</v>
      </c>
      <c r="W172">
        <f>IF(T172=0,0,IF(T172=1,5,IF(T172=2,15,0)))</f>
        <v>15</v>
      </c>
    </row>
    <row r="173" spans="1:32" ht="15.75" thickBot="1" x14ac:dyDescent="0.3">
      <c r="A173" s="15"/>
      <c r="B173" s="440" t="s">
        <v>790</v>
      </c>
      <c r="C173" s="3"/>
      <c r="D173" s="769"/>
      <c r="E173" s="770"/>
      <c r="F173" s="770"/>
      <c r="G173" s="770"/>
      <c r="H173" s="770"/>
      <c r="I173" s="770"/>
      <c r="J173" s="771"/>
      <c r="K173" s="14"/>
      <c r="Y173">
        <f>IF(D173&lt;&gt;0,VLOOKUP(D173,'Drop Down'!$O$35:$U$40,7,FALSE),0)</f>
        <v>0</v>
      </c>
    </row>
    <row r="174" spans="1:32" ht="5.0999999999999996" customHeight="1" thickBot="1" x14ac:dyDescent="0.3">
      <c r="A174" s="15"/>
      <c r="B174" s="440"/>
      <c r="C174" s="3"/>
      <c r="D174" s="3"/>
      <c r="E174" s="3"/>
      <c r="F174" s="3"/>
      <c r="G174" s="3"/>
      <c r="H174" s="3"/>
      <c r="I174" s="3"/>
      <c r="J174" s="3"/>
      <c r="K174" s="14"/>
    </row>
    <row r="175" spans="1:32" ht="15.75" thickBot="1" x14ac:dyDescent="0.3">
      <c r="A175" s="15"/>
      <c r="B175" s="440" t="s">
        <v>784</v>
      </c>
      <c r="C175" s="3"/>
      <c r="D175" s="403"/>
      <c r="E175" s="3"/>
      <c r="F175" s="434" t="s">
        <v>1105</v>
      </c>
      <c r="G175" s="3"/>
      <c r="H175" s="403"/>
      <c r="I175" s="441"/>
      <c r="K175" s="14"/>
      <c r="Y175">
        <f>IF(D175&lt;&gt;0,VLOOKUP(D175,'Drop Down'!$O$26:$P$31,2,FALSE),0)</f>
        <v>0</v>
      </c>
      <c r="AA175">
        <f>IF(D177="Treaty",1,0)</f>
        <v>0</v>
      </c>
      <c r="AC175">
        <f>ROUNDDOWN(H175/10,0)-11</f>
        <v>-11</v>
      </c>
    </row>
    <row r="176" spans="1:32" ht="5.0999999999999996" customHeight="1" thickBot="1" x14ac:dyDescent="0.3">
      <c r="A176" s="15"/>
      <c r="B176" s="440"/>
      <c r="C176" s="3"/>
      <c r="D176" s="3"/>
      <c r="E176" s="3"/>
      <c r="F176" s="3"/>
      <c r="G176" s="3"/>
      <c r="H176" s="3"/>
      <c r="I176" s="3"/>
      <c r="K176" s="14"/>
    </row>
    <row r="177" spans="1:32" ht="15.75" thickBot="1" x14ac:dyDescent="0.3">
      <c r="A177" s="15"/>
      <c r="B177" s="440" t="s">
        <v>791</v>
      </c>
      <c r="C177" s="3"/>
      <c r="D177" s="403"/>
      <c r="E177" s="3"/>
      <c r="F177" s="29" t="s">
        <v>1106</v>
      </c>
      <c r="G177" s="3"/>
      <c r="H177" s="403"/>
      <c r="I177" s="3"/>
      <c r="K177" s="14"/>
      <c r="AA177">
        <f>IF(D177="Alliance",2,0)</f>
        <v>0</v>
      </c>
      <c r="AD177">
        <f>ROUNDDOWN(H177/10,0)-11</f>
        <v>-11</v>
      </c>
    </row>
    <row r="178" spans="1:32" ht="5.0999999999999996" customHeight="1" thickBot="1" x14ac:dyDescent="0.3">
      <c r="A178" s="15"/>
      <c r="B178" s="440"/>
      <c r="C178" s="3"/>
      <c r="D178" s="3"/>
      <c r="E178" s="3"/>
      <c r="F178" s="3"/>
      <c r="G178" s="3"/>
      <c r="H178" s="3"/>
      <c r="I178" s="3"/>
      <c r="J178" s="3"/>
      <c r="K178" s="14"/>
    </row>
    <row r="179" spans="1:32" ht="15.75" thickBot="1" x14ac:dyDescent="0.3">
      <c r="A179" s="15"/>
      <c r="B179" s="440" t="s">
        <v>802</v>
      </c>
      <c r="C179" s="3"/>
      <c r="D179" s="296">
        <f>10+Overall!$D$18+Y169+ROUNDDOWN(Overall!$J$4/5,0)+Y171+Y173+Y175-Overall!$D$16</f>
        <v>30</v>
      </c>
      <c r="E179" s="3"/>
      <c r="F179" s="698" t="s">
        <v>803</v>
      </c>
      <c r="G179" s="699"/>
      <c r="H179" s="699"/>
      <c r="I179" s="699"/>
      <c r="J179" s="700"/>
      <c r="K179" s="14"/>
      <c r="AA179">
        <f>AA177+AA175</f>
        <v>0</v>
      </c>
      <c r="AE179">
        <f>IF(AC175&lt;0,0,IF(AA179&gt;0,AC175,0))</f>
        <v>0</v>
      </c>
      <c r="AF179">
        <f>IF(AD177&lt;0,0,IF(AA179=2,AD177,0))</f>
        <v>0</v>
      </c>
    </row>
    <row r="180" spans="1:32" ht="5.0999999999999996" customHeight="1" thickBot="1" x14ac:dyDescent="0.3">
      <c r="A180" s="307"/>
      <c r="B180" s="2"/>
      <c r="C180" s="2"/>
      <c r="D180" s="2"/>
      <c r="E180" s="2"/>
      <c r="F180" s="2"/>
      <c r="G180" s="2"/>
      <c r="H180" s="2"/>
      <c r="I180" s="2"/>
      <c r="J180" s="2"/>
      <c r="K180" s="24"/>
      <c r="N180">
        <f>IF(D180="Lawful",2,IF(D180="Neutral",1,IF(D180="Chaotic",0,0)))</f>
        <v>0</v>
      </c>
      <c r="O180">
        <f>IF(Overall!$D$4="Lawful",2,IF(Overall!$D$4="Neutral",1,IF(Overall!$D$4="Chaotic",0,0)))</f>
        <v>1</v>
      </c>
      <c r="P180">
        <f>IF(F180="Good",2,IF(F180="Neutral",1,IF(F180="Evil",0,0)))</f>
        <v>0</v>
      </c>
      <c r="Q180">
        <f>IF(Overall!$F$4="Good",2,IF(Overall!$F$4="Neutral",1,IF(Overall!$F$4="Evil",0,0)))</f>
        <v>2</v>
      </c>
      <c r="S180">
        <f>ABS(N180-O180)</f>
        <v>1</v>
      </c>
      <c r="T180">
        <f>ABS(P180-Q180)</f>
        <v>2</v>
      </c>
      <c r="V180">
        <f>IF(S180=0,0,IF(S180=1,5,IF(S180=2,15,0)))</f>
        <v>5</v>
      </c>
      <c r="W180">
        <f>IF(T180=0,0,IF(T180=1,5,IF(T180=2,15,0)))</f>
        <v>15</v>
      </c>
    </row>
    <row r="181" spans="1:32" ht="5.0999999999999996" customHeight="1" thickBot="1" x14ac:dyDescent="0.3">
      <c r="A181" s="9"/>
      <c r="B181" s="11"/>
      <c r="C181" s="11"/>
      <c r="D181" s="11"/>
      <c r="E181" s="11"/>
      <c r="F181" s="11"/>
      <c r="G181" s="11"/>
      <c r="H181" s="11"/>
      <c r="I181" s="11"/>
      <c r="J181" s="11"/>
      <c r="K181" s="12"/>
      <c r="N181">
        <f>IF(D181="Lawful",2,IF(D181="Neutral",1,IF(D181="Chaotic",0,0)))</f>
        <v>0</v>
      </c>
      <c r="O181">
        <f>IF(Overall!$D$4="Lawful",2,IF(Overall!$D$4="Neutral",1,IF(Overall!$D$4="Chaotic",0,0)))</f>
        <v>1</v>
      </c>
      <c r="P181">
        <f>IF(F181="Good",2,IF(F181="Neutral",1,IF(F181="Evil",0,0)))</f>
        <v>0</v>
      </c>
      <c r="Q181">
        <f>IF(Overall!$F$4="Good",2,IF(Overall!$F$4="Neutral",1,IF(Overall!$F$4="Evil",0,0)))</f>
        <v>2</v>
      </c>
      <c r="S181">
        <f>ABS(N181-O181)</f>
        <v>1</v>
      </c>
      <c r="T181">
        <f>ABS(P181-Q181)</f>
        <v>2</v>
      </c>
      <c r="V181">
        <f>IF(S181=0,0,IF(S181=1,5,IF(S181=2,15,0)))</f>
        <v>5</v>
      </c>
      <c r="W181">
        <f>IF(T181=0,0,IF(T181=1,5,IF(T181=2,15,0)))</f>
        <v>15</v>
      </c>
    </row>
    <row r="182" spans="1:32" ht="15.75" thickBot="1" x14ac:dyDescent="0.3">
      <c r="A182" s="15"/>
      <c r="B182" s="402" t="s">
        <v>47</v>
      </c>
      <c r="C182" s="3"/>
      <c r="D182" s="766"/>
      <c r="E182" s="767"/>
      <c r="F182" s="767"/>
      <c r="G182" s="767"/>
      <c r="H182" s="767"/>
      <c r="I182" s="767"/>
      <c r="J182" s="768"/>
      <c r="K182" s="14"/>
    </row>
    <row r="183" spans="1:32" ht="5.0999999999999996" customHeight="1" thickBot="1" x14ac:dyDescent="0.3">
      <c r="A183" s="15"/>
      <c r="B183" s="3"/>
      <c r="C183" s="3"/>
      <c r="D183" s="3"/>
      <c r="E183" s="3"/>
      <c r="F183" s="3"/>
      <c r="G183" s="3"/>
      <c r="H183" s="3"/>
      <c r="I183" s="3"/>
      <c r="J183" s="3"/>
      <c r="K183" s="14"/>
    </row>
    <row r="184" spans="1:32" ht="15.75" thickBot="1" x14ac:dyDescent="0.3">
      <c r="A184" s="15"/>
      <c r="B184" s="402" t="s">
        <v>238</v>
      </c>
      <c r="C184" s="3"/>
      <c r="D184" s="403"/>
      <c r="E184" s="3"/>
      <c r="F184" s="3"/>
      <c r="G184" s="3"/>
      <c r="H184" s="3"/>
      <c r="I184" s="3"/>
      <c r="J184" s="3"/>
      <c r="K184" s="14"/>
      <c r="Y184">
        <f>ROUNDDOWN(D184/5,0)</f>
        <v>0</v>
      </c>
    </row>
    <row r="185" spans="1:32" ht="5.0999999999999996" customHeight="1" thickBot="1" x14ac:dyDescent="0.3">
      <c r="A185" s="15"/>
      <c r="B185" s="3"/>
      <c r="C185" s="3"/>
      <c r="D185" s="3"/>
      <c r="E185" s="3"/>
      <c r="F185" s="3"/>
      <c r="G185" s="3"/>
      <c r="H185" s="3"/>
      <c r="I185" s="3"/>
      <c r="J185" s="3"/>
      <c r="K185" s="14"/>
    </row>
    <row r="186" spans="1:32" ht="15.75" thickBot="1" x14ac:dyDescent="0.3">
      <c r="A186" s="15"/>
      <c r="B186" s="440" t="s">
        <v>48</v>
      </c>
      <c r="C186" s="3"/>
      <c r="D186" s="403"/>
      <c r="E186" s="3"/>
      <c r="F186" s="403"/>
      <c r="G186" s="3"/>
      <c r="H186" s="3"/>
      <c r="I186" s="3"/>
      <c r="J186" s="3"/>
      <c r="K186" s="14"/>
      <c r="N186">
        <f>IF(D186="Lawful",2,IF(D186="Neutral",1,IF(D186="Chaotic",0,0)))</f>
        <v>0</v>
      </c>
      <c r="O186">
        <f>IF(Overall!$D$4="Lawful",2,IF(Overall!$D$4="Neutral",1,IF(Overall!$D$4="Chaotic",0,0)))</f>
        <v>1</v>
      </c>
      <c r="P186">
        <f>IF(F186="Good",2,IF(F186="Neutral",1,IF(F186="Evil",0,0)))</f>
        <v>0</v>
      </c>
      <c r="Q186">
        <f>IF(Overall!$F$4="Good",2,IF(Overall!$F$4="Neutral",1,IF(Overall!$F$4="Evil",0,0)))</f>
        <v>2</v>
      </c>
      <c r="S186">
        <f>ABS(N186-O186)</f>
        <v>1</v>
      </c>
      <c r="T186">
        <f>ABS(P186-Q186)</f>
        <v>2</v>
      </c>
      <c r="V186">
        <f>IF(S186=0,0,IF(S186=1,5,IF(S186=2,15,0)))</f>
        <v>5</v>
      </c>
      <c r="W186">
        <f>IF(T186=0,0,IF(T186=1,5,IF(T186=2,15,0)))</f>
        <v>15</v>
      </c>
      <c r="Y186">
        <f>SUM(V186:W186)</f>
        <v>20</v>
      </c>
    </row>
    <row r="187" spans="1:32" ht="5.0999999999999996" customHeight="1" thickBot="1" x14ac:dyDescent="0.3">
      <c r="A187" s="15"/>
      <c r="B187" s="440"/>
      <c r="C187" s="3"/>
      <c r="D187" s="3"/>
      <c r="E187" s="3"/>
      <c r="F187" s="3"/>
      <c r="G187" s="3"/>
      <c r="H187" s="3"/>
      <c r="I187" s="3"/>
      <c r="J187" s="3"/>
      <c r="K187" s="14"/>
      <c r="N187">
        <f>IF(D187="Lawful",2,IF(D187="Neutral",1,IF(D187="Chaotic",0,0)))</f>
        <v>0</v>
      </c>
      <c r="O187">
        <f>IF(Overall!$D$4="Lawful",2,IF(Overall!$D$4="Neutral",1,IF(Overall!$D$4="Chaotic",0,0)))</f>
        <v>1</v>
      </c>
      <c r="P187">
        <f>IF(F187="Good",2,IF(F187="Neutral",1,IF(F187="Evil",0,0)))</f>
        <v>0</v>
      </c>
      <c r="Q187">
        <f>IF(Overall!$F$4="Good",2,IF(Overall!$F$4="Neutral",1,IF(Overall!$F$4="Evil",0,0)))</f>
        <v>2</v>
      </c>
      <c r="S187">
        <f>ABS(N187-O187)</f>
        <v>1</v>
      </c>
      <c r="T187">
        <f>ABS(P187-Q187)</f>
        <v>2</v>
      </c>
      <c r="V187">
        <f>IF(S187=0,0,IF(S187=1,5,IF(S187=2,15,0)))</f>
        <v>5</v>
      </c>
      <c r="W187">
        <f>IF(T187=0,0,IF(T187=1,5,IF(T187=2,15,0)))</f>
        <v>15</v>
      </c>
    </row>
    <row r="188" spans="1:32" ht="15.75" thickBot="1" x14ac:dyDescent="0.3">
      <c r="A188" s="15"/>
      <c r="B188" s="440" t="s">
        <v>790</v>
      </c>
      <c r="C188" s="3"/>
      <c r="D188" s="769"/>
      <c r="E188" s="770"/>
      <c r="F188" s="770"/>
      <c r="G188" s="770"/>
      <c r="H188" s="770"/>
      <c r="I188" s="770"/>
      <c r="J188" s="771"/>
      <c r="K188" s="14"/>
      <c r="Y188">
        <f>IF(D188&lt;&gt;0,VLOOKUP(D188,'Drop Down'!$O$35:$U$40,7,FALSE),0)</f>
        <v>0</v>
      </c>
    </row>
    <row r="189" spans="1:32" ht="5.0999999999999996" customHeight="1" thickBot="1" x14ac:dyDescent="0.3">
      <c r="A189" s="15"/>
      <c r="B189" s="440"/>
      <c r="C189" s="3"/>
      <c r="D189" s="3"/>
      <c r="E189" s="3"/>
      <c r="F189" s="3"/>
      <c r="G189" s="3"/>
      <c r="H189" s="3"/>
      <c r="I189" s="3"/>
      <c r="J189" s="3"/>
      <c r="K189" s="14"/>
    </row>
    <row r="190" spans="1:32" ht="15.75" thickBot="1" x14ac:dyDescent="0.3">
      <c r="A190" s="15"/>
      <c r="B190" s="440" t="s">
        <v>784</v>
      </c>
      <c r="C190" s="3"/>
      <c r="D190" s="403"/>
      <c r="E190" s="3"/>
      <c r="F190" s="434" t="s">
        <v>1105</v>
      </c>
      <c r="G190" s="3"/>
      <c r="H190" s="403"/>
      <c r="I190" s="441"/>
      <c r="K190" s="14"/>
      <c r="Y190">
        <f>IF(D190&lt;&gt;0,VLOOKUP(D190,'Drop Down'!$O$26:$P$31,2,FALSE),0)</f>
        <v>0</v>
      </c>
      <c r="AA190">
        <f>IF(D192="Treaty",1,0)</f>
        <v>0</v>
      </c>
      <c r="AC190">
        <f>ROUNDDOWN(H190/10,0)-12</f>
        <v>-12</v>
      </c>
    </row>
    <row r="191" spans="1:32" ht="5.0999999999999996" customHeight="1" thickBot="1" x14ac:dyDescent="0.3">
      <c r="A191" s="15"/>
      <c r="B191" s="440"/>
      <c r="C191" s="3"/>
      <c r="D191" s="3"/>
      <c r="E191" s="3"/>
      <c r="F191" s="3"/>
      <c r="G191" s="3"/>
      <c r="H191" s="3"/>
      <c r="I191" s="3"/>
      <c r="K191" s="14"/>
    </row>
    <row r="192" spans="1:32" ht="15.75" thickBot="1" x14ac:dyDescent="0.3">
      <c r="A192" s="15"/>
      <c r="B192" s="440" t="s">
        <v>791</v>
      </c>
      <c r="C192" s="3"/>
      <c r="D192" s="403"/>
      <c r="E192" s="3"/>
      <c r="F192" s="29" t="s">
        <v>1106</v>
      </c>
      <c r="G192" s="3"/>
      <c r="H192" s="403"/>
      <c r="I192" s="3"/>
      <c r="K192" s="14"/>
      <c r="AA192">
        <f>IF(D192="Alliance",2,0)</f>
        <v>0</v>
      </c>
      <c r="AD192">
        <f>ROUNDDOWN(H192/10,0)-12</f>
        <v>-12</v>
      </c>
    </row>
    <row r="193" spans="1:32" ht="5.0999999999999996" customHeight="1" thickBot="1" x14ac:dyDescent="0.3">
      <c r="A193" s="15"/>
      <c r="B193" s="440"/>
      <c r="C193" s="3"/>
      <c r="D193" s="3"/>
      <c r="E193" s="3"/>
      <c r="F193" s="3"/>
      <c r="G193" s="3"/>
      <c r="H193" s="3"/>
      <c r="I193" s="3"/>
      <c r="J193" s="3"/>
      <c r="K193" s="14"/>
    </row>
    <row r="194" spans="1:32" ht="15.75" thickBot="1" x14ac:dyDescent="0.3">
      <c r="A194" s="15"/>
      <c r="B194" s="440" t="s">
        <v>802</v>
      </c>
      <c r="C194" s="3"/>
      <c r="D194" s="296">
        <f>10+Overall!$D$18+Y184+ROUNDDOWN(Overall!$J$4/5,0)+Y186+Y188+Y190-Overall!$D$16</f>
        <v>30</v>
      </c>
      <c r="E194" s="3"/>
      <c r="F194" s="698" t="s">
        <v>803</v>
      </c>
      <c r="G194" s="699"/>
      <c r="H194" s="699"/>
      <c r="I194" s="699"/>
      <c r="J194" s="700"/>
      <c r="K194" s="14"/>
      <c r="AA194">
        <f>AA192+AA190</f>
        <v>0</v>
      </c>
      <c r="AE194">
        <f>IF(AC190&lt;0,0,IF(AA194&gt;0,AC190,0))</f>
        <v>0</v>
      </c>
      <c r="AF194">
        <f>IF(AD192&lt;0,0,IF(AA194=2,AD192,0))</f>
        <v>0</v>
      </c>
    </row>
    <row r="195" spans="1:32" ht="5.0999999999999996" customHeight="1" thickBot="1" x14ac:dyDescent="0.3">
      <c r="A195" s="307"/>
      <c r="B195" s="2"/>
      <c r="C195" s="2"/>
      <c r="D195" s="2"/>
      <c r="E195" s="2"/>
      <c r="F195" s="2"/>
      <c r="G195" s="2"/>
      <c r="H195" s="2"/>
      <c r="I195" s="2"/>
      <c r="J195" s="2"/>
      <c r="K195" s="24"/>
      <c r="N195">
        <f>IF(D195="Lawful",2,IF(D195="Neutral",1,IF(D195="Chaotic",0,0)))</f>
        <v>0</v>
      </c>
      <c r="O195">
        <f>IF(Overall!$D$4="Lawful",2,IF(Overall!$D$4="Neutral",1,IF(Overall!$D$4="Chaotic",0,0)))</f>
        <v>1</v>
      </c>
      <c r="P195">
        <f>IF(F195="Good",2,IF(F195="Neutral",1,IF(F195="Evil",0,0)))</f>
        <v>0</v>
      </c>
      <c r="Q195">
        <f>IF(Overall!$F$4="Good",2,IF(Overall!$F$4="Neutral",1,IF(Overall!$F$4="Evil",0,0)))</f>
        <v>2</v>
      </c>
      <c r="S195">
        <f>ABS(N195-O195)</f>
        <v>1</v>
      </c>
      <c r="T195">
        <f>ABS(P195-Q195)</f>
        <v>2</v>
      </c>
      <c r="V195">
        <f>IF(S195=0,0,IF(S195=1,5,IF(S195=2,15,0)))</f>
        <v>5</v>
      </c>
      <c r="W195">
        <f>IF(T195=0,0,IF(T195=1,5,IF(T195=2,15,0)))</f>
        <v>15</v>
      </c>
    </row>
    <row r="196" spans="1:32" ht="5.0999999999999996" customHeight="1" thickBot="1" x14ac:dyDescent="0.3">
      <c r="A196" s="9"/>
      <c r="B196" s="11"/>
      <c r="C196" s="11"/>
      <c r="D196" s="11"/>
      <c r="E196" s="11"/>
      <c r="F196" s="11"/>
      <c r="G196" s="11"/>
      <c r="H196" s="11"/>
      <c r="I196" s="11"/>
      <c r="J196" s="11"/>
      <c r="K196" s="12"/>
      <c r="N196">
        <f>IF(D196="Lawful",2,IF(D196="Neutral",1,IF(D196="Chaotic",0,0)))</f>
        <v>0</v>
      </c>
      <c r="O196">
        <f>IF(Overall!$D$4="Lawful",2,IF(Overall!$D$4="Neutral",1,IF(Overall!$D$4="Chaotic",0,0)))</f>
        <v>1</v>
      </c>
      <c r="P196">
        <f>IF(F196="Good",2,IF(F196="Neutral",1,IF(F196="Evil",0,0)))</f>
        <v>0</v>
      </c>
      <c r="Q196">
        <f>IF(Overall!$F$4="Good",2,IF(Overall!$F$4="Neutral",1,IF(Overall!$F$4="Evil",0,0)))</f>
        <v>2</v>
      </c>
      <c r="S196">
        <f>ABS(N196-O196)</f>
        <v>1</v>
      </c>
      <c r="T196">
        <f>ABS(P196-Q196)</f>
        <v>2</v>
      </c>
      <c r="V196">
        <f>IF(S196=0,0,IF(S196=1,5,IF(S196=2,15,0)))</f>
        <v>5</v>
      </c>
      <c r="W196">
        <f>IF(T196=0,0,IF(T196=1,5,IF(T196=2,15,0)))</f>
        <v>15</v>
      </c>
    </row>
    <row r="197" spans="1:32" ht="15.75" thickBot="1" x14ac:dyDescent="0.3">
      <c r="A197" s="15"/>
      <c r="B197" s="402" t="s">
        <v>47</v>
      </c>
      <c r="C197" s="3"/>
      <c r="D197" s="766"/>
      <c r="E197" s="767"/>
      <c r="F197" s="767"/>
      <c r="G197" s="767"/>
      <c r="H197" s="767"/>
      <c r="I197" s="767"/>
      <c r="J197" s="768"/>
      <c r="K197" s="14"/>
    </row>
    <row r="198" spans="1:32" ht="5.0999999999999996" customHeight="1" thickBot="1" x14ac:dyDescent="0.3">
      <c r="A198" s="15"/>
      <c r="B198" s="3"/>
      <c r="C198" s="3"/>
      <c r="D198" s="3"/>
      <c r="E198" s="3"/>
      <c r="F198" s="3"/>
      <c r="G198" s="3"/>
      <c r="H198" s="3"/>
      <c r="I198" s="3"/>
      <c r="J198" s="3"/>
      <c r="K198" s="14"/>
    </row>
    <row r="199" spans="1:32" ht="15.75" thickBot="1" x14ac:dyDescent="0.3">
      <c r="A199" s="15"/>
      <c r="B199" s="402" t="s">
        <v>238</v>
      </c>
      <c r="C199" s="3"/>
      <c r="D199" s="403"/>
      <c r="E199" s="3"/>
      <c r="F199" s="3"/>
      <c r="G199" s="3"/>
      <c r="H199" s="3"/>
      <c r="I199" s="3"/>
      <c r="J199" s="3"/>
      <c r="K199" s="14"/>
      <c r="Y199">
        <f>ROUNDDOWN(D199/5,0)</f>
        <v>0</v>
      </c>
    </row>
    <row r="200" spans="1:32" ht="5.0999999999999996" customHeight="1" thickBot="1" x14ac:dyDescent="0.3">
      <c r="A200" s="15"/>
      <c r="B200" s="3"/>
      <c r="C200" s="3"/>
      <c r="D200" s="3"/>
      <c r="E200" s="3"/>
      <c r="F200" s="3"/>
      <c r="G200" s="3"/>
      <c r="H200" s="3"/>
      <c r="I200" s="3"/>
      <c r="J200" s="3"/>
      <c r="K200" s="14"/>
    </row>
    <row r="201" spans="1:32" ht="15.75" thickBot="1" x14ac:dyDescent="0.3">
      <c r="A201" s="15"/>
      <c r="B201" s="440" t="s">
        <v>48</v>
      </c>
      <c r="C201" s="3"/>
      <c r="D201" s="403"/>
      <c r="E201" s="3"/>
      <c r="F201" s="403"/>
      <c r="G201" s="3"/>
      <c r="H201" s="3"/>
      <c r="I201" s="3"/>
      <c r="J201" s="3"/>
      <c r="K201" s="14"/>
      <c r="N201">
        <f>IF(D201="Lawful",2,IF(D201="Neutral",1,IF(D201="Chaotic",0,0)))</f>
        <v>0</v>
      </c>
      <c r="O201">
        <f>IF(Overall!$D$4="Lawful",2,IF(Overall!$D$4="Neutral",1,IF(Overall!$D$4="Chaotic",0,0)))</f>
        <v>1</v>
      </c>
      <c r="P201">
        <f>IF(F201="Good",2,IF(F201="Neutral",1,IF(F201="Evil",0,0)))</f>
        <v>0</v>
      </c>
      <c r="Q201">
        <f>IF(Overall!$F$4="Good",2,IF(Overall!$F$4="Neutral",1,IF(Overall!$F$4="Evil",0,0)))</f>
        <v>2</v>
      </c>
      <c r="S201">
        <f>ABS(N201-O201)</f>
        <v>1</v>
      </c>
      <c r="T201">
        <f>ABS(P201-Q201)</f>
        <v>2</v>
      </c>
      <c r="V201">
        <f>IF(S201=0,0,IF(S201=1,5,IF(S201=2,15,0)))</f>
        <v>5</v>
      </c>
      <c r="W201">
        <f>IF(T201=0,0,IF(T201=1,5,IF(T201=2,15,0)))</f>
        <v>15</v>
      </c>
      <c r="Y201">
        <f>SUM(V201:W201)</f>
        <v>20</v>
      </c>
    </row>
    <row r="202" spans="1:32" ht="5.0999999999999996" customHeight="1" thickBot="1" x14ac:dyDescent="0.3">
      <c r="A202" s="15"/>
      <c r="B202" s="440"/>
      <c r="C202" s="3"/>
      <c r="D202" s="3"/>
      <c r="E202" s="3"/>
      <c r="F202" s="3"/>
      <c r="G202" s="3"/>
      <c r="H202" s="3"/>
      <c r="I202" s="3"/>
      <c r="J202" s="3"/>
      <c r="K202" s="14"/>
      <c r="N202">
        <f>IF(D202="Lawful",2,IF(D202="Neutral",1,IF(D202="Chaotic",0,0)))</f>
        <v>0</v>
      </c>
      <c r="O202">
        <f>IF(Overall!$D$4="Lawful",2,IF(Overall!$D$4="Neutral",1,IF(Overall!$D$4="Chaotic",0,0)))</f>
        <v>1</v>
      </c>
      <c r="P202">
        <f>IF(F202="Good",2,IF(F202="Neutral",1,IF(F202="Evil",0,0)))</f>
        <v>0</v>
      </c>
      <c r="Q202">
        <f>IF(Overall!$F$4="Good",2,IF(Overall!$F$4="Neutral",1,IF(Overall!$F$4="Evil",0,0)))</f>
        <v>2</v>
      </c>
      <c r="S202">
        <f>ABS(N202-O202)</f>
        <v>1</v>
      </c>
      <c r="T202">
        <f>ABS(P202-Q202)</f>
        <v>2</v>
      </c>
      <c r="V202">
        <f>IF(S202=0,0,IF(S202=1,5,IF(S202=2,15,0)))</f>
        <v>5</v>
      </c>
      <c r="W202">
        <f>IF(T202=0,0,IF(T202=1,5,IF(T202=2,15,0)))</f>
        <v>15</v>
      </c>
    </row>
    <row r="203" spans="1:32" ht="15.75" thickBot="1" x14ac:dyDescent="0.3">
      <c r="A203" s="15"/>
      <c r="B203" s="440" t="s">
        <v>790</v>
      </c>
      <c r="C203" s="3"/>
      <c r="D203" s="769"/>
      <c r="E203" s="770"/>
      <c r="F203" s="770"/>
      <c r="G203" s="770"/>
      <c r="H203" s="770"/>
      <c r="I203" s="770"/>
      <c r="J203" s="771"/>
      <c r="K203" s="14"/>
      <c r="Y203">
        <f>IF(D203&lt;&gt;0,VLOOKUP(D203,'Drop Down'!$O$35:$U$40,7,FALSE),0)</f>
        <v>0</v>
      </c>
    </row>
    <row r="204" spans="1:32" ht="5.0999999999999996" customHeight="1" thickBot="1" x14ac:dyDescent="0.3">
      <c r="A204" s="15"/>
      <c r="B204" s="440"/>
      <c r="C204" s="3"/>
      <c r="D204" s="3"/>
      <c r="E204" s="3"/>
      <c r="F204" s="3"/>
      <c r="G204" s="3"/>
      <c r="H204" s="3"/>
      <c r="I204" s="3"/>
      <c r="J204" s="3"/>
      <c r="K204" s="14"/>
    </row>
    <row r="205" spans="1:32" ht="15.75" thickBot="1" x14ac:dyDescent="0.3">
      <c r="A205" s="15"/>
      <c r="B205" s="440" t="s">
        <v>784</v>
      </c>
      <c r="C205" s="3"/>
      <c r="D205" s="403"/>
      <c r="E205" s="3"/>
      <c r="F205" s="434" t="s">
        <v>1105</v>
      </c>
      <c r="G205" s="3"/>
      <c r="H205" s="403"/>
      <c r="I205" s="441"/>
      <c r="K205" s="14"/>
      <c r="Y205">
        <f>IF(D205&lt;&gt;0,VLOOKUP(D205,'Drop Down'!$O$26:$P$31,2,FALSE),0)</f>
        <v>0</v>
      </c>
      <c r="AA205">
        <f>IF(D207="Treaty",1,0)</f>
        <v>0</v>
      </c>
      <c r="AC205">
        <f>ROUNDDOWN(H205/10,0)-13</f>
        <v>-13</v>
      </c>
    </row>
    <row r="206" spans="1:32" ht="5.0999999999999996" customHeight="1" thickBot="1" x14ac:dyDescent="0.3">
      <c r="A206" s="15"/>
      <c r="B206" s="440"/>
      <c r="C206" s="3"/>
      <c r="D206" s="3"/>
      <c r="E206" s="3"/>
      <c r="F206" s="3"/>
      <c r="G206" s="3"/>
      <c r="H206" s="3"/>
      <c r="I206" s="3"/>
      <c r="K206" s="14"/>
    </row>
    <row r="207" spans="1:32" ht="15.75" thickBot="1" x14ac:dyDescent="0.3">
      <c r="A207" s="15"/>
      <c r="B207" s="440" t="s">
        <v>791</v>
      </c>
      <c r="C207" s="3"/>
      <c r="D207" s="403"/>
      <c r="E207" s="3"/>
      <c r="F207" s="29" t="s">
        <v>1106</v>
      </c>
      <c r="G207" s="3"/>
      <c r="H207" s="403"/>
      <c r="I207" s="3"/>
      <c r="K207" s="14"/>
      <c r="AA207">
        <f>IF(D207="Alliance",2,0)</f>
        <v>0</v>
      </c>
      <c r="AD207">
        <f>ROUNDDOWN(H207/10,0)-13</f>
        <v>-13</v>
      </c>
    </row>
    <row r="208" spans="1:32" ht="5.0999999999999996" customHeight="1" thickBot="1" x14ac:dyDescent="0.3">
      <c r="A208" s="15"/>
      <c r="B208" s="440"/>
      <c r="C208" s="3"/>
      <c r="D208" s="3"/>
      <c r="E208" s="3"/>
      <c r="F208" s="3"/>
      <c r="G208" s="3"/>
      <c r="H208" s="3"/>
      <c r="I208" s="3"/>
      <c r="J208" s="3"/>
      <c r="K208" s="14"/>
    </row>
    <row r="209" spans="1:32" ht="15.75" thickBot="1" x14ac:dyDescent="0.3">
      <c r="A209" s="15"/>
      <c r="B209" s="440" t="s">
        <v>802</v>
      </c>
      <c r="C209" s="3"/>
      <c r="D209" s="296">
        <f>10+Overall!$D$18+Y199+ROUNDDOWN(Overall!$J$4/5,0)+Y201+Y203+Y205-Overall!$D$16</f>
        <v>30</v>
      </c>
      <c r="E209" s="3"/>
      <c r="F209" s="698" t="s">
        <v>803</v>
      </c>
      <c r="G209" s="699"/>
      <c r="H209" s="699"/>
      <c r="I209" s="699"/>
      <c r="J209" s="700"/>
      <c r="K209" s="14"/>
      <c r="AA209">
        <f>AA207+AA205</f>
        <v>0</v>
      </c>
      <c r="AE209">
        <f>IF(AC205&lt;0,0,IF(AA209&gt;0,AC205,0))</f>
        <v>0</v>
      </c>
      <c r="AF209">
        <f>IF(AD207&lt;0,0,IF(AA209=2,AD207,0))</f>
        <v>0</v>
      </c>
    </row>
    <row r="210" spans="1:32" ht="5.0999999999999996" customHeight="1" thickBot="1" x14ac:dyDescent="0.3">
      <c r="A210" s="307"/>
      <c r="B210" s="2"/>
      <c r="C210" s="2"/>
      <c r="D210" s="2"/>
      <c r="E210" s="2"/>
      <c r="F210" s="2"/>
      <c r="G210" s="2"/>
      <c r="H210" s="2"/>
      <c r="I210" s="2"/>
      <c r="J210" s="2"/>
      <c r="K210" s="24"/>
      <c r="N210">
        <f>IF(D210="Lawful",2,IF(D210="Neutral",1,IF(D210="Chaotic",0,0)))</f>
        <v>0</v>
      </c>
      <c r="O210">
        <f>IF(Overall!$D$4="Lawful",2,IF(Overall!$D$4="Neutral",1,IF(Overall!$D$4="Chaotic",0,0)))</f>
        <v>1</v>
      </c>
      <c r="P210">
        <f>IF(F210="Good",2,IF(F210="Neutral",1,IF(F210="Evil",0,0)))</f>
        <v>0</v>
      </c>
      <c r="Q210">
        <f>IF(Overall!$F$4="Good",2,IF(Overall!$F$4="Neutral",1,IF(Overall!$F$4="Evil",0,0)))</f>
        <v>2</v>
      </c>
      <c r="S210">
        <f>ABS(N210-O210)</f>
        <v>1</v>
      </c>
      <c r="T210">
        <f>ABS(P210-Q210)</f>
        <v>2</v>
      </c>
      <c r="V210">
        <f>IF(S210=0,0,IF(S210=1,5,IF(S210=2,15,0)))</f>
        <v>5</v>
      </c>
      <c r="W210">
        <f>IF(T210=0,0,IF(T210=1,5,IF(T210=2,15,0)))</f>
        <v>15</v>
      </c>
    </row>
    <row r="211" spans="1:32" ht="5.0999999999999996" customHeight="1" thickBot="1" x14ac:dyDescent="0.3">
      <c r="A211" s="9"/>
      <c r="B211" s="11"/>
      <c r="C211" s="11"/>
      <c r="D211" s="11"/>
      <c r="E211" s="11"/>
      <c r="F211" s="11"/>
      <c r="G211" s="11"/>
      <c r="H211" s="11"/>
      <c r="I211" s="11"/>
      <c r="J211" s="11"/>
      <c r="K211" s="12"/>
      <c r="N211">
        <f>IF(D211="Lawful",2,IF(D211="Neutral",1,IF(D211="Chaotic",0,0)))</f>
        <v>0</v>
      </c>
      <c r="O211">
        <f>IF(Overall!$D$4="Lawful",2,IF(Overall!$D$4="Neutral",1,IF(Overall!$D$4="Chaotic",0,0)))</f>
        <v>1</v>
      </c>
      <c r="P211">
        <f>IF(F211="Good",2,IF(F211="Neutral",1,IF(F211="Evil",0,0)))</f>
        <v>0</v>
      </c>
      <c r="Q211">
        <f>IF(Overall!$F$4="Good",2,IF(Overall!$F$4="Neutral",1,IF(Overall!$F$4="Evil",0,0)))</f>
        <v>2</v>
      </c>
      <c r="S211">
        <f>ABS(N211-O211)</f>
        <v>1</v>
      </c>
      <c r="T211">
        <f>ABS(P211-Q211)</f>
        <v>2</v>
      </c>
      <c r="V211">
        <f>IF(S211=0,0,IF(S211=1,5,IF(S211=2,15,0)))</f>
        <v>5</v>
      </c>
      <c r="W211">
        <f>IF(T211=0,0,IF(T211=1,5,IF(T211=2,15,0)))</f>
        <v>15</v>
      </c>
    </row>
    <row r="212" spans="1:32" ht="15.75" customHeight="1" thickBot="1" x14ac:dyDescent="0.3">
      <c r="A212" s="15"/>
      <c r="B212" s="402" t="s">
        <v>47</v>
      </c>
      <c r="C212" s="3"/>
      <c r="D212" s="766"/>
      <c r="E212" s="767"/>
      <c r="F212" s="767"/>
      <c r="G212" s="767"/>
      <c r="H212" s="767"/>
      <c r="I212" s="767"/>
      <c r="J212" s="768"/>
      <c r="K212" s="14"/>
    </row>
    <row r="213" spans="1:32" ht="5.0999999999999996" customHeight="1" thickBot="1" x14ac:dyDescent="0.3">
      <c r="A213" s="15"/>
      <c r="B213" s="3"/>
      <c r="C213" s="3"/>
      <c r="D213" s="3"/>
      <c r="E213" s="3"/>
      <c r="F213" s="3"/>
      <c r="G213" s="3"/>
      <c r="H213" s="3"/>
      <c r="I213" s="3"/>
      <c r="J213" s="3"/>
      <c r="K213" s="14"/>
    </row>
    <row r="214" spans="1:32" ht="15.75" thickBot="1" x14ac:dyDescent="0.3">
      <c r="A214" s="15"/>
      <c r="B214" s="402" t="s">
        <v>238</v>
      </c>
      <c r="C214" s="3"/>
      <c r="D214" s="403"/>
      <c r="E214" s="3"/>
      <c r="F214" s="3"/>
      <c r="G214" s="3"/>
      <c r="H214" s="3"/>
      <c r="I214" s="3"/>
      <c r="J214" s="3"/>
      <c r="K214" s="14"/>
      <c r="Y214">
        <f>ROUNDDOWN(D214/5,0)</f>
        <v>0</v>
      </c>
    </row>
    <row r="215" spans="1:32" ht="5.0999999999999996" customHeight="1" thickBot="1" x14ac:dyDescent="0.3">
      <c r="A215" s="15"/>
      <c r="B215" s="3"/>
      <c r="C215" s="3"/>
      <c r="D215" s="3"/>
      <c r="E215" s="3"/>
      <c r="F215" s="3"/>
      <c r="G215" s="3"/>
      <c r="H215" s="3"/>
      <c r="I215" s="3"/>
      <c r="J215" s="3"/>
      <c r="K215" s="14"/>
    </row>
    <row r="216" spans="1:32" ht="15.75" thickBot="1" x14ac:dyDescent="0.3">
      <c r="A216" s="15"/>
      <c r="B216" s="440" t="s">
        <v>48</v>
      </c>
      <c r="C216" s="3"/>
      <c r="D216" s="403"/>
      <c r="E216" s="3"/>
      <c r="F216" s="403"/>
      <c r="G216" s="3"/>
      <c r="H216" s="3"/>
      <c r="I216" s="3"/>
      <c r="J216" s="3"/>
      <c r="K216" s="14"/>
      <c r="N216">
        <f>IF(D216="Lawful",2,IF(D216="Neutral",1,IF(D216="Chaotic",0,0)))</f>
        <v>0</v>
      </c>
      <c r="O216">
        <f>IF(Overall!$D$4="Lawful",2,IF(Overall!$D$4="Neutral",1,IF(Overall!$D$4="Chaotic",0,0)))</f>
        <v>1</v>
      </c>
      <c r="P216">
        <f>IF(F216="Good",2,IF(F216="Neutral",1,IF(F216="Evil",0,0)))</f>
        <v>0</v>
      </c>
      <c r="Q216">
        <f>IF(Overall!$F$4="Good",2,IF(Overall!$F$4="Neutral",1,IF(Overall!$F$4="Evil",0,0)))</f>
        <v>2</v>
      </c>
      <c r="S216">
        <f>ABS(N216-O216)</f>
        <v>1</v>
      </c>
      <c r="T216">
        <f>ABS(P216-Q216)</f>
        <v>2</v>
      </c>
      <c r="V216">
        <f>IF(S216=0,0,IF(S216=1,5,IF(S216=2,15,0)))</f>
        <v>5</v>
      </c>
      <c r="W216">
        <f>IF(T216=0,0,IF(T216=1,5,IF(T216=2,15,0)))</f>
        <v>15</v>
      </c>
      <c r="Y216">
        <f>SUM(V216:W216)</f>
        <v>20</v>
      </c>
    </row>
    <row r="217" spans="1:32" ht="5.0999999999999996" customHeight="1" thickBot="1" x14ac:dyDescent="0.3">
      <c r="A217" s="15"/>
      <c r="B217" s="440"/>
      <c r="C217" s="3"/>
      <c r="D217" s="3"/>
      <c r="E217" s="3"/>
      <c r="F217" s="3"/>
      <c r="G217" s="3"/>
      <c r="H217" s="3"/>
      <c r="I217" s="3"/>
      <c r="J217" s="3"/>
      <c r="K217" s="14"/>
      <c r="N217">
        <f>IF(D217="Lawful",2,IF(D217="Neutral",1,IF(D217="Chaotic",0,0)))</f>
        <v>0</v>
      </c>
      <c r="O217">
        <f>IF(Overall!$D$4="Lawful",2,IF(Overall!$D$4="Neutral",1,IF(Overall!$D$4="Chaotic",0,0)))</f>
        <v>1</v>
      </c>
      <c r="P217">
        <f>IF(F217="Good",2,IF(F217="Neutral",1,IF(F217="Evil",0,0)))</f>
        <v>0</v>
      </c>
      <c r="Q217">
        <f>IF(Overall!$F$4="Good",2,IF(Overall!$F$4="Neutral",1,IF(Overall!$F$4="Evil",0,0)))</f>
        <v>2</v>
      </c>
      <c r="S217">
        <f>ABS(N217-O217)</f>
        <v>1</v>
      </c>
      <c r="T217">
        <f>ABS(P217-Q217)</f>
        <v>2</v>
      </c>
      <c r="V217">
        <f>IF(S217=0,0,IF(S217=1,5,IF(S217=2,15,0)))</f>
        <v>5</v>
      </c>
      <c r="W217">
        <f>IF(T217=0,0,IF(T217=1,5,IF(T217=2,15,0)))</f>
        <v>15</v>
      </c>
    </row>
    <row r="218" spans="1:32" ht="15.75" thickBot="1" x14ac:dyDescent="0.3">
      <c r="A218" s="15"/>
      <c r="B218" s="440" t="s">
        <v>790</v>
      </c>
      <c r="C218" s="3"/>
      <c r="D218" s="769"/>
      <c r="E218" s="770"/>
      <c r="F218" s="770"/>
      <c r="G218" s="770"/>
      <c r="H218" s="770"/>
      <c r="I218" s="770"/>
      <c r="J218" s="771"/>
      <c r="K218" s="14"/>
      <c r="Y218">
        <f>IF(D218&lt;&gt;0,VLOOKUP(D218,'Drop Down'!$O$35:$U$40,7,FALSE),0)</f>
        <v>0</v>
      </c>
    </row>
    <row r="219" spans="1:32" ht="5.0999999999999996" customHeight="1" thickBot="1" x14ac:dyDescent="0.3">
      <c r="A219" s="15"/>
      <c r="B219" s="440"/>
      <c r="C219" s="3"/>
      <c r="D219" s="3"/>
      <c r="E219" s="3"/>
      <c r="F219" s="3"/>
      <c r="G219" s="3"/>
      <c r="H219" s="3"/>
      <c r="I219" s="3"/>
      <c r="J219" s="3"/>
      <c r="K219" s="14"/>
    </row>
    <row r="220" spans="1:32" ht="15.75" thickBot="1" x14ac:dyDescent="0.3">
      <c r="A220" s="15"/>
      <c r="B220" s="440" t="s">
        <v>784</v>
      </c>
      <c r="C220" s="3"/>
      <c r="D220" s="403"/>
      <c r="E220" s="3"/>
      <c r="F220" s="434" t="s">
        <v>1105</v>
      </c>
      <c r="G220" s="3"/>
      <c r="H220" s="403"/>
      <c r="I220" s="441"/>
      <c r="K220" s="14"/>
      <c r="Y220">
        <f>IF(D220&lt;&gt;0,VLOOKUP(D220,'Drop Down'!$O$26:$P$31,2,FALSE),0)</f>
        <v>0</v>
      </c>
      <c r="AA220">
        <f>IF(D222="Treaty",1,0)</f>
        <v>0</v>
      </c>
      <c r="AC220">
        <f>ROUNDDOWN(H220/10,0)-14</f>
        <v>-14</v>
      </c>
    </row>
    <row r="221" spans="1:32" ht="5.0999999999999996" customHeight="1" thickBot="1" x14ac:dyDescent="0.3">
      <c r="A221" s="15"/>
      <c r="B221" s="440"/>
      <c r="C221" s="3"/>
      <c r="D221" s="3"/>
      <c r="E221" s="3"/>
      <c r="F221" s="3"/>
      <c r="G221" s="3"/>
      <c r="H221" s="3"/>
      <c r="I221" s="3"/>
      <c r="K221" s="14"/>
    </row>
    <row r="222" spans="1:32" ht="15.75" thickBot="1" x14ac:dyDescent="0.3">
      <c r="A222" s="15"/>
      <c r="B222" s="440" t="s">
        <v>791</v>
      </c>
      <c r="C222" s="3"/>
      <c r="D222" s="403"/>
      <c r="E222" s="3"/>
      <c r="F222" s="29" t="s">
        <v>1106</v>
      </c>
      <c r="G222" s="3"/>
      <c r="H222" s="403"/>
      <c r="I222" s="3"/>
      <c r="K222" s="14"/>
      <c r="AA222">
        <f>IF(D222="Alliance",2,0)</f>
        <v>0</v>
      </c>
      <c r="AD222">
        <f>ROUNDDOWN(H222/10,0)-14</f>
        <v>-14</v>
      </c>
    </row>
    <row r="223" spans="1:32" ht="5.0999999999999996" customHeight="1" thickBot="1" x14ac:dyDescent="0.3">
      <c r="A223" s="15"/>
      <c r="B223" s="440"/>
      <c r="C223" s="3"/>
      <c r="D223" s="3"/>
      <c r="E223" s="3"/>
      <c r="F223" s="3"/>
      <c r="G223" s="3"/>
      <c r="H223" s="3"/>
      <c r="I223" s="3"/>
      <c r="J223" s="3"/>
      <c r="K223" s="14"/>
    </row>
    <row r="224" spans="1:32" ht="15.75" thickBot="1" x14ac:dyDescent="0.3">
      <c r="A224" s="15"/>
      <c r="B224" s="440" t="s">
        <v>802</v>
      </c>
      <c r="C224" s="3"/>
      <c r="D224" s="296">
        <f>10+Overall!$D$18+Y214+ROUNDDOWN(Overall!$J$4/5,0)+Y216+Y218+Y220-Overall!$D$16</f>
        <v>30</v>
      </c>
      <c r="E224" s="3"/>
      <c r="F224" s="698" t="s">
        <v>803</v>
      </c>
      <c r="G224" s="699"/>
      <c r="H224" s="699"/>
      <c r="I224" s="699"/>
      <c r="J224" s="700"/>
      <c r="K224" s="14"/>
      <c r="AA224">
        <f>AA222+AA220</f>
        <v>0</v>
      </c>
      <c r="AE224">
        <f>IF(AC220&lt;0,0,IF(AA224&gt;0,AC220,0))</f>
        <v>0</v>
      </c>
      <c r="AF224">
        <f>IF(AD222&lt;0,0,IF(AA224=2,AD222,0))</f>
        <v>0</v>
      </c>
    </row>
    <row r="225" spans="1:32" ht="5.0999999999999996" customHeight="1" thickBot="1" x14ac:dyDescent="0.3">
      <c r="A225" s="307"/>
      <c r="B225" s="2"/>
      <c r="C225" s="2"/>
      <c r="D225" s="2"/>
      <c r="E225" s="2"/>
      <c r="F225" s="2"/>
      <c r="G225" s="2"/>
      <c r="H225" s="2"/>
      <c r="I225" s="2"/>
      <c r="J225" s="2"/>
      <c r="K225" s="24"/>
      <c r="N225">
        <f>IF(D225="Lawful",2,IF(D225="Neutral",1,IF(D225="Chaotic",0,0)))</f>
        <v>0</v>
      </c>
      <c r="O225">
        <f>IF(Overall!$D$4="Lawful",2,IF(Overall!$D$4="Neutral",1,IF(Overall!$D$4="Chaotic",0,0)))</f>
        <v>1</v>
      </c>
      <c r="P225">
        <f>IF(F225="Good",2,IF(F225="Neutral",1,IF(F225="Evil",0,0)))</f>
        <v>0</v>
      </c>
      <c r="Q225">
        <f>IF(Overall!$F$4="Good",2,IF(Overall!$F$4="Neutral",1,IF(Overall!$F$4="Evil",0,0)))</f>
        <v>2</v>
      </c>
      <c r="S225">
        <f>ABS(N225-O225)</f>
        <v>1</v>
      </c>
      <c r="T225">
        <f>ABS(P225-Q225)</f>
        <v>2</v>
      </c>
      <c r="V225">
        <f>IF(S225=0,0,IF(S225=1,5,IF(S225=2,15,0)))</f>
        <v>5</v>
      </c>
      <c r="W225">
        <f>IF(T225=0,0,IF(T225=1,5,IF(T225=2,15,0)))</f>
        <v>15</v>
      </c>
    </row>
    <row r="226" spans="1:32" ht="5.0999999999999996" customHeight="1" thickBot="1" x14ac:dyDescent="0.3">
      <c r="A226" s="9"/>
      <c r="B226" s="11"/>
      <c r="C226" s="11"/>
      <c r="D226" s="11"/>
      <c r="E226" s="11"/>
      <c r="F226" s="11"/>
      <c r="G226" s="11"/>
      <c r="H226" s="11"/>
      <c r="I226" s="11"/>
      <c r="J226" s="11"/>
      <c r="K226" s="12"/>
      <c r="N226">
        <f>IF(D226="Lawful",2,IF(D226="Neutral",1,IF(D226="Chaotic",0,0)))</f>
        <v>0</v>
      </c>
      <c r="O226">
        <f>IF(Overall!$D$4="Lawful",2,IF(Overall!$D$4="Neutral",1,IF(Overall!$D$4="Chaotic",0,0)))</f>
        <v>1</v>
      </c>
      <c r="P226">
        <f>IF(F226="Good",2,IF(F226="Neutral",1,IF(F226="Evil",0,0)))</f>
        <v>0</v>
      </c>
      <c r="Q226">
        <f>IF(Overall!$F$4="Good",2,IF(Overall!$F$4="Neutral",1,IF(Overall!$F$4="Evil",0,0)))</f>
        <v>2</v>
      </c>
      <c r="S226">
        <f>ABS(N226-O226)</f>
        <v>1</v>
      </c>
      <c r="T226">
        <f>ABS(P226-Q226)</f>
        <v>2</v>
      </c>
      <c r="V226">
        <f>IF(S226=0,0,IF(S226=1,5,IF(S226=2,15,0)))</f>
        <v>5</v>
      </c>
      <c r="W226">
        <f>IF(T226=0,0,IF(T226=1,5,IF(T226=2,15,0)))</f>
        <v>15</v>
      </c>
    </row>
    <row r="227" spans="1:32" ht="15.75" thickBot="1" x14ac:dyDescent="0.3">
      <c r="A227" s="15"/>
      <c r="B227" s="402" t="s">
        <v>47</v>
      </c>
      <c r="C227" s="3"/>
      <c r="D227" s="766"/>
      <c r="E227" s="767"/>
      <c r="F227" s="767"/>
      <c r="G227" s="767"/>
      <c r="H227" s="767"/>
      <c r="I227" s="767"/>
      <c r="J227" s="768"/>
      <c r="K227" s="14"/>
    </row>
    <row r="228" spans="1:32" ht="5.0999999999999996" customHeight="1" thickBot="1" x14ac:dyDescent="0.3">
      <c r="A228" s="15"/>
      <c r="B228" s="3"/>
      <c r="C228" s="3"/>
      <c r="D228" s="3"/>
      <c r="E228" s="3"/>
      <c r="F228" s="3"/>
      <c r="G228" s="3"/>
      <c r="H228" s="3"/>
      <c r="I228" s="3"/>
      <c r="J228" s="3"/>
      <c r="K228" s="14"/>
    </row>
    <row r="229" spans="1:32" ht="15.75" thickBot="1" x14ac:dyDescent="0.3">
      <c r="A229" s="15"/>
      <c r="B229" s="402" t="s">
        <v>238</v>
      </c>
      <c r="C229" s="3"/>
      <c r="D229" s="403"/>
      <c r="E229" s="3"/>
      <c r="F229" s="3"/>
      <c r="G229" s="3"/>
      <c r="H229" s="3"/>
      <c r="I229" s="3"/>
      <c r="J229" s="3"/>
      <c r="K229" s="14"/>
      <c r="Y229">
        <f>ROUNDDOWN(D229/5,0)</f>
        <v>0</v>
      </c>
    </row>
    <row r="230" spans="1:32" ht="5.0999999999999996" customHeight="1" thickBot="1" x14ac:dyDescent="0.3">
      <c r="A230" s="15"/>
      <c r="B230" s="3"/>
      <c r="C230" s="3"/>
      <c r="D230" s="3"/>
      <c r="E230" s="3"/>
      <c r="F230" s="3"/>
      <c r="G230" s="3"/>
      <c r="H230" s="3"/>
      <c r="I230" s="3"/>
      <c r="J230" s="3"/>
      <c r="K230" s="14"/>
    </row>
    <row r="231" spans="1:32" ht="15.75" thickBot="1" x14ac:dyDescent="0.3">
      <c r="A231" s="15"/>
      <c r="B231" s="440" t="s">
        <v>48</v>
      </c>
      <c r="C231" s="3"/>
      <c r="D231" s="403"/>
      <c r="E231" s="3"/>
      <c r="F231" s="403"/>
      <c r="G231" s="3"/>
      <c r="H231" s="3"/>
      <c r="I231" s="3"/>
      <c r="J231" s="3"/>
      <c r="K231" s="14"/>
      <c r="N231">
        <f>IF(D231="Lawful",2,IF(D231="Neutral",1,IF(D231="Chaotic",0,0)))</f>
        <v>0</v>
      </c>
      <c r="O231">
        <f>IF(Overall!$D$4="Lawful",2,IF(Overall!$D$4="Neutral",1,IF(Overall!$D$4="Chaotic",0,0)))</f>
        <v>1</v>
      </c>
      <c r="P231">
        <f>IF(F231="Good",2,IF(F231="Neutral",1,IF(F231="Evil",0,0)))</f>
        <v>0</v>
      </c>
      <c r="Q231">
        <f>IF(Overall!$F$4="Good",2,IF(Overall!$F$4="Neutral",1,IF(Overall!$F$4="Evil",0,0)))</f>
        <v>2</v>
      </c>
      <c r="S231">
        <f>ABS(N231-O231)</f>
        <v>1</v>
      </c>
      <c r="T231">
        <f>ABS(P231-Q231)</f>
        <v>2</v>
      </c>
      <c r="V231">
        <f>IF(S231=0,0,IF(S231=1,5,IF(S231=2,15,0)))</f>
        <v>5</v>
      </c>
      <c r="W231">
        <f>IF(T231=0,0,IF(T231=1,5,IF(T231=2,15,0)))</f>
        <v>15</v>
      </c>
      <c r="Y231">
        <f>SUM(V231:W231)</f>
        <v>20</v>
      </c>
    </row>
    <row r="232" spans="1:32" ht="5.0999999999999996" customHeight="1" thickBot="1" x14ac:dyDescent="0.3">
      <c r="A232" s="15"/>
      <c r="B232" s="440"/>
      <c r="C232" s="3"/>
      <c r="D232" s="3"/>
      <c r="E232" s="3"/>
      <c r="F232" s="3"/>
      <c r="G232" s="3"/>
      <c r="H232" s="3"/>
      <c r="I232" s="3"/>
      <c r="J232" s="3"/>
      <c r="K232" s="14"/>
      <c r="N232">
        <f>IF(D232="Lawful",2,IF(D232="Neutral",1,IF(D232="Chaotic",0,0)))</f>
        <v>0</v>
      </c>
      <c r="O232">
        <f>IF(Overall!$D$4="Lawful",2,IF(Overall!$D$4="Neutral",1,IF(Overall!$D$4="Chaotic",0,0)))</f>
        <v>1</v>
      </c>
      <c r="P232">
        <f>IF(F232="Good",2,IF(F232="Neutral",1,IF(F232="Evil",0,0)))</f>
        <v>0</v>
      </c>
      <c r="Q232">
        <f>IF(Overall!$F$4="Good",2,IF(Overall!$F$4="Neutral",1,IF(Overall!$F$4="Evil",0,0)))</f>
        <v>2</v>
      </c>
      <c r="S232">
        <f>ABS(N232-O232)</f>
        <v>1</v>
      </c>
      <c r="T232">
        <f>ABS(P232-Q232)</f>
        <v>2</v>
      </c>
      <c r="V232">
        <f>IF(S232=0,0,IF(S232=1,5,IF(S232=2,15,0)))</f>
        <v>5</v>
      </c>
      <c r="W232">
        <f>IF(T232=0,0,IF(T232=1,5,IF(T232=2,15,0)))</f>
        <v>15</v>
      </c>
    </row>
    <row r="233" spans="1:32" ht="15.75" thickBot="1" x14ac:dyDescent="0.3">
      <c r="A233" s="15"/>
      <c r="B233" s="440" t="s">
        <v>790</v>
      </c>
      <c r="C233" s="3"/>
      <c r="D233" s="769"/>
      <c r="E233" s="770"/>
      <c r="F233" s="770"/>
      <c r="G233" s="770"/>
      <c r="H233" s="770"/>
      <c r="I233" s="770"/>
      <c r="J233" s="771"/>
      <c r="K233" s="14"/>
      <c r="Y233">
        <f>IF(D233&lt;&gt;0,VLOOKUP(D233,'Drop Down'!$O$35:$U$40,7,FALSE),0)</f>
        <v>0</v>
      </c>
    </row>
    <row r="234" spans="1:32" ht="5.0999999999999996" customHeight="1" thickBot="1" x14ac:dyDescent="0.3">
      <c r="A234" s="15"/>
      <c r="B234" s="440"/>
      <c r="C234" s="3"/>
      <c r="D234" s="3"/>
      <c r="E234" s="3"/>
      <c r="F234" s="3"/>
      <c r="G234" s="3"/>
      <c r="H234" s="3"/>
      <c r="I234" s="3"/>
      <c r="J234" s="3"/>
      <c r="K234" s="14"/>
    </row>
    <row r="235" spans="1:32" ht="15.75" thickBot="1" x14ac:dyDescent="0.3">
      <c r="A235" s="15"/>
      <c r="B235" s="440" t="s">
        <v>784</v>
      </c>
      <c r="C235" s="3"/>
      <c r="D235" s="403"/>
      <c r="E235" s="3"/>
      <c r="F235" s="434" t="s">
        <v>1105</v>
      </c>
      <c r="G235" s="3"/>
      <c r="H235" s="403"/>
      <c r="I235" s="441"/>
      <c r="K235" s="14"/>
      <c r="Y235">
        <f>IF(D235&lt;&gt;0,VLOOKUP(D235,'Drop Down'!$O$26:$P$31,2,FALSE),0)</f>
        <v>0</v>
      </c>
      <c r="AA235">
        <f>IF(D237="Treaty",1,0)</f>
        <v>0</v>
      </c>
      <c r="AC235">
        <f>ROUNDDOWN(H235/10,0)-15</f>
        <v>-15</v>
      </c>
    </row>
    <row r="236" spans="1:32" ht="5.0999999999999996" customHeight="1" thickBot="1" x14ac:dyDescent="0.3">
      <c r="A236" s="15"/>
      <c r="B236" s="440"/>
      <c r="C236" s="3"/>
      <c r="D236" s="3"/>
      <c r="E236" s="3"/>
      <c r="F236" s="3"/>
      <c r="G236" s="3"/>
      <c r="H236" s="3"/>
      <c r="I236" s="3"/>
      <c r="K236" s="14"/>
    </row>
    <row r="237" spans="1:32" ht="15.75" thickBot="1" x14ac:dyDescent="0.3">
      <c r="A237" s="15"/>
      <c r="B237" s="440" t="s">
        <v>791</v>
      </c>
      <c r="C237" s="3"/>
      <c r="D237" s="403"/>
      <c r="E237" s="3"/>
      <c r="F237" s="29" t="s">
        <v>1106</v>
      </c>
      <c r="G237" s="3"/>
      <c r="H237" s="403"/>
      <c r="I237" s="3"/>
      <c r="K237" s="14"/>
      <c r="AA237">
        <f>IF(D237="Alliance",2,0)</f>
        <v>0</v>
      </c>
      <c r="AD237">
        <f>ROUNDDOWN(H237/10,0)-15</f>
        <v>-15</v>
      </c>
    </row>
    <row r="238" spans="1:32" ht="5.0999999999999996" customHeight="1" thickBot="1" x14ac:dyDescent="0.3">
      <c r="A238" s="15"/>
      <c r="B238" s="440"/>
      <c r="C238" s="3"/>
      <c r="D238" s="3"/>
      <c r="E238" s="3"/>
      <c r="F238" s="3"/>
      <c r="G238" s="3"/>
      <c r="H238" s="3"/>
      <c r="I238" s="3"/>
      <c r="J238" s="3"/>
      <c r="K238" s="14"/>
    </row>
    <row r="239" spans="1:32" ht="15.75" thickBot="1" x14ac:dyDescent="0.3">
      <c r="A239" s="15"/>
      <c r="B239" s="440" t="s">
        <v>802</v>
      </c>
      <c r="C239" s="3"/>
      <c r="D239" s="296">
        <f>10+Overall!$D$18+Y229+ROUNDDOWN(Overall!$J$4/5,0)+Y231+Y233+Y235-Overall!$D$16</f>
        <v>30</v>
      </c>
      <c r="E239" s="3"/>
      <c r="F239" s="698" t="s">
        <v>803</v>
      </c>
      <c r="G239" s="699"/>
      <c r="H239" s="699"/>
      <c r="I239" s="699"/>
      <c r="J239" s="700"/>
      <c r="K239" s="14"/>
      <c r="AA239">
        <f>AA237+AA235</f>
        <v>0</v>
      </c>
      <c r="AE239">
        <f>IF(AC235&lt;0,0,IF(AA239&gt;0,AC235,0))</f>
        <v>0</v>
      </c>
      <c r="AF239">
        <f>IF(AD237&lt;0,0,IF(AA239=2,AD237,0))</f>
        <v>0</v>
      </c>
    </row>
    <row r="240" spans="1:32" ht="5.0999999999999996" customHeight="1" thickBot="1" x14ac:dyDescent="0.3">
      <c r="A240" s="307"/>
      <c r="B240" s="2"/>
      <c r="C240" s="2"/>
      <c r="D240" s="2"/>
      <c r="E240" s="2"/>
      <c r="F240" s="2"/>
      <c r="G240" s="2"/>
      <c r="H240" s="2"/>
      <c r="I240" s="2"/>
      <c r="J240" s="2"/>
      <c r="K240" s="24"/>
      <c r="N240">
        <f>IF(D240="Lawful",2,IF(D240="Neutral",1,IF(D240="Chaotic",0,0)))</f>
        <v>0</v>
      </c>
      <c r="O240">
        <f>IF(Overall!$D$4="Lawful",2,IF(Overall!$D$4="Neutral",1,IF(Overall!$D$4="Chaotic",0,0)))</f>
        <v>1</v>
      </c>
      <c r="P240">
        <f>IF(F240="Good",2,IF(F240="Neutral",1,IF(F240="Evil",0,0)))</f>
        <v>0</v>
      </c>
      <c r="Q240">
        <f>IF(Overall!$F$4="Good",2,IF(Overall!$F$4="Neutral",1,IF(Overall!$F$4="Evil",0,0)))</f>
        <v>2</v>
      </c>
      <c r="S240">
        <f>ABS(N240-O240)</f>
        <v>1</v>
      </c>
      <c r="T240">
        <f>ABS(P240-Q240)</f>
        <v>2</v>
      </c>
      <c r="V240">
        <f>IF(S240=0,0,IF(S240=1,5,IF(S240=2,15,0)))</f>
        <v>5</v>
      </c>
      <c r="W240">
        <f>IF(T240=0,0,IF(T240=1,5,IF(T240=2,15,0)))</f>
        <v>15</v>
      </c>
    </row>
    <row r="241" spans="1:32" ht="5.0999999999999996" customHeight="1" thickBot="1" x14ac:dyDescent="0.3">
      <c r="A241" s="9"/>
      <c r="B241" s="11"/>
      <c r="C241" s="11"/>
      <c r="D241" s="11"/>
      <c r="E241" s="11"/>
      <c r="F241" s="11"/>
      <c r="G241" s="11"/>
      <c r="H241" s="11"/>
      <c r="I241" s="11"/>
      <c r="J241" s="11"/>
      <c r="K241" s="12"/>
      <c r="N241">
        <f>IF(D241="Lawful",2,IF(D241="Neutral",1,IF(D241="Chaotic",0,0)))</f>
        <v>0</v>
      </c>
      <c r="O241">
        <f>IF(Overall!$D$4="Lawful",2,IF(Overall!$D$4="Neutral",1,IF(Overall!$D$4="Chaotic",0,0)))</f>
        <v>1</v>
      </c>
      <c r="P241">
        <f>IF(F241="Good",2,IF(F241="Neutral",1,IF(F241="Evil",0,0)))</f>
        <v>0</v>
      </c>
      <c r="Q241">
        <f>IF(Overall!$F$4="Good",2,IF(Overall!$F$4="Neutral",1,IF(Overall!$F$4="Evil",0,0)))</f>
        <v>2</v>
      </c>
      <c r="S241">
        <f>ABS(N241-O241)</f>
        <v>1</v>
      </c>
      <c r="T241">
        <f>ABS(P241-Q241)</f>
        <v>2</v>
      </c>
      <c r="V241">
        <f>IF(S241=0,0,IF(S241=1,5,IF(S241=2,15,0)))</f>
        <v>5</v>
      </c>
      <c r="W241">
        <f>IF(T241=0,0,IF(T241=1,5,IF(T241=2,15,0)))</f>
        <v>15</v>
      </c>
    </row>
    <row r="242" spans="1:32" ht="15.75" thickBot="1" x14ac:dyDescent="0.3">
      <c r="A242" s="15"/>
      <c r="B242" s="402" t="s">
        <v>47</v>
      </c>
      <c r="C242" s="3"/>
      <c r="D242" s="766"/>
      <c r="E242" s="767"/>
      <c r="F242" s="767"/>
      <c r="G242" s="767"/>
      <c r="H242" s="767"/>
      <c r="I242" s="767"/>
      <c r="J242" s="768"/>
      <c r="K242" s="14"/>
    </row>
    <row r="243" spans="1:32" ht="5.0999999999999996" customHeight="1" thickBot="1" x14ac:dyDescent="0.3">
      <c r="A243" s="15"/>
      <c r="B243" s="3"/>
      <c r="C243" s="3"/>
      <c r="D243" s="3"/>
      <c r="E243" s="3"/>
      <c r="F243" s="3"/>
      <c r="G243" s="3"/>
      <c r="H243" s="3"/>
      <c r="I243" s="3"/>
      <c r="J243" s="3"/>
      <c r="K243" s="14"/>
    </row>
    <row r="244" spans="1:32" ht="15.75" thickBot="1" x14ac:dyDescent="0.3">
      <c r="A244" s="15"/>
      <c r="B244" s="402" t="s">
        <v>238</v>
      </c>
      <c r="C244" s="3"/>
      <c r="D244" s="403"/>
      <c r="E244" s="3"/>
      <c r="F244" s="3"/>
      <c r="G244" s="3"/>
      <c r="H244" s="3"/>
      <c r="I244" s="3"/>
      <c r="J244" s="3"/>
      <c r="K244" s="14"/>
      <c r="Y244">
        <f>ROUNDDOWN(D244/5,0)</f>
        <v>0</v>
      </c>
    </row>
    <row r="245" spans="1:32" ht="5.0999999999999996" customHeight="1" thickBot="1" x14ac:dyDescent="0.3">
      <c r="A245" s="15"/>
      <c r="B245" s="3"/>
      <c r="C245" s="3"/>
      <c r="D245" s="3"/>
      <c r="E245" s="3"/>
      <c r="F245" s="3"/>
      <c r="G245" s="3"/>
      <c r="H245" s="3"/>
      <c r="I245" s="3"/>
      <c r="J245" s="3"/>
      <c r="K245" s="14"/>
    </row>
    <row r="246" spans="1:32" ht="15.75" thickBot="1" x14ac:dyDescent="0.3">
      <c r="A246" s="15"/>
      <c r="B246" s="440" t="s">
        <v>48</v>
      </c>
      <c r="C246" s="3"/>
      <c r="D246" s="403"/>
      <c r="E246" s="3"/>
      <c r="F246" s="403"/>
      <c r="G246" s="3"/>
      <c r="H246" s="3"/>
      <c r="I246" s="3"/>
      <c r="J246" s="3"/>
      <c r="K246" s="14"/>
      <c r="N246">
        <f>IF(D246="Lawful",2,IF(D246="Neutral",1,IF(D246="Chaotic",0,0)))</f>
        <v>0</v>
      </c>
      <c r="O246">
        <f>IF(Overall!$D$4="Lawful",2,IF(Overall!$D$4="Neutral",1,IF(Overall!$D$4="Chaotic",0,0)))</f>
        <v>1</v>
      </c>
      <c r="P246">
        <f>IF(F246="Good",2,IF(F246="Neutral",1,IF(F246="Evil",0,0)))</f>
        <v>0</v>
      </c>
      <c r="Q246">
        <f>IF(Overall!$F$4="Good",2,IF(Overall!$F$4="Neutral",1,IF(Overall!$F$4="Evil",0,0)))</f>
        <v>2</v>
      </c>
      <c r="S246">
        <f>ABS(N246-O246)</f>
        <v>1</v>
      </c>
      <c r="T246">
        <f>ABS(P246-Q246)</f>
        <v>2</v>
      </c>
      <c r="V246">
        <f>IF(S246=0,0,IF(S246=1,5,IF(S246=2,15,0)))</f>
        <v>5</v>
      </c>
      <c r="W246">
        <f>IF(T246=0,0,IF(T246=1,5,IF(T246=2,15,0)))</f>
        <v>15</v>
      </c>
      <c r="Y246">
        <f>SUM(V246:W246)</f>
        <v>20</v>
      </c>
    </row>
    <row r="247" spans="1:32" ht="5.0999999999999996" customHeight="1" thickBot="1" x14ac:dyDescent="0.3">
      <c r="A247" s="15"/>
      <c r="B247" s="440"/>
      <c r="C247" s="3"/>
      <c r="D247" s="3"/>
      <c r="E247" s="3"/>
      <c r="F247" s="3"/>
      <c r="G247" s="3"/>
      <c r="H247" s="3"/>
      <c r="I247" s="3"/>
      <c r="J247" s="3"/>
      <c r="K247" s="14"/>
      <c r="N247">
        <f>IF(D247="Lawful",2,IF(D247="Neutral",1,IF(D247="Chaotic",0,0)))</f>
        <v>0</v>
      </c>
      <c r="O247">
        <f>IF(Overall!$D$4="Lawful",2,IF(Overall!$D$4="Neutral",1,IF(Overall!$D$4="Chaotic",0,0)))</f>
        <v>1</v>
      </c>
      <c r="P247">
        <f>IF(F247="Good",2,IF(F247="Neutral",1,IF(F247="Evil",0,0)))</f>
        <v>0</v>
      </c>
      <c r="Q247">
        <f>IF(Overall!$F$4="Good",2,IF(Overall!$F$4="Neutral",1,IF(Overall!$F$4="Evil",0,0)))</f>
        <v>2</v>
      </c>
      <c r="S247">
        <f>ABS(N247-O247)</f>
        <v>1</v>
      </c>
      <c r="T247">
        <f>ABS(P247-Q247)</f>
        <v>2</v>
      </c>
      <c r="V247">
        <f>IF(S247=0,0,IF(S247=1,5,IF(S247=2,15,0)))</f>
        <v>5</v>
      </c>
      <c r="W247">
        <f>IF(T247=0,0,IF(T247=1,5,IF(T247=2,15,0)))</f>
        <v>15</v>
      </c>
    </row>
    <row r="248" spans="1:32" ht="15.75" thickBot="1" x14ac:dyDescent="0.3">
      <c r="A248" s="15"/>
      <c r="B248" s="440" t="s">
        <v>790</v>
      </c>
      <c r="C248" s="3"/>
      <c r="D248" s="769"/>
      <c r="E248" s="770"/>
      <c r="F248" s="770"/>
      <c r="G248" s="770"/>
      <c r="H248" s="770"/>
      <c r="I248" s="770"/>
      <c r="J248" s="771"/>
      <c r="K248" s="14"/>
      <c r="Y248">
        <f>IF(D248&lt;&gt;0,VLOOKUP(D248,'Drop Down'!$O$35:$U$40,7,FALSE),0)</f>
        <v>0</v>
      </c>
    </row>
    <row r="249" spans="1:32" ht="5.0999999999999996" customHeight="1" thickBot="1" x14ac:dyDescent="0.3">
      <c r="A249" s="15"/>
      <c r="B249" s="440"/>
      <c r="C249" s="3"/>
      <c r="D249" s="3"/>
      <c r="E249" s="3"/>
      <c r="F249" s="3"/>
      <c r="G249" s="3"/>
      <c r="H249" s="3"/>
      <c r="I249" s="3"/>
      <c r="J249" s="3"/>
      <c r="K249" s="14"/>
    </row>
    <row r="250" spans="1:32" ht="15.75" thickBot="1" x14ac:dyDescent="0.3">
      <c r="A250" s="15"/>
      <c r="B250" s="440" t="s">
        <v>784</v>
      </c>
      <c r="C250" s="3"/>
      <c r="D250" s="403"/>
      <c r="E250" s="3"/>
      <c r="F250" s="434" t="s">
        <v>1105</v>
      </c>
      <c r="G250" s="3"/>
      <c r="H250" s="403"/>
      <c r="I250" s="441"/>
      <c r="K250" s="14"/>
      <c r="Y250">
        <f>IF(D250&lt;&gt;0,VLOOKUP(D250,'Drop Down'!$O$26:$P$31,2,FALSE),0)</f>
        <v>0</v>
      </c>
      <c r="AA250">
        <f>IF(D252="Treaty",1,0)</f>
        <v>0</v>
      </c>
      <c r="AC250">
        <f>ROUNDDOWN(H250/10,0)-16</f>
        <v>-16</v>
      </c>
    </row>
    <row r="251" spans="1:32" ht="5.0999999999999996" customHeight="1" thickBot="1" x14ac:dyDescent="0.3">
      <c r="A251" s="15"/>
      <c r="B251" s="440"/>
      <c r="C251" s="3"/>
      <c r="D251" s="3"/>
      <c r="E251" s="3"/>
      <c r="F251" s="3"/>
      <c r="G251" s="3"/>
      <c r="H251" s="3"/>
      <c r="I251" s="3"/>
      <c r="K251" s="14"/>
    </row>
    <row r="252" spans="1:32" ht="15.75" thickBot="1" x14ac:dyDescent="0.3">
      <c r="A252" s="15"/>
      <c r="B252" s="440" t="s">
        <v>791</v>
      </c>
      <c r="C252" s="3"/>
      <c r="D252" s="403"/>
      <c r="E252" s="3"/>
      <c r="F252" s="29" t="s">
        <v>1106</v>
      </c>
      <c r="G252" s="3"/>
      <c r="H252" s="403"/>
      <c r="I252" s="3"/>
      <c r="K252" s="14"/>
      <c r="AA252">
        <f>IF(D252="Alliance",2,0)</f>
        <v>0</v>
      </c>
      <c r="AD252">
        <f>ROUNDDOWN(H252/10,0)-16</f>
        <v>-16</v>
      </c>
    </row>
    <row r="253" spans="1:32" ht="5.0999999999999996" customHeight="1" thickBot="1" x14ac:dyDescent="0.3">
      <c r="A253" s="15"/>
      <c r="B253" s="440"/>
      <c r="C253" s="3"/>
      <c r="D253" s="3"/>
      <c r="E253" s="3"/>
      <c r="F253" s="3"/>
      <c r="G253" s="3"/>
      <c r="H253" s="3"/>
      <c r="I253" s="3"/>
      <c r="J253" s="3"/>
      <c r="K253" s="14"/>
    </row>
    <row r="254" spans="1:32" ht="15.75" thickBot="1" x14ac:dyDescent="0.3">
      <c r="A254" s="15"/>
      <c r="B254" s="440" t="s">
        <v>802</v>
      </c>
      <c r="C254" s="3"/>
      <c r="D254" s="296">
        <f>10+Overall!$D$18+Y244+ROUNDDOWN(Overall!$J$4/5,0)+Y246+Y248+Y250-Overall!$D$16</f>
        <v>30</v>
      </c>
      <c r="E254" s="3"/>
      <c r="F254" s="698" t="s">
        <v>803</v>
      </c>
      <c r="G254" s="699"/>
      <c r="H254" s="699"/>
      <c r="I254" s="699"/>
      <c r="J254" s="700"/>
      <c r="K254" s="14"/>
      <c r="AA254">
        <f>AA252+AA250</f>
        <v>0</v>
      </c>
      <c r="AE254">
        <f>IF(AC250&lt;0,0,IF(AA254&gt;0,AC250,0))</f>
        <v>0</v>
      </c>
      <c r="AF254">
        <f>IF(AD252&lt;0,0,IF(AA254=2,AD252,0))</f>
        <v>0</v>
      </c>
    </row>
    <row r="255" spans="1:32" ht="5.0999999999999996" customHeight="1" thickBot="1" x14ac:dyDescent="0.3">
      <c r="A255" s="307"/>
      <c r="B255" s="2"/>
      <c r="C255" s="2"/>
      <c r="D255" s="2"/>
      <c r="E255" s="2"/>
      <c r="F255" s="2"/>
      <c r="G255" s="2"/>
      <c r="H255" s="2"/>
      <c r="I255" s="2"/>
      <c r="J255" s="2"/>
      <c r="K255" s="24"/>
      <c r="N255">
        <f>IF(D255="Lawful",2,IF(D255="Neutral",1,IF(D255="Chaotic",0,0)))</f>
        <v>0</v>
      </c>
      <c r="O255">
        <f>IF(Overall!$D$4="Lawful",2,IF(Overall!$D$4="Neutral",1,IF(Overall!$D$4="Chaotic",0,0)))</f>
        <v>1</v>
      </c>
      <c r="P255">
        <f>IF(F255="Good",2,IF(F255="Neutral",1,IF(F255="Evil",0,0)))</f>
        <v>0</v>
      </c>
      <c r="Q255">
        <f>IF(Overall!$F$4="Good",2,IF(Overall!$F$4="Neutral",1,IF(Overall!$F$4="Evil",0,0)))</f>
        <v>2</v>
      </c>
      <c r="S255">
        <f>ABS(N255-O255)</f>
        <v>1</v>
      </c>
      <c r="T255">
        <f>ABS(P255-Q255)</f>
        <v>2</v>
      </c>
      <c r="V255">
        <f>IF(S255=0,0,IF(S255=1,5,IF(S255=2,15,0)))</f>
        <v>5</v>
      </c>
      <c r="W255">
        <f>IF(T255=0,0,IF(T255=1,5,IF(T255=2,15,0)))</f>
        <v>15</v>
      </c>
    </row>
    <row r="256" spans="1:32" ht="5.0999999999999996" customHeight="1" thickBot="1" x14ac:dyDescent="0.3">
      <c r="A256" s="9"/>
      <c r="B256" s="11"/>
      <c r="C256" s="11"/>
      <c r="D256" s="11"/>
      <c r="E256" s="11"/>
      <c r="F256" s="11"/>
      <c r="G256" s="11"/>
      <c r="H256" s="11"/>
      <c r="I256" s="11"/>
      <c r="J256" s="11"/>
      <c r="K256" s="12"/>
      <c r="N256">
        <f>IF(D256="Lawful",2,IF(D256="Neutral",1,IF(D256="Chaotic",0,0)))</f>
        <v>0</v>
      </c>
      <c r="O256">
        <f>IF(Overall!$D$4="Lawful",2,IF(Overall!$D$4="Neutral",1,IF(Overall!$D$4="Chaotic",0,0)))</f>
        <v>1</v>
      </c>
      <c r="P256">
        <f>IF(F256="Good",2,IF(F256="Neutral",1,IF(F256="Evil",0,0)))</f>
        <v>0</v>
      </c>
      <c r="Q256">
        <f>IF(Overall!$F$4="Good",2,IF(Overall!$F$4="Neutral",1,IF(Overall!$F$4="Evil",0,0)))</f>
        <v>2</v>
      </c>
      <c r="S256">
        <f>ABS(N256-O256)</f>
        <v>1</v>
      </c>
      <c r="T256">
        <f>ABS(P256-Q256)</f>
        <v>2</v>
      </c>
      <c r="V256">
        <f>IF(S256=0,0,IF(S256=1,5,IF(S256=2,15,0)))</f>
        <v>5</v>
      </c>
      <c r="W256">
        <f>IF(T256=0,0,IF(T256=1,5,IF(T256=2,15,0)))</f>
        <v>15</v>
      </c>
    </row>
    <row r="257" spans="1:32" ht="15.75" thickBot="1" x14ac:dyDescent="0.3">
      <c r="A257" s="15"/>
      <c r="B257" s="402" t="s">
        <v>47</v>
      </c>
      <c r="C257" s="3"/>
      <c r="D257" s="766"/>
      <c r="E257" s="767"/>
      <c r="F257" s="767"/>
      <c r="G257" s="767"/>
      <c r="H257" s="767"/>
      <c r="I257" s="767"/>
      <c r="J257" s="768"/>
      <c r="K257" s="14"/>
    </row>
    <row r="258" spans="1:32" ht="5.0999999999999996" customHeight="1" thickBot="1" x14ac:dyDescent="0.3">
      <c r="A258" s="15"/>
      <c r="B258" s="3"/>
      <c r="C258" s="3"/>
      <c r="D258" s="3"/>
      <c r="E258" s="3"/>
      <c r="F258" s="3"/>
      <c r="G258" s="3"/>
      <c r="H258" s="3"/>
      <c r="I258" s="3"/>
      <c r="J258" s="3"/>
      <c r="K258" s="14"/>
    </row>
    <row r="259" spans="1:32" ht="15.75" thickBot="1" x14ac:dyDescent="0.3">
      <c r="A259" s="15"/>
      <c r="B259" s="402" t="s">
        <v>238</v>
      </c>
      <c r="C259" s="3"/>
      <c r="D259" s="403"/>
      <c r="E259" s="3"/>
      <c r="F259" s="3"/>
      <c r="G259" s="3"/>
      <c r="H259" s="3"/>
      <c r="I259" s="3"/>
      <c r="J259" s="3"/>
      <c r="K259" s="14"/>
      <c r="Y259">
        <f>ROUNDDOWN(D259/5,0)</f>
        <v>0</v>
      </c>
    </row>
    <row r="260" spans="1:32" ht="5.0999999999999996" customHeight="1" thickBot="1" x14ac:dyDescent="0.3">
      <c r="A260" s="15"/>
      <c r="B260" s="3"/>
      <c r="C260" s="3"/>
      <c r="D260" s="3"/>
      <c r="E260" s="3"/>
      <c r="F260" s="3"/>
      <c r="G260" s="3"/>
      <c r="H260" s="3"/>
      <c r="I260" s="3"/>
      <c r="J260" s="3"/>
      <c r="K260" s="14"/>
    </row>
    <row r="261" spans="1:32" ht="15.75" thickBot="1" x14ac:dyDescent="0.3">
      <c r="A261" s="15"/>
      <c r="B261" s="440" t="s">
        <v>48</v>
      </c>
      <c r="C261" s="3"/>
      <c r="D261" s="403"/>
      <c r="E261" s="3"/>
      <c r="F261" s="403"/>
      <c r="G261" s="3"/>
      <c r="H261" s="3"/>
      <c r="I261" s="3"/>
      <c r="J261" s="3"/>
      <c r="K261" s="14"/>
      <c r="N261">
        <f>IF(D261="Lawful",2,IF(D261="Neutral",1,IF(D261="Chaotic",0,0)))</f>
        <v>0</v>
      </c>
      <c r="O261">
        <f>IF(Overall!$D$4="Lawful",2,IF(Overall!$D$4="Neutral",1,IF(Overall!$D$4="Chaotic",0,0)))</f>
        <v>1</v>
      </c>
      <c r="P261">
        <f>IF(F261="Good",2,IF(F261="Neutral",1,IF(F261="Evil",0,0)))</f>
        <v>0</v>
      </c>
      <c r="Q261">
        <f>IF(Overall!$F$4="Good",2,IF(Overall!$F$4="Neutral",1,IF(Overall!$F$4="Evil",0,0)))</f>
        <v>2</v>
      </c>
      <c r="S261">
        <f>ABS(N261-O261)</f>
        <v>1</v>
      </c>
      <c r="T261">
        <f>ABS(P261-Q261)</f>
        <v>2</v>
      </c>
      <c r="V261">
        <f>IF(S261=0,0,IF(S261=1,5,IF(S261=2,15,0)))</f>
        <v>5</v>
      </c>
      <c r="W261">
        <f>IF(T261=0,0,IF(T261=1,5,IF(T261=2,15,0)))</f>
        <v>15</v>
      </c>
      <c r="Y261">
        <f>SUM(V261:W261)</f>
        <v>20</v>
      </c>
    </row>
    <row r="262" spans="1:32" ht="5.0999999999999996" customHeight="1" thickBot="1" x14ac:dyDescent="0.3">
      <c r="A262" s="15"/>
      <c r="B262" s="440"/>
      <c r="C262" s="3"/>
      <c r="D262" s="3"/>
      <c r="E262" s="3"/>
      <c r="F262" s="3"/>
      <c r="G262" s="3"/>
      <c r="H262" s="3"/>
      <c r="I262" s="3"/>
      <c r="J262" s="3"/>
      <c r="K262" s="14"/>
      <c r="N262">
        <f>IF(D262="Lawful",2,IF(D262="Neutral",1,IF(D262="Chaotic",0,0)))</f>
        <v>0</v>
      </c>
      <c r="O262">
        <f>IF(Overall!$D$4="Lawful",2,IF(Overall!$D$4="Neutral",1,IF(Overall!$D$4="Chaotic",0,0)))</f>
        <v>1</v>
      </c>
      <c r="P262">
        <f>IF(F262="Good",2,IF(F262="Neutral",1,IF(F262="Evil",0,0)))</f>
        <v>0</v>
      </c>
      <c r="Q262">
        <f>IF(Overall!$F$4="Good",2,IF(Overall!$F$4="Neutral",1,IF(Overall!$F$4="Evil",0,0)))</f>
        <v>2</v>
      </c>
      <c r="S262">
        <f>ABS(N262-O262)</f>
        <v>1</v>
      </c>
      <c r="T262">
        <f>ABS(P262-Q262)</f>
        <v>2</v>
      </c>
      <c r="V262">
        <f>IF(S262=0,0,IF(S262=1,5,IF(S262=2,15,0)))</f>
        <v>5</v>
      </c>
      <c r="W262">
        <f>IF(T262=0,0,IF(T262=1,5,IF(T262=2,15,0)))</f>
        <v>15</v>
      </c>
    </row>
    <row r="263" spans="1:32" ht="15.75" thickBot="1" x14ac:dyDescent="0.3">
      <c r="A263" s="15"/>
      <c r="B263" s="440" t="s">
        <v>790</v>
      </c>
      <c r="C263" s="3"/>
      <c r="D263" s="769"/>
      <c r="E263" s="770"/>
      <c r="F263" s="770"/>
      <c r="G263" s="770"/>
      <c r="H263" s="770"/>
      <c r="I263" s="770"/>
      <c r="J263" s="771"/>
      <c r="K263" s="14"/>
      <c r="Y263">
        <f>IF(D263&lt;&gt;0,VLOOKUP(D263,'Drop Down'!$O$35:$U$40,7,FALSE),0)</f>
        <v>0</v>
      </c>
    </row>
    <row r="264" spans="1:32" ht="5.0999999999999996" customHeight="1" thickBot="1" x14ac:dyDescent="0.3">
      <c r="A264" s="15"/>
      <c r="B264" s="440"/>
      <c r="C264" s="3"/>
      <c r="D264" s="3"/>
      <c r="E264" s="3"/>
      <c r="F264" s="3"/>
      <c r="G264" s="3"/>
      <c r="H264" s="3"/>
      <c r="I264" s="3"/>
      <c r="J264" s="3"/>
      <c r="K264" s="14"/>
    </row>
    <row r="265" spans="1:32" ht="15.75" customHeight="1" thickBot="1" x14ac:dyDescent="0.3">
      <c r="A265" s="15"/>
      <c r="B265" s="440" t="s">
        <v>784</v>
      </c>
      <c r="C265" s="3"/>
      <c r="D265" s="403"/>
      <c r="E265" s="3"/>
      <c r="F265" s="434" t="s">
        <v>1105</v>
      </c>
      <c r="G265" s="3"/>
      <c r="H265" s="403"/>
      <c r="I265" s="441"/>
      <c r="K265" s="14"/>
      <c r="Y265">
        <f>IF(D265&lt;&gt;0,VLOOKUP(D265,'Drop Down'!$O$26:$P$31,2,FALSE),0)</f>
        <v>0</v>
      </c>
      <c r="AA265">
        <f>IF(D267="Treaty",1,0)</f>
        <v>0</v>
      </c>
      <c r="AC265">
        <f>ROUNDDOWN(H265/10,0)-17</f>
        <v>-17</v>
      </c>
    </row>
    <row r="266" spans="1:32" ht="5.0999999999999996" customHeight="1" thickBot="1" x14ac:dyDescent="0.3">
      <c r="A266" s="15"/>
      <c r="B266" s="440"/>
      <c r="C266" s="3"/>
      <c r="D266" s="3"/>
      <c r="E266" s="3"/>
      <c r="F266" s="3"/>
      <c r="G266" s="3"/>
      <c r="H266" s="3"/>
      <c r="I266" s="3"/>
      <c r="K266" s="14"/>
    </row>
    <row r="267" spans="1:32" ht="15.75" thickBot="1" x14ac:dyDescent="0.3">
      <c r="A267" s="15"/>
      <c r="B267" s="440" t="s">
        <v>791</v>
      </c>
      <c r="C267" s="3"/>
      <c r="D267" s="403"/>
      <c r="E267" s="3"/>
      <c r="F267" s="29" t="s">
        <v>1106</v>
      </c>
      <c r="G267" s="3"/>
      <c r="H267" s="403"/>
      <c r="I267" s="3"/>
      <c r="K267" s="14"/>
      <c r="AA267">
        <f>IF(D267="Alliance",2,0)</f>
        <v>0</v>
      </c>
      <c r="AD267">
        <f>ROUNDDOWN(H267/10,0)-17</f>
        <v>-17</v>
      </c>
    </row>
    <row r="268" spans="1:32" ht="5.0999999999999996" customHeight="1" thickBot="1" x14ac:dyDescent="0.3">
      <c r="A268" s="15"/>
      <c r="B268" s="440"/>
      <c r="C268" s="3"/>
      <c r="D268" s="3"/>
      <c r="E268" s="3"/>
      <c r="F268" s="3"/>
      <c r="G268" s="3"/>
      <c r="H268" s="3"/>
      <c r="I268" s="3"/>
      <c r="J268" s="3"/>
      <c r="K268" s="14"/>
    </row>
    <row r="269" spans="1:32" ht="15.75" thickBot="1" x14ac:dyDescent="0.3">
      <c r="A269" s="15"/>
      <c r="B269" s="440" t="s">
        <v>802</v>
      </c>
      <c r="C269" s="3"/>
      <c r="D269" s="296">
        <f>10+Overall!$D$18+Y259+ROUNDDOWN(Overall!$J$4/5,0)+Y261+Y263+Y265-Overall!$D$16</f>
        <v>30</v>
      </c>
      <c r="E269" s="3"/>
      <c r="F269" s="698" t="s">
        <v>803</v>
      </c>
      <c r="G269" s="699"/>
      <c r="H269" s="699"/>
      <c r="I269" s="699"/>
      <c r="J269" s="700"/>
      <c r="K269" s="14"/>
      <c r="AA269">
        <f>AA267+AA265</f>
        <v>0</v>
      </c>
      <c r="AE269">
        <f>IF(AC265&lt;0,0,IF(AA269&gt;0,AC265,0))</f>
        <v>0</v>
      </c>
      <c r="AF269">
        <f>IF(AD267&lt;0,0,IF(AA269=2,AD267,0))</f>
        <v>0</v>
      </c>
    </row>
    <row r="270" spans="1:32" ht="5.0999999999999996" customHeight="1" thickBot="1" x14ac:dyDescent="0.3">
      <c r="A270" s="307"/>
      <c r="B270" s="2"/>
      <c r="C270" s="2"/>
      <c r="D270" s="2"/>
      <c r="E270" s="2"/>
      <c r="F270" s="2"/>
      <c r="G270" s="2"/>
      <c r="H270" s="2"/>
      <c r="I270" s="2"/>
      <c r="J270" s="2"/>
      <c r="K270" s="24"/>
      <c r="N270">
        <f>IF(D270="Lawful",2,IF(D270="Neutral",1,IF(D270="Chaotic",0,0)))</f>
        <v>0</v>
      </c>
      <c r="O270">
        <f>IF(Overall!$D$4="Lawful",2,IF(Overall!$D$4="Neutral",1,IF(Overall!$D$4="Chaotic",0,0)))</f>
        <v>1</v>
      </c>
      <c r="P270">
        <f>IF(F270="Good",2,IF(F270="Neutral",1,IF(F270="Evil",0,0)))</f>
        <v>0</v>
      </c>
      <c r="Q270">
        <f>IF(Overall!$F$4="Good",2,IF(Overall!$F$4="Neutral",1,IF(Overall!$F$4="Evil",0,0)))</f>
        <v>2</v>
      </c>
      <c r="S270">
        <f>ABS(N270-O270)</f>
        <v>1</v>
      </c>
      <c r="T270">
        <f>ABS(P270-Q270)</f>
        <v>2</v>
      </c>
      <c r="V270">
        <f>IF(S270=0,0,IF(S270=1,5,IF(S270=2,15,0)))</f>
        <v>5</v>
      </c>
      <c r="W270">
        <f>IF(T270=0,0,IF(T270=1,5,IF(T270=2,15,0)))</f>
        <v>15</v>
      </c>
    </row>
    <row r="271" spans="1:32" ht="5.0999999999999996" customHeight="1" thickBot="1" x14ac:dyDescent="0.3">
      <c r="A271" s="9"/>
      <c r="B271" s="11"/>
      <c r="C271" s="11"/>
      <c r="D271" s="11"/>
      <c r="E271" s="11"/>
      <c r="F271" s="11"/>
      <c r="G271" s="11"/>
      <c r="H271" s="11"/>
      <c r="I271" s="11"/>
      <c r="J271" s="11"/>
      <c r="K271" s="12"/>
      <c r="N271">
        <f>IF(D271="Lawful",2,IF(D271="Neutral",1,IF(D271="Chaotic",0,0)))</f>
        <v>0</v>
      </c>
      <c r="O271">
        <f>IF(Overall!$D$4="Lawful",2,IF(Overall!$D$4="Neutral",1,IF(Overall!$D$4="Chaotic",0,0)))</f>
        <v>1</v>
      </c>
      <c r="P271">
        <f>IF(F271="Good",2,IF(F271="Neutral",1,IF(F271="Evil",0,0)))</f>
        <v>0</v>
      </c>
      <c r="Q271">
        <f>IF(Overall!$F$4="Good",2,IF(Overall!$F$4="Neutral",1,IF(Overall!$F$4="Evil",0,0)))</f>
        <v>2</v>
      </c>
      <c r="S271">
        <f>ABS(N271-O271)</f>
        <v>1</v>
      </c>
      <c r="T271">
        <f>ABS(P271-Q271)</f>
        <v>2</v>
      </c>
      <c r="V271">
        <f>IF(S271=0,0,IF(S271=1,5,IF(S271=2,15,0)))</f>
        <v>5</v>
      </c>
      <c r="W271">
        <f>IF(T271=0,0,IF(T271=1,5,IF(T271=2,15,0)))</f>
        <v>15</v>
      </c>
    </row>
    <row r="272" spans="1:32" ht="15.75" thickBot="1" x14ac:dyDescent="0.3">
      <c r="A272" s="15"/>
      <c r="B272" s="402" t="s">
        <v>47</v>
      </c>
      <c r="C272" s="3"/>
      <c r="D272" s="766"/>
      <c r="E272" s="767"/>
      <c r="F272" s="767"/>
      <c r="G272" s="767"/>
      <c r="H272" s="767"/>
      <c r="I272" s="767"/>
      <c r="J272" s="768"/>
      <c r="K272" s="14"/>
    </row>
    <row r="273" spans="1:32" ht="5.0999999999999996" customHeight="1" thickBot="1" x14ac:dyDescent="0.3">
      <c r="A273" s="15"/>
      <c r="B273" s="3"/>
      <c r="C273" s="3"/>
      <c r="D273" s="3"/>
      <c r="E273" s="3"/>
      <c r="F273" s="3"/>
      <c r="G273" s="3"/>
      <c r="H273" s="3"/>
      <c r="I273" s="3"/>
      <c r="J273" s="3"/>
      <c r="K273" s="14"/>
    </row>
    <row r="274" spans="1:32" ht="15.75" thickBot="1" x14ac:dyDescent="0.3">
      <c r="A274" s="15"/>
      <c r="B274" s="402" t="s">
        <v>238</v>
      </c>
      <c r="C274" s="3"/>
      <c r="D274" s="403"/>
      <c r="E274" s="3"/>
      <c r="F274" s="3"/>
      <c r="G274" s="3"/>
      <c r="H274" s="3"/>
      <c r="I274" s="3"/>
      <c r="J274" s="3"/>
      <c r="K274" s="14"/>
      <c r="Y274">
        <f>ROUNDDOWN(D274/5,0)</f>
        <v>0</v>
      </c>
    </row>
    <row r="275" spans="1:32" ht="5.0999999999999996" customHeight="1" thickBot="1" x14ac:dyDescent="0.3">
      <c r="A275" s="15"/>
      <c r="B275" s="3"/>
      <c r="C275" s="3"/>
      <c r="D275" s="3"/>
      <c r="E275" s="3"/>
      <c r="F275" s="3"/>
      <c r="G275" s="3"/>
      <c r="H275" s="3"/>
      <c r="I275" s="3"/>
      <c r="J275" s="3"/>
      <c r="K275" s="14"/>
    </row>
    <row r="276" spans="1:32" ht="15.75" thickBot="1" x14ac:dyDescent="0.3">
      <c r="A276" s="15"/>
      <c r="B276" s="440" t="s">
        <v>48</v>
      </c>
      <c r="C276" s="3"/>
      <c r="D276" s="403"/>
      <c r="E276" s="3"/>
      <c r="F276" s="403"/>
      <c r="G276" s="3"/>
      <c r="H276" s="3"/>
      <c r="I276" s="3"/>
      <c r="J276" s="3"/>
      <c r="K276" s="14"/>
      <c r="N276">
        <f>IF(D276="Lawful",2,IF(D276="Neutral",1,IF(D276="Chaotic",0,0)))</f>
        <v>0</v>
      </c>
      <c r="O276">
        <f>IF(Overall!$D$4="Lawful",2,IF(Overall!$D$4="Neutral",1,IF(Overall!$D$4="Chaotic",0,0)))</f>
        <v>1</v>
      </c>
      <c r="P276">
        <f>IF(F276="Good",2,IF(F276="Neutral",1,IF(F276="Evil",0,0)))</f>
        <v>0</v>
      </c>
      <c r="Q276">
        <f>IF(Overall!$F$4="Good",2,IF(Overall!$F$4="Neutral",1,IF(Overall!$F$4="Evil",0,0)))</f>
        <v>2</v>
      </c>
      <c r="S276">
        <f>ABS(N276-O276)</f>
        <v>1</v>
      </c>
      <c r="T276">
        <f>ABS(P276-Q276)</f>
        <v>2</v>
      </c>
      <c r="V276">
        <f>IF(S276=0,0,IF(S276=1,5,IF(S276=2,15,0)))</f>
        <v>5</v>
      </c>
      <c r="W276">
        <f>IF(T276=0,0,IF(T276=1,5,IF(T276=2,15,0)))</f>
        <v>15</v>
      </c>
      <c r="Y276">
        <f>SUM(V276:W276)</f>
        <v>20</v>
      </c>
    </row>
    <row r="277" spans="1:32" ht="5.0999999999999996" customHeight="1" thickBot="1" x14ac:dyDescent="0.3">
      <c r="A277" s="15"/>
      <c r="B277" s="440"/>
      <c r="C277" s="3"/>
      <c r="D277" s="3"/>
      <c r="E277" s="3"/>
      <c r="F277" s="3"/>
      <c r="G277" s="3"/>
      <c r="H277" s="3"/>
      <c r="I277" s="3"/>
      <c r="J277" s="3"/>
      <c r="K277" s="14"/>
      <c r="N277">
        <f>IF(D277="Lawful",2,IF(D277="Neutral",1,IF(D277="Chaotic",0,0)))</f>
        <v>0</v>
      </c>
      <c r="O277">
        <f>IF(Overall!$D$4="Lawful",2,IF(Overall!$D$4="Neutral",1,IF(Overall!$D$4="Chaotic",0,0)))</f>
        <v>1</v>
      </c>
      <c r="P277">
        <f>IF(F277="Good",2,IF(F277="Neutral",1,IF(F277="Evil",0,0)))</f>
        <v>0</v>
      </c>
      <c r="Q277">
        <f>IF(Overall!$F$4="Good",2,IF(Overall!$F$4="Neutral",1,IF(Overall!$F$4="Evil",0,0)))</f>
        <v>2</v>
      </c>
      <c r="S277">
        <f>ABS(N277-O277)</f>
        <v>1</v>
      </c>
      <c r="T277">
        <f>ABS(P277-Q277)</f>
        <v>2</v>
      </c>
      <c r="V277">
        <f>IF(S277=0,0,IF(S277=1,5,IF(S277=2,15,0)))</f>
        <v>5</v>
      </c>
      <c r="W277">
        <f>IF(T277=0,0,IF(T277=1,5,IF(T277=2,15,0)))</f>
        <v>15</v>
      </c>
    </row>
    <row r="278" spans="1:32" ht="15.75" thickBot="1" x14ac:dyDescent="0.3">
      <c r="A278" s="15"/>
      <c r="B278" s="440" t="s">
        <v>790</v>
      </c>
      <c r="C278" s="3"/>
      <c r="D278" s="769"/>
      <c r="E278" s="770"/>
      <c r="F278" s="770"/>
      <c r="G278" s="770"/>
      <c r="H278" s="770"/>
      <c r="I278" s="770"/>
      <c r="J278" s="771"/>
      <c r="K278" s="14"/>
      <c r="Y278">
        <f>IF(D278&lt;&gt;0,VLOOKUP(D278,'Drop Down'!$O$35:$U$40,7,FALSE),0)</f>
        <v>0</v>
      </c>
    </row>
    <row r="279" spans="1:32" ht="5.0999999999999996" customHeight="1" thickBot="1" x14ac:dyDescent="0.3">
      <c r="A279" s="15"/>
      <c r="B279" s="440"/>
      <c r="C279" s="3"/>
      <c r="D279" s="3"/>
      <c r="E279" s="3"/>
      <c r="F279" s="3"/>
      <c r="G279" s="3"/>
      <c r="H279" s="3"/>
      <c r="I279" s="3"/>
      <c r="J279" s="3"/>
      <c r="K279" s="14"/>
    </row>
    <row r="280" spans="1:32" ht="15.75" thickBot="1" x14ac:dyDescent="0.3">
      <c r="A280" s="15"/>
      <c r="B280" s="440" t="s">
        <v>784</v>
      </c>
      <c r="C280" s="3"/>
      <c r="D280" s="403"/>
      <c r="E280" s="3"/>
      <c r="F280" s="434" t="s">
        <v>1105</v>
      </c>
      <c r="G280" s="3"/>
      <c r="H280" s="403"/>
      <c r="I280" s="441"/>
      <c r="K280" s="14"/>
      <c r="Y280">
        <f>IF(D280&lt;&gt;0,VLOOKUP(D280,'Drop Down'!$O$26:$P$31,2,FALSE),0)</f>
        <v>0</v>
      </c>
      <c r="AA280">
        <f>IF(D282="Treaty",1,0)</f>
        <v>0</v>
      </c>
      <c r="AC280">
        <f>ROUNDDOWN(H280/10,0)-18</f>
        <v>-18</v>
      </c>
    </row>
    <row r="281" spans="1:32" ht="5.0999999999999996" customHeight="1" thickBot="1" x14ac:dyDescent="0.3">
      <c r="A281" s="15"/>
      <c r="B281" s="440"/>
      <c r="C281" s="3"/>
      <c r="D281" s="3"/>
      <c r="E281" s="3"/>
      <c r="F281" s="3"/>
      <c r="G281" s="3"/>
      <c r="H281" s="3"/>
      <c r="I281" s="3"/>
      <c r="K281" s="14"/>
    </row>
    <row r="282" spans="1:32" ht="15.75" thickBot="1" x14ac:dyDescent="0.3">
      <c r="A282" s="15"/>
      <c r="B282" s="440" t="s">
        <v>791</v>
      </c>
      <c r="C282" s="3"/>
      <c r="D282" s="403"/>
      <c r="E282" s="3"/>
      <c r="F282" s="29" t="s">
        <v>1106</v>
      </c>
      <c r="G282" s="3"/>
      <c r="H282" s="403"/>
      <c r="I282" s="3"/>
      <c r="K282" s="14"/>
      <c r="AA282">
        <f>IF(D282="Alliance",2,0)</f>
        <v>0</v>
      </c>
      <c r="AD282">
        <f>ROUNDDOWN(H282/10,0)-18</f>
        <v>-18</v>
      </c>
    </row>
    <row r="283" spans="1:32" ht="5.0999999999999996" customHeight="1" thickBot="1" x14ac:dyDescent="0.3">
      <c r="A283" s="15"/>
      <c r="B283" s="440"/>
      <c r="C283" s="3"/>
      <c r="D283" s="3"/>
      <c r="E283" s="3"/>
      <c r="F283" s="3"/>
      <c r="G283" s="3"/>
      <c r="H283" s="3"/>
      <c r="I283" s="3"/>
      <c r="J283" s="3"/>
      <c r="K283" s="14"/>
    </row>
    <row r="284" spans="1:32" ht="15.75" thickBot="1" x14ac:dyDescent="0.3">
      <c r="A284" s="15"/>
      <c r="B284" s="440" t="s">
        <v>802</v>
      </c>
      <c r="C284" s="3"/>
      <c r="D284" s="296">
        <f>10+Overall!$D$18+Y274+ROUNDDOWN(Overall!$J$4/5,0)+Y276+Y278+Y280-Overall!$D$16</f>
        <v>30</v>
      </c>
      <c r="E284" s="3"/>
      <c r="F284" s="698" t="s">
        <v>803</v>
      </c>
      <c r="G284" s="699"/>
      <c r="H284" s="699"/>
      <c r="I284" s="699"/>
      <c r="J284" s="700"/>
      <c r="K284" s="14"/>
      <c r="AA284">
        <f>AA282+AA280</f>
        <v>0</v>
      </c>
      <c r="AE284">
        <f>IF(AC280&lt;0,0,IF(AA284&gt;0,AC280,0))</f>
        <v>0</v>
      </c>
      <c r="AF284">
        <f>IF(AD282&lt;0,0,IF(AA284=2,AD282,0))</f>
        <v>0</v>
      </c>
    </row>
    <row r="285" spans="1:32" ht="5.0999999999999996" customHeight="1" thickBot="1" x14ac:dyDescent="0.3">
      <c r="A285" s="307"/>
      <c r="B285" s="2"/>
      <c r="C285" s="2"/>
      <c r="D285" s="2"/>
      <c r="E285" s="2"/>
      <c r="F285" s="2"/>
      <c r="G285" s="2"/>
      <c r="H285" s="2"/>
      <c r="I285" s="2"/>
      <c r="J285" s="2"/>
      <c r="K285" s="24"/>
      <c r="N285">
        <f>IF(D285="Lawful",2,IF(D285="Neutral",1,IF(D285="Chaotic",0,0)))</f>
        <v>0</v>
      </c>
      <c r="O285">
        <f>IF(Overall!$D$4="Lawful",2,IF(Overall!$D$4="Neutral",1,IF(Overall!$D$4="Chaotic",0,0)))</f>
        <v>1</v>
      </c>
      <c r="P285">
        <f>IF(F285="Good",2,IF(F285="Neutral",1,IF(F285="Evil",0,0)))</f>
        <v>0</v>
      </c>
      <c r="Q285">
        <f>IF(Overall!$F$4="Good",2,IF(Overall!$F$4="Neutral",1,IF(Overall!$F$4="Evil",0,0)))</f>
        <v>2</v>
      </c>
      <c r="S285">
        <f>ABS(N285-O285)</f>
        <v>1</v>
      </c>
      <c r="T285">
        <f>ABS(P285-Q285)</f>
        <v>2</v>
      </c>
      <c r="V285">
        <f>IF(S285=0,0,IF(S285=1,5,IF(S285=2,15,0)))</f>
        <v>5</v>
      </c>
      <c r="W285">
        <f>IF(T285=0,0,IF(T285=1,5,IF(T285=2,15,0)))</f>
        <v>15</v>
      </c>
    </row>
    <row r="286" spans="1:32" ht="5.0999999999999996" customHeight="1" thickBot="1" x14ac:dyDescent="0.3">
      <c r="A286" s="9"/>
      <c r="B286" s="11"/>
      <c r="C286" s="11"/>
      <c r="D286" s="11"/>
      <c r="E286" s="11"/>
      <c r="F286" s="11"/>
      <c r="G286" s="11"/>
      <c r="H286" s="11"/>
      <c r="I286" s="11"/>
      <c r="J286" s="11"/>
      <c r="K286" s="12"/>
      <c r="N286">
        <f>IF(D286="Lawful",2,IF(D286="Neutral",1,IF(D286="Chaotic",0,0)))</f>
        <v>0</v>
      </c>
      <c r="O286">
        <f>IF(Overall!$D$4="Lawful",2,IF(Overall!$D$4="Neutral",1,IF(Overall!$D$4="Chaotic",0,0)))</f>
        <v>1</v>
      </c>
      <c r="P286">
        <f>IF(F286="Good",2,IF(F286="Neutral",1,IF(F286="Evil",0,0)))</f>
        <v>0</v>
      </c>
      <c r="Q286">
        <f>IF(Overall!$F$4="Good",2,IF(Overall!$F$4="Neutral",1,IF(Overall!$F$4="Evil",0,0)))</f>
        <v>2</v>
      </c>
      <c r="S286">
        <f>ABS(N286-O286)</f>
        <v>1</v>
      </c>
      <c r="T286">
        <f>ABS(P286-Q286)</f>
        <v>2</v>
      </c>
      <c r="V286">
        <f>IF(S286=0,0,IF(S286=1,5,IF(S286=2,15,0)))</f>
        <v>5</v>
      </c>
      <c r="W286">
        <f>IF(T286=0,0,IF(T286=1,5,IF(T286=2,15,0)))</f>
        <v>15</v>
      </c>
    </row>
    <row r="287" spans="1:32" ht="15.75" customHeight="1" thickBot="1" x14ac:dyDescent="0.3">
      <c r="A287" s="15"/>
      <c r="B287" s="402" t="s">
        <v>47</v>
      </c>
      <c r="C287" s="3"/>
      <c r="D287" s="766"/>
      <c r="E287" s="767"/>
      <c r="F287" s="767"/>
      <c r="G287" s="767"/>
      <c r="H287" s="767"/>
      <c r="I287" s="767"/>
      <c r="J287" s="768"/>
      <c r="K287" s="14"/>
    </row>
    <row r="288" spans="1:32" ht="5.0999999999999996" customHeight="1" thickBot="1" x14ac:dyDescent="0.3">
      <c r="A288" s="15"/>
      <c r="B288" s="3"/>
      <c r="C288" s="3"/>
      <c r="D288" s="3"/>
      <c r="E288" s="3"/>
      <c r="F288" s="3"/>
      <c r="G288" s="3"/>
      <c r="H288" s="3"/>
      <c r="I288" s="3"/>
      <c r="J288" s="3"/>
      <c r="K288" s="14"/>
    </row>
    <row r="289" spans="1:32" ht="15.75" thickBot="1" x14ac:dyDescent="0.3">
      <c r="A289" s="15"/>
      <c r="B289" s="402" t="s">
        <v>238</v>
      </c>
      <c r="C289" s="3"/>
      <c r="D289" s="403"/>
      <c r="E289" s="3"/>
      <c r="F289" s="3"/>
      <c r="G289" s="3"/>
      <c r="H289" s="3"/>
      <c r="I289" s="3"/>
      <c r="J289" s="3"/>
      <c r="K289" s="14"/>
      <c r="Y289">
        <f>ROUNDDOWN(D289/5,0)</f>
        <v>0</v>
      </c>
    </row>
    <row r="290" spans="1:32" ht="5.0999999999999996" customHeight="1" thickBot="1" x14ac:dyDescent="0.3">
      <c r="A290" s="15"/>
      <c r="B290" s="3"/>
      <c r="C290" s="3"/>
      <c r="D290" s="3"/>
      <c r="E290" s="3"/>
      <c r="F290" s="3"/>
      <c r="G290" s="3"/>
      <c r="H290" s="3"/>
      <c r="I290" s="3"/>
      <c r="J290" s="3"/>
      <c r="K290" s="14"/>
    </row>
    <row r="291" spans="1:32" ht="15.75" thickBot="1" x14ac:dyDescent="0.3">
      <c r="A291" s="15"/>
      <c r="B291" s="440" t="s">
        <v>48</v>
      </c>
      <c r="C291" s="3"/>
      <c r="D291" s="403"/>
      <c r="E291" s="3"/>
      <c r="F291" s="403"/>
      <c r="G291" s="3"/>
      <c r="H291" s="3"/>
      <c r="I291" s="3"/>
      <c r="J291" s="3"/>
      <c r="K291" s="14"/>
      <c r="N291">
        <f>IF(D291="Lawful",2,IF(D291="Neutral",1,IF(D291="Chaotic",0,0)))</f>
        <v>0</v>
      </c>
      <c r="O291">
        <f>IF(Overall!$D$4="Lawful",2,IF(Overall!$D$4="Neutral",1,IF(Overall!$D$4="Chaotic",0,0)))</f>
        <v>1</v>
      </c>
      <c r="P291">
        <f>IF(F291="Good",2,IF(F291="Neutral",1,IF(F291="Evil",0,0)))</f>
        <v>0</v>
      </c>
      <c r="Q291">
        <f>IF(Overall!$F$4="Good",2,IF(Overall!$F$4="Neutral",1,IF(Overall!$F$4="Evil",0,0)))</f>
        <v>2</v>
      </c>
      <c r="S291">
        <f>ABS(N291-O291)</f>
        <v>1</v>
      </c>
      <c r="T291">
        <f>ABS(P291-Q291)</f>
        <v>2</v>
      </c>
      <c r="V291">
        <f>IF(S291=0,0,IF(S291=1,5,IF(S291=2,15,0)))</f>
        <v>5</v>
      </c>
      <c r="W291">
        <f>IF(T291=0,0,IF(T291=1,5,IF(T291=2,15,0)))</f>
        <v>15</v>
      </c>
      <c r="Y291">
        <f>SUM(V291:W291)</f>
        <v>20</v>
      </c>
    </row>
    <row r="292" spans="1:32" ht="5.0999999999999996" customHeight="1" thickBot="1" x14ac:dyDescent="0.3">
      <c r="A292" s="15"/>
      <c r="B292" s="440"/>
      <c r="C292" s="3"/>
      <c r="D292" s="3"/>
      <c r="E292" s="3"/>
      <c r="F292" s="3"/>
      <c r="G292" s="3"/>
      <c r="H292" s="3"/>
      <c r="I292" s="3"/>
      <c r="J292" s="3"/>
      <c r="K292" s="14"/>
      <c r="N292">
        <f>IF(D292="Lawful",2,IF(D292="Neutral",1,IF(D292="Chaotic",0,0)))</f>
        <v>0</v>
      </c>
      <c r="O292">
        <f>IF(Overall!$D$4="Lawful",2,IF(Overall!$D$4="Neutral",1,IF(Overall!$D$4="Chaotic",0,0)))</f>
        <v>1</v>
      </c>
      <c r="P292">
        <f>IF(F292="Good",2,IF(F292="Neutral",1,IF(F292="Evil",0,0)))</f>
        <v>0</v>
      </c>
      <c r="Q292">
        <f>IF(Overall!$F$4="Good",2,IF(Overall!$F$4="Neutral",1,IF(Overall!$F$4="Evil",0,0)))</f>
        <v>2</v>
      </c>
      <c r="S292">
        <f>ABS(N292-O292)</f>
        <v>1</v>
      </c>
      <c r="T292">
        <f>ABS(P292-Q292)</f>
        <v>2</v>
      </c>
      <c r="V292">
        <f>IF(S292=0,0,IF(S292=1,5,IF(S292=2,15,0)))</f>
        <v>5</v>
      </c>
      <c r="W292">
        <f>IF(T292=0,0,IF(T292=1,5,IF(T292=2,15,0)))</f>
        <v>15</v>
      </c>
    </row>
    <row r="293" spans="1:32" ht="15.75" thickBot="1" x14ac:dyDescent="0.3">
      <c r="A293" s="15"/>
      <c r="B293" s="440" t="s">
        <v>790</v>
      </c>
      <c r="C293" s="3"/>
      <c r="D293" s="769"/>
      <c r="E293" s="770"/>
      <c r="F293" s="770"/>
      <c r="G293" s="770"/>
      <c r="H293" s="770"/>
      <c r="I293" s="770"/>
      <c r="J293" s="771"/>
      <c r="K293" s="14"/>
      <c r="Y293">
        <f>IF(D293&lt;&gt;0,VLOOKUP(D293,'Drop Down'!$O$35:$U$40,7,FALSE),0)</f>
        <v>0</v>
      </c>
    </row>
    <row r="294" spans="1:32" ht="5.0999999999999996" customHeight="1" thickBot="1" x14ac:dyDescent="0.3">
      <c r="A294" s="15"/>
      <c r="B294" s="440"/>
      <c r="C294" s="3"/>
      <c r="D294" s="3"/>
      <c r="E294" s="3"/>
      <c r="F294" s="3"/>
      <c r="G294" s="3"/>
      <c r="H294" s="3"/>
      <c r="I294" s="3"/>
      <c r="J294" s="3"/>
      <c r="K294" s="14"/>
    </row>
    <row r="295" spans="1:32" ht="15.75" thickBot="1" x14ac:dyDescent="0.3">
      <c r="A295" s="15"/>
      <c r="B295" s="440" t="s">
        <v>784</v>
      </c>
      <c r="C295" s="3"/>
      <c r="D295" s="403"/>
      <c r="E295" s="3"/>
      <c r="F295" s="434" t="s">
        <v>1105</v>
      </c>
      <c r="G295" s="3"/>
      <c r="H295" s="403"/>
      <c r="I295" s="441"/>
      <c r="K295" s="14"/>
      <c r="Y295">
        <f>IF(D295&lt;&gt;0,VLOOKUP(D295,'Drop Down'!$O$26:$P$31,2,FALSE),0)</f>
        <v>0</v>
      </c>
      <c r="AA295">
        <f>IF(D297="Treaty",1,0)</f>
        <v>0</v>
      </c>
      <c r="AC295">
        <f>ROUNDDOWN(H295/10,0)-19</f>
        <v>-19</v>
      </c>
    </row>
    <row r="296" spans="1:32" ht="5.0999999999999996" customHeight="1" thickBot="1" x14ac:dyDescent="0.3">
      <c r="A296" s="15"/>
      <c r="B296" s="440"/>
      <c r="C296" s="3"/>
      <c r="D296" s="3"/>
      <c r="E296" s="3"/>
      <c r="F296" s="3"/>
      <c r="G296" s="3"/>
      <c r="H296" s="3"/>
      <c r="I296" s="3"/>
      <c r="K296" s="14"/>
    </row>
    <row r="297" spans="1:32" ht="15.75" thickBot="1" x14ac:dyDescent="0.3">
      <c r="A297" s="15"/>
      <c r="B297" s="440" t="s">
        <v>791</v>
      </c>
      <c r="C297" s="3"/>
      <c r="D297" s="403"/>
      <c r="E297" s="3"/>
      <c r="F297" s="29" t="s">
        <v>1106</v>
      </c>
      <c r="G297" s="3"/>
      <c r="H297" s="403"/>
      <c r="I297" s="3"/>
      <c r="K297" s="14"/>
      <c r="AA297">
        <f>IF(D297="Alliance",2,0)</f>
        <v>0</v>
      </c>
      <c r="AD297">
        <f>ROUNDDOWN(H297/10,0)-19</f>
        <v>-19</v>
      </c>
    </row>
    <row r="298" spans="1:32" ht="5.0999999999999996" customHeight="1" thickBot="1" x14ac:dyDescent="0.3">
      <c r="A298" s="15"/>
      <c r="B298" s="440"/>
      <c r="C298" s="3"/>
      <c r="D298" s="3"/>
      <c r="E298" s="3"/>
      <c r="F298" s="3"/>
      <c r="G298" s="3"/>
      <c r="H298" s="3"/>
      <c r="I298" s="3"/>
      <c r="J298" s="3"/>
      <c r="K298" s="14"/>
    </row>
    <row r="299" spans="1:32" ht="15.75" thickBot="1" x14ac:dyDescent="0.3">
      <c r="A299" s="15"/>
      <c r="B299" s="440" t="s">
        <v>802</v>
      </c>
      <c r="C299" s="3"/>
      <c r="D299" s="296">
        <f>10+Overall!$D$18+Y289+ROUNDDOWN(Overall!$J$4/5,0)+Y291+Y293+Y295-Overall!$D$16</f>
        <v>30</v>
      </c>
      <c r="E299" s="3"/>
      <c r="F299" s="698" t="s">
        <v>803</v>
      </c>
      <c r="G299" s="699"/>
      <c r="H299" s="699"/>
      <c r="I299" s="699"/>
      <c r="J299" s="700"/>
      <c r="K299" s="14"/>
      <c r="AA299">
        <f>AA297+AA295</f>
        <v>0</v>
      </c>
      <c r="AE299">
        <f>IF(AC295&lt;0,0,IF(AA299&gt;0,AC295,0))</f>
        <v>0</v>
      </c>
      <c r="AF299">
        <f>IF(AD297&lt;0,0,IF(AA299=2,AD297,0))</f>
        <v>0</v>
      </c>
    </row>
    <row r="300" spans="1:32" ht="5.0999999999999996" customHeight="1" thickBot="1" x14ac:dyDescent="0.3">
      <c r="A300" s="307"/>
      <c r="B300" s="2"/>
      <c r="C300" s="2"/>
      <c r="D300" s="2"/>
      <c r="E300" s="2"/>
      <c r="F300" s="2"/>
      <c r="G300" s="2"/>
      <c r="H300" s="2"/>
      <c r="I300" s="2"/>
      <c r="J300" s="2"/>
      <c r="K300" s="24"/>
    </row>
    <row r="302" spans="1:32" x14ac:dyDescent="0.25">
      <c r="AE302">
        <f>SUM(AE1:AE299)</f>
        <v>6</v>
      </c>
      <c r="AF302">
        <f>SUM(AF1:AF299)</f>
        <v>0</v>
      </c>
    </row>
  </sheetData>
  <sheetProtection sheet="1" objects="1" scenarios="1" selectLockedCells="1"/>
  <mergeCells count="60">
    <mergeCell ref="D8:J8"/>
    <mergeCell ref="D2:J2"/>
    <mergeCell ref="F14:J14"/>
    <mergeCell ref="D17:J17"/>
    <mergeCell ref="D23:J23"/>
    <mergeCell ref="D83:J83"/>
    <mergeCell ref="F29:J29"/>
    <mergeCell ref="D32:J32"/>
    <mergeCell ref="D38:J38"/>
    <mergeCell ref="F44:J44"/>
    <mergeCell ref="D47:J47"/>
    <mergeCell ref="D53:J53"/>
    <mergeCell ref="F59:J59"/>
    <mergeCell ref="D62:J62"/>
    <mergeCell ref="D68:J68"/>
    <mergeCell ref="F74:J74"/>
    <mergeCell ref="D77:J77"/>
    <mergeCell ref="D143:J143"/>
    <mergeCell ref="F89:J89"/>
    <mergeCell ref="D92:J92"/>
    <mergeCell ref="D98:J98"/>
    <mergeCell ref="F104:J104"/>
    <mergeCell ref="D107:J107"/>
    <mergeCell ref="D113:J113"/>
    <mergeCell ref="F119:J119"/>
    <mergeCell ref="D122:J122"/>
    <mergeCell ref="D128:J128"/>
    <mergeCell ref="F134:J134"/>
    <mergeCell ref="D137:J137"/>
    <mergeCell ref="D203:J203"/>
    <mergeCell ref="F149:J149"/>
    <mergeCell ref="D152:J152"/>
    <mergeCell ref="D158:J158"/>
    <mergeCell ref="F164:J164"/>
    <mergeCell ref="D167:J167"/>
    <mergeCell ref="D173:J173"/>
    <mergeCell ref="F179:J179"/>
    <mergeCell ref="D182:J182"/>
    <mergeCell ref="D188:J188"/>
    <mergeCell ref="F194:J194"/>
    <mergeCell ref="D197:J197"/>
    <mergeCell ref="D263:J263"/>
    <mergeCell ref="F209:J209"/>
    <mergeCell ref="D212:J212"/>
    <mergeCell ref="D218:J218"/>
    <mergeCell ref="F224:J224"/>
    <mergeCell ref="D227:J227"/>
    <mergeCell ref="D233:J233"/>
    <mergeCell ref="F239:J239"/>
    <mergeCell ref="D242:J242"/>
    <mergeCell ref="D248:J248"/>
    <mergeCell ref="F254:J254"/>
    <mergeCell ref="D257:J257"/>
    <mergeCell ref="F299:J299"/>
    <mergeCell ref="F269:J269"/>
    <mergeCell ref="D272:J272"/>
    <mergeCell ref="D278:J278"/>
    <mergeCell ref="F284:J284"/>
    <mergeCell ref="D287:J287"/>
    <mergeCell ref="D293:J293"/>
  </mergeCells>
  <dataValidations count="7">
    <dataValidation type="list" allowBlank="1" showInputMessage="1" showErrorMessage="1" sqref="AF30 AI30">
      <formula1>$O$18:$O$20</formula1>
    </dataValidation>
    <dataValidation type="list" allowBlank="1" showInputMessage="1" showErrorMessage="1" sqref="AE30 AH30">
      <formula1>$N$18:$N$20</formula1>
    </dataValidation>
    <dataValidation type="list" allowBlank="1" showInputMessage="1" showErrorMessage="1" sqref="D6 D21 D36 D51 D66 D81 D96 D111 D126 D141 D156 D171 D186 D201 D216 D231 D246 D261 D276 D291">
      <formula1>AlignLC</formula1>
    </dataValidation>
    <dataValidation type="list" allowBlank="1" showInputMessage="1" showErrorMessage="1" sqref="F6 F21 F36 F51 F66 F81 F96 F111 F126 F141 F156 F171 F186 F201 F216 F231 F246 F261 F276 F291">
      <formula1>AlignGE</formula1>
    </dataValidation>
    <dataValidation type="list" allowBlank="1" showInputMessage="1" showErrorMessage="1" sqref="D10 D25 D40 D55 D70 D85 D100 D115 D130 D145 D160 D175 D190 D205 D220 D235 D250 D265 D280 D295">
      <formula1>Attitude</formula1>
    </dataValidation>
    <dataValidation type="list" allowBlank="1" showInputMessage="1" showErrorMessage="1" sqref="D12 D27 D42 D57 D72 D87 D102 D117 D132 D147 D162 D177 D192 D207 D222 D237 D252 D267 D282 D297">
      <formula1>DipLevel</formula1>
    </dataValidation>
    <dataValidation type="list" allowBlank="1" showInputMessage="1" showErrorMessage="1" sqref="D8:J8 D23:J23 D38:J38 D53:J53 D68:J68 D83:J83 D98:J98 D113:J113 D128:J128 D143:J143 D158:J158 D173:J173 D188:J188 D203:J203 D218:J218 D233:J233 D248:J248 D263:J263 D278:J278 D293:J293">
      <formula1>DipRelation</formula1>
    </dataValidation>
  </dataValidation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P11"/>
  <sheetViews>
    <sheetView workbookViewId="0">
      <selection activeCell="B6" sqref="B6"/>
    </sheetView>
  </sheetViews>
  <sheetFormatPr defaultRowHeight="15" x14ac:dyDescent="0.25"/>
  <cols>
    <col min="1" max="1" width="0.85546875" style="61" customWidth="1"/>
    <col min="2" max="2" width="15.5703125" style="61" customWidth="1"/>
    <col min="3" max="3" width="0.85546875" style="61" customWidth="1"/>
    <col min="4" max="4" width="14.7109375" style="61" customWidth="1"/>
    <col min="5" max="5" width="0.85546875" style="61" customWidth="1"/>
    <col min="6" max="6" width="27.42578125" style="61" bestFit="1" customWidth="1"/>
    <col min="7" max="7" width="0.85546875" style="61" customWidth="1"/>
    <col min="8" max="8" width="22.5703125" style="61" bestFit="1" customWidth="1"/>
    <col min="9" max="9" width="0.85546875" style="61" customWidth="1"/>
    <col min="10" max="10" width="16.7109375" style="61" customWidth="1"/>
    <col min="11" max="11" width="0.85546875" style="61" customWidth="1"/>
    <col min="12" max="12" width="17.7109375" style="61" bestFit="1" customWidth="1"/>
    <col min="13" max="13" width="0.85546875" style="61" customWidth="1"/>
    <col min="14" max="14" width="9.140625" style="61"/>
    <col min="15" max="15" width="0.85546875" style="65" customWidth="1"/>
    <col min="16" max="16" width="16.42578125" style="61" bestFit="1" customWidth="1"/>
    <col min="17" max="17" width="0.85546875" style="65" customWidth="1"/>
    <col min="18" max="18" width="16.5703125" style="61" bestFit="1" customWidth="1"/>
    <col min="19" max="19" width="0.85546875" style="65" customWidth="1"/>
    <col min="20" max="20" width="18.85546875" style="61" bestFit="1" customWidth="1"/>
    <col min="21" max="21" width="0.85546875" style="61" customWidth="1"/>
    <col min="22" max="22" width="9.140625" style="61"/>
    <col min="23" max="23" width="16.42578125" style="61" hidden="1" customWidth="1"/>
    <col min="24" max="25" width="9.140625" style="61" hidden="1" customWidth="1"/>
    <col min="26" max="26" width="24.140625" style="61" hidden="1" customWidth="1"/>
    <col min="27" max="27" width="19.7109375" style="61" hidden="1" customWidth="1"/>
    <col min="28" max="28" width="10.5703125" style="61" hidden="1" customWidth="1"/>
    <col min="29" max="29" width="10.85546875" style="61" hidden="1" customWidth="1"/>
    <col min="30" max="30" width="9.140625" style="61" hidden="1" customWidth="1"/>
    <col min="31" max="31" width="10.28515625" style="61" hidden="1" customWidth="1"/>
    <col min="32" max="33" width="11.5703125" style="61" hidden="1" customWidth="1"/>
    <col min="34" max="34" width="9.140625" style="61" hidden="1" customWidth="1"/>
    <col min="35" max="35" width="12.85546875" style="61" hidden="1" customWidth="1"/>
    <col min="36" max="37" width="12.140625" style="61" hidden="1" customWidth="1"/>
    <col min="38" max="39" width="9.140625" style="61" hidden="1" customWidth="1"/>
    <col min="40" max="40" width="19.140625" style="61" hidden="1" customWidth="1"/>
    <col min="41" max="41" width="9.5703125" style="61" hidden="1" customWidth="1"/>
    <col min="42" max="42" width="12.7109375" style="61" hidden="1" customWidth="1"/>
    <col min="43" max="16384" width="9.140625" style="61"/>
  </cols>
  <sheetData>
    <row r="1" spans="1:42" ht="5.0999999999999996" customHeight="1" x14ac:dyDescent="0.25">
      <c r="A1" s="141"/>
      <c r="B1" s="142"/>
      <c r="C1" s="142"/>
      <c r="D1" s="142"/>
      <c r="E1" s="142"/>
      <c r="F1" s="142"/>
      <c r="G1" s="142"/>
      <c r="H1" s="142"/>
      <c r="I1" s="142"/>
      <c r="J1" s="142"/>
      <c r="K1" s="142"/>
      <c r="L1" s="142"/>
      <c r="M1" s="142"/>
      <c r="N1" s="142"/>
      <c r="O1" s="143"/>
      <c r="P1" s="142"/>
      <c r="Q1" s="143"/>
      <c r="R1" s="142"/>
      <c r="S1" s="143"/>
      <c r="T1" s="142"/>
      <c r="U1" s="144"/>
    </row>
    <row r="2" spans="1:42" x14ac:dyDescent="0.25">
      <c r="A2" s="96"/>
      <c r="B2" s="404" t="s">
        <v>811</v>
      </c>
      <c r="C2" s="406"/>
      <c r="D2" s="404" t="s">
        <v>832</v>
      </c>
      <c r="E2" s="406"/>
      <c r="F2" s="227"/>
      <c r="G2" s="227"/>
      <c r="H2" s="227" t="s">
        <v>834</v>
      </c>
      <c r="I2" s="227"/>
      <c r="J2" s="227" t="s">
        <v>835</v>
      </c>
      <c r="K2" s="227"/>
      <c r="L2" s="227" t="s">
        <v>836</v>
      </c>
      <c r="M2" s="227"/>
      <c r="N2" s="227" t="s">
        <v>837</v>
      </c>
      <c r="O2" s="223"/>
      <c r="P2" s="227" t="s">
        <v>839</v>
      </c>
      <c r="Q2" s="223"/>
      <c r="R2" s="227" t="s">
        <v>840</v>
      </c>
      <c r="S2" s="223"/>
      <c r="T2" s="227" t="s">
        <v>838</v>
      </c>
      <c r="U2" s="97"/>
      <c r="W2" s="61" t="s">
        <v>833</v>
      </c>
      <c r="Z2" s="61" t="s">
        <v>820</v>
      </c>
      <c r="AA2" s="61" t="s">
        <v>819</v>
      </c>
      <c r="AB2" s="61" t="s">
        <v>821</v>
      </c>
      <c r="AC2" s="61" t="s">
        <v>850</v>
      </c>
      <c r="AE2" s="61" t="s">
        <v>826</v>
      </c>
      <c r="AF2" s="61" t="s">
        <v>827</v>
      </c>
      <c r="AG2" s="61" t="s">
        <v>849</v>
      </c>
      <c r="AI2" s="61" t="s">
        <v>828</v>
      </c>
      <c r="AJ2" s="61" t="s">
        <v>829</v>
      </c>
      <c r="AK2" s="61" t="s">
        <v>851</v>
      </c>
      <c r="AM2" s="61" t="s">
        <v>830</v>
      </c>
      <c r="AN2" s="61" t="s">
        <v>831</v>
      </c>
      <c r="AO2" s="61" t="s">
        <v>852</v>
      </c>
      <c r="AP2" s="61" t="s">
        <v>853</v>
      </c>
    </row>
    <row r="3" spans="1:42" ht="3" customHeight="1" thickBot="1" x14ac:dyDescent="0.3">
      <c r="A3" s="96"/>
      <c r="B3" s="411"/>
      <c r="C3" s="406"/>
      <c r="D3" s="412"/>
      <c r="E3" s="406"/>
      <c r="F3" s="227"/>
      <c r="G3" s="227"/>
      <c r="H3" s="227"/>
      <c r="I3" s="227"/>
      <c r="J3" s="227"/>
      <c r="K3" s="227"/>
      <c r="L3" s="227"/>
      <c r="M3" s="227"/>
      <c r="N3" s="227"/>
      <c r="O3" s="223"/>
      <c r="P3" s="227"/>
      <c r="Q3" s="223"/>
      <c r="R3" s="227"/>
      <c r="S3" s="223"/>
      <c r="T3" s="227"/>
      <c r="U3" s="97"/>
    </row>
    <row r="4" spans="1:42" ht="15.75" thickBot="1" x14ac:dyDescent="0.3">
      <c r="A4" s="96"/>
      <c r="B4" s="409"/>
      <c r="C4" s="406"/>
      <c r="D4" s="409"/>
      <c r="E4" s="405"/>
      <c r="F4" s="413" t="str">
        <f>IF(W4=1,"Trade Route Available", "Trade Route Unavailable")</f>
        <v>Trade Route Unavailable</v>
      </c>
      <c r="G4" s="227"/>
      <c r="H4" s="410"/>
      <c r="I4" s="227"/>
      <c r="J4" s="413">
        <f>INT(H4/10)</f>
        <v>0</v>
      </c>
      <c r="K4" s="223"/>
      <c r="L4" s="413">
        <f>IF(Overall!$J$4-H4&lt;1,0,Overall!$J$4-H4)</f>
        <v>2</v>
      </c>
      <c r="M4" s="227"/>
      <c r="N4" s="413">
        <f>Overall!$R$4+VLOOKUP($B4,'City Overview'!$B$2:$V$27,7,FALSE)+$J$4+L4-VLOOKUP($B4,'City Overview'!$B$2:$V$26,9,FALSE)</f>
        <v>25</v>
      </c>
      <c r="O4" s="223"/>
      <c r="P4" s="413">
        <f>IF(H4-Overall!$J$4&lt;1,0,H4-Overall!$J$4)</f>
        <v>0</v>
      </c>
      <c r="Q4" s="223"/>
      <c r="R4" s="413">
        <f>Overall!$R$4+VLOOKUP($B4,'City Overview'!$B$2:$V$27,7,FALSE)+$J$4+P4-VLOOKUP($B4,'City Overview'!$B$2:$V$26,9,FALSE)</f>
        <v>23</v>
      </c>
      <c r="S4" s="223"/>
      <c r="T4" s="413" t="str">
        <f>IF(D4="Food",AC4,IF(D4="Goods",AG4,IF(D4="Luxuries",AK4,IF(D4="Raw Materials",IF(AM4&gt;0,AO4,AP4),""))))</f>
        <v/>
      </c>
      <c r="U4" s="97"/>
      <c r="W4" s="61" t="b">
        <f>IF(D4&lt;&gt;0,IF(D4=AB4,1,IF(D4=AF4,1,IF(D4=AJ4,1,IF(D4=AN4,1,IF((Kingdom!$D$54+Kingdom!$D$56+Kingdom!$D$64+Kingdom!$D$66)&gt;0,1,""))))))</f>
        <v>0</v>
      </c>
      <c r="Z4" s="61">
        <f>IF(Kingdom!$D$14&lt;(Kingdom!$D$2+'City Overview'!$E$27),1,0)</f>
        <v>1</v>
      </c>
      <c r="AA4" s="61">
        <f>IF((VLOOKUP(B4,'City Overview'!$B$2:$R$27,11, FALSE)+VLOOKUP(B4,'City Overview'!$B$2:$R$27,12,FALSE))&gt;0,1,0)</f>
        <v>0</v>
      </c>
      <c r="AB4" s="61" t="str">
        <f>IF(AA4*Z4&lt;&gt;0,"Food","")</f>
        <v/>
      </c>
      <c r="AC4" s="61">
        <f>INT((Kingdom!$D$28+Kingdom!$D$30+Kingdom!$D$32+Kingdom!$D$34+Kingdom!$D$36+Kingdom!$D$38)/10)</f>
        <v>0</v>
      </c>
      <c r="AE4" s="61">
        <f>IF(VLOOKUP(B4,'City Overview'!$B$2:$V$27,13, FALSE)&gt;0,1,0)</f>
        <v>0</v>
      </c>
      <c r="AF4" s="61" t="str">
        <f>IF(AE4&gt;0,"Goods","")</f>
        <v/>
      </c>
      <c r="AG4" s="61">
        <f>INT((VLOOKUP(B4,'City Overview'!$B$2:$V$26,13,FALSE)+VLOOKUP(B4,'City Overview'!$B$2:$V$26,16,FALSE)+VLOOKUP(B4,'City Overview'!$B$2:$V$26,17,FALSE)+VLOOKUP(B4,'City Overview'!$B$2:$V$26,18,FALSE)+VLOOKUP(B4,'City Overview'!$B$2:$V$26,19,FALSE))/10)</f>
        <v>0</v>
      </c>
      <c r="AI4" s="61">
        <f>IF(VLOOKUP(B4,'City Overview'!$B$2:$V$27,14,FALSE),1,0)</f>
        <v>0</v>
      </c>
      <c r="AJ4" s="61" t="str">
        <f>IF(AI4&gt;0,"Luxury","")</f>
        <v/>
      </c>
      <c r="AK4" s="61">
        <f>INT((VLOOKUP(B4,'City Overview'!$B$2:$AA$26,20,FALSE)+VLOOKUP(B4,'City Overview'!$B$2:$AA$26,21,FALSE)*VLOOKUP(B4,'City Overview'!$B$2:$AA$26,22,FALSE)+VLOOKUP(B4,'City Overview'!$B$2:$AA$26,23,FALSE)+VLOOKUP(B4,'City Overview'!$B$2:$AA$26,24,FALSE)+VLOOKUP(B4,'City Overview'!$B$2:$AA$26,14,FALSE))/10)</f>
        <v>0</v>
      </c>
      <c r="AM4" s="61">
        <f>IF(VLOOKUP(B4,'City Overview'!$B$2:$V$27,15,FALSE),1,0)</f>
        <v>0</v>
      </c>
      <c r="AN4" s="61" t="str">
        <f>IF(AM4&gt;0,"Raw Materials","")</f>
        <v/>
      </c>
      <c r="AO4" s="61">
        <f>INT((Kingdom!$D$46+Kingdom!$D$48+Kingdom!$D$50+Kingdom!$D$52+Kingdom!$D$54+Kingdom!$D$56+Kingdom!$D$64+Kingdom!$D$66)/10)</f>
        <v>0</v>
      </c>
      <c r="AP4" s="61">
        <f>INT((Kingdom!$D$54+Kingdom!$D$56+Kingdom!$D$64+Kingdom!$D$66)/10)</f>
        <v>0</v>
      </c>
    </row>
    <row r="5" spans="1:42" s="65" customFormat="1" ht="3" customHeight="1" thickBot="1" x14ac:dyDescent="0.3">
      <c r="A5" s="146"/>
      <c r="B5" s="193"/>
      <c r="C5" s="298"/>
      <c r="D5" s="414"/>
      <c r="E5" s="67"/>
      <c r="F5" s="223"/>
      <c r="G5" s="223"/>
      <c r="H5" s="223"/>
      <c r="I5" s="223"/>
      <c r="J5" s="223"/>
      <c r="K5" s="223"/>
      <c r="L5" s="223"/>
      <c r="M5" s="223"/>
      <c r="N5" s="223"/>
      <c r="O5" s="223"/>
      <c r="P5" s="223"/>
      <c r="Q5" s="223"/>
      <c r="R5" s="223"/>
      <c r="S5" s="223"/>
      <c r="T5" s="223"/>
      <c r="U5" s="147"/>
    </row>
    <row r="6" spans="1:42" ht="15.75" thickBot="1" x14ac:dyDescent="0.3">
      <c r="A6" s="96"/>
      <c r="B6" s="409"/>
      <c r="C6" s="406"/>
      <c r="D6" s="409"/>
      <c r="E6" s="405"/>
      <c r="F6" s="413" t="str">
        <f>IF(W6=1,"Trade Route Available", "Trade Route Unavailable")</f>
        <v>Trade Route Unavailable</v>
      </c>
      <c r="G6" s="227"/>
      <c r="H6" s="410"/>
      <c r="I6" s="227"/>
      <c r="J6" s="413">
        <f>INT(H6/10)</f>
        <v>0</v>
      </c>
      <c r="K6" s="223"/>
      <c r="L6" s="413">
        <f>IF(Overall!$J$4-H6&lt;1,0,Overall!$J$4-H6)</f>
        <v>2</v>
      </c>
      <c r="M6" s="227"/>
      <c r="N6" s="413">
        <f>Overall!$R$4+VLOOKUP($B6,'City Overview'!$B$2:$V$27,7,FALSE)+$J$4+L6-VLOOKUP($B6,'City Overview'!$B$2:$V$26,9,FALSE)</f>
        <v>25</v>
      </c>
      <c r="O6" s="223"/>
      <c r="P6" s="413">
        <f>IF(H6-Overall!$J$4&lt;1,0,H6-Overall!$J$4)</f>
        <v>0</v>
      </c>
      <c r="Q6" s="223"/>
      <c r="R6" s="413">
        <f>Overall!$R$4+VLOOKUP($B6,'City Overview'!$B$2:$V$27,7,FALSE)+$J$4+P6-VLOOKUP($B6,'City Overview'!$B$2:$V$26,9,FALSE)</f>
        <v>23</v>
      </c>
      <c r="S6" s="223"/>
      <c r="T6" s="413" t="str">
        <f>IF(D6="Food",AC6,IF(D6="Goods",AG6,IF(D6="Luxuries",AK6,IF(D6="Raw Materials",IF(AM6&gt;0,AO6,AP6),""))))</f>
        <v/>
      </c>
      <c r="U6" s="97"/>
      <c r="W6" s="61" t="b">
        <f>IF(D6&lt;&gt;0,IF(D6=AB6,1,IF(D6=AF6,1,IF(D6=AJ6,1,IF(D6=AN6,1,IF((Kingdom!$D$54+Kingdom!$D$56+Kingdom!$D$64+Kingdom!$D$66)&gt;0,1,""))))))</f>
        <v>0</v>
      </c>
      <c r="Z6" s="61">
        <f>IF(Kingdom!$D$14&lt;(Kingdom!$D$2+'City Overview'!$E$27),1,0)</f>
        <v>1</v>
      </c>
      <c r="AA6" s="61">
        <f>IF((VLOOKUP(B6,'City Overview'!$B$2:$R$27,11, FALSE)+VLOOKUP(B6,'City Overview'!$B$2:$R$27,12,FALSE))&gt;0,1,0)</f>
        <v>0</v>
      </c>
      <c r="AB6" s="61" t="str">
        <f>IF(AA6*Z6&lt;&gt;0,"Food","")</f>
        <v/>
      </c>
      <c r="AC6" s="61">
        <f>INT((Kingdom!$D$28+Kingdom!$D$30+Kingdom!$D$32+Kingdom!$D$34+Kingdom!$D$36+Kingdom!$D$38)/10)</f>
        <v>0</v>
      </c>
      <c r="AE6" s="61">
        <f>IF(VLOOKUP(B6,'City Overview'!$B$2:$V$27,13, FALSE)&gt;0,1,0)</f>
        <v>0</v>
      </c>
      <c r="AF6" s="61" t="str">
        <f>IF(AE6&gt;0,"Goods","")</f>
        <v/>
      </c>
      <c r="AG6" s="61">
        <f>INT((VLOOKUP(B6,'City Overview'!$B$2:$V$26,13,FALSE)+VLOOKUP(B6,'City Overview'!$B$2:$V$26,16,FALSE)+VLOOKUP(B6,'City Overview'!$B$2:$V$26,17,FALSE)+VLOOKUP(B6,'City Overview'!$B$2:$V$26,18,FALSE)+VLOOKUP(B6,'City Overview'!$B$2:$V$26,19,FALSE))/10)</f>
        <v>0</v>
      </c>
      <c r="AI6" s="61">
        <f>IF(VLOOKUP(B6,'City Overview'!$B$2:$V$27,14,FALSE),1,0)</f>
        <v>0</v>
      </c>
      <c r="AJ6" s="61" t="str">
        <f>IF(AI6&gt;0,"Luxury","")</f>
        <v/>
      </c>
      <c r="AK6" s="61">
        <f>INT((VLOOKUP(B6,'City Overview'!$B$2:$AA$26,20,FALSE)+VLOOKUP(B6,'City Overview'!$B$2:$AA$26,21,FALSE)*VLOOKUP(B6,'City Overview'!$B$2:$AA$26,22,FALSE)+VLOOKUP(B6,'City Overview'!$B$2:$AA$26,23,FALSE)+VLOOKUP(B6,'City Overview'!$B$2:$AA$26,24,FALSE)+VLOOKUP(B6,'City Overview'!$B$2:$AA$26,14,FALSE))/10)</f>
        <v>0</v>
      </c>
      <c r="AM6" s="61">
        <f>IF(VLOOKUP(B6,'City Overview'!$B$2:$V$27,15,FALSE),1,0)</f>
        <v>0</v>
      </c>
      <c r="AN6" s="61" t="str">
        <f>IF(AM6&gt;0,"Raw Materials","")</f>
        <v/>
      </c>
      <c r="AO6" s="61">
        <f>INT((Kingdom!$D$46+Kingdom!$D$48+Kingdom!$D$50+Kingdom!$D$52+Kingdom!$D$54+Kingdom!$D$56+Kingdom!$D$64+Kingdom!$D$66)/10)</f>
        <v>0</v>
      </c>
      <c r="AP6" s="61">
        <f>INT((Kingdom!$D$54+Kingdom!$D$56+Kingdom!$D$64+Kingdom!$D$66)/10)</f>
        <v>0</v>
      </c>
    </row>
    <row r="7" spans="1:42" s="65" customFormat="1" ht="3" customHeight="1" thickBot="1" x14ac:dyDescent="0.3">
      <c r="A7" s="146"/>
      <c r="B7" s="193"/>
      <c r="C7" s="298"/>
      <c r="D7" s="414"/>
      <c r="E7" s="67"/>
      <c r="F7" s="223"/>
      <c r="G7" s="223"/>
      <c r="H7" s="223"/>
      <c r="I7" s="223"/>
      <c r="J7" s="223"/>
      <c r="K7" s="223"/>
      <c r="L7" s="223"/>
      <c r="M7" s="223"/>
      <c r="N7" s="223"/>
      <c r="O7" s="223"/>
      <c r="P7" s="223"/>
      <c r="Q7" s="223"/>
      <c r="R7" s="223"/>
      <c r="S7" s="223"/>
      <c r="T7" s="223"/>
      <c r="U7" s="147"/>
    </row>
    <row r="8" spans="1:42" ht="15.75" thickBot="1" x14ac:dyDescent="0.3">
      <c r="A8" s="96"/>
      <c r="B8" s="409"/>
      <c r="C8" s="406"/>
      <c r="D8" s="409"/>
      <c r="E8" s="405"/>
      <c r="F8" s="413" t="str">
        <f>IF(W8=1,"Trade Route Available", "Trade Route Unavailable")</f>
        <v>Trade Route Unavailable</v>
      </c>
      <c r="G8" s="227"/>
      <c r="H8" s="410"/>
      <c r="I8" s="227"/>
      <c r="J8" s="413">
        <f>INT(H8/10)</f>
        <v>0</v>
      </c>
      <c r="K8" s="223"/>
      <c r="L8" s="413">
        <f>IF(Overall!$J$4-H8&lt;1,0,Overall!$J$4-H8)</f>
        <v>2</v>
      </c>
      <c r="M8" s="227"/>
      <c r="N8" s="413">
        <f>Overall!$R$4+VLOOKUP($B8,'City Overview'!$B$2:$V$27,7,FALSE)+$J$4+L8-VLOOKUP($B8,'City Overview'!$B$2:$V$26,9,FALSE)</f>
        <v>25</v>
      </c>
      <c r="O8" s="223"/>
      <c r="P8" s="413">
        <f>IF(H8-Overall!$J$4&lt;1,0,H8-Overall!$J$4)</f>
        <v>0</v>
      </c>
      <c r="Q8" s="223"/>
      <c r="R8" s="413">
        <f>Overall!$R$4+VLOOKUP($B8,'City Overview'!$B$2:$V$27,7,FALSE)+$J$4+P8-VLOOKUP($B8,'City Overview'!$B$2:$V$26,9,FALSE)</f>
        <v>23</v>
      </c>
      <c r="S8" s="223"/>
      <c r="T8" s="413" t="str">
        <f>IF(D8="Food",AC8,IF(D8="Goods",AG8,IF(D8="Luxuries",AK8,IF(D8="Raw Materials",IF(AM8&gt;0,AO8,AP8),""))))</f>
        <v/>
      </c>
      <c r="U8" s="97"/>
      <c r="W8" s="61" t="b">
        <f>IF(D8&lt;&gt;0,IF(D8=AB8,1,IF(D8=AF8,1,IF(D8=AJ8,1,IF(D8=AN8,1,IF((Kingdom!$D$54+Kingdom!$D$56+Kingdom!$D$64+Kingdom!$D$66)&gt;0,1,""))))))</f>
        <v>0</v>
      </c>
      <c r="Z8" s="61">
        <f>IF(Kingdom!$D$14&lt;(Kingdom!$D$2+'City Overview'!$E$27),1,0)</f>
        <v>1</v>
      </c>
      <c r="AA8" s="61">
        <f>IF((VLOOKUP(B8,'City Overview'!$B$2:$R$27,11, FALSE)+VLOOKUP(B8,'City Overview'!$B$2:$R$27,12,FALSE))&gt;0,1,0)</f>
        <v>0</v>
      </c>
      <c r="AB8" s="61" t="str">
        <f>IF(AA8*Z8&lt;&gt;0,"Food","")</f>
        <v/>
      </c>
      <c r="AC8" s="61">
        <f>INT((Kingdom!$D$28+Kingdom!$D$30+Kingdom!$D$32+Kingdom!$D$34+Kingdom!$D$36+Kingdom!$D$38)/10)</f>
        <v>0</v>
      </c>
      <c r="AE8" s="61">
        <f>IF(VLOOKUP(B8,'City Overview'!$B$2:$V$27,13, FALSE)&gt;0,1,0)</f>
        <v>0</v>
      </c>
      <c r="AF8" s="61" t="str">
        <f>IF(AE8&gt;0,"Goods","")</f>
        <v/>
      </c>
      <c r="AG8" s="61">
        <f>INT((VLOOKUP(B8,'City Overview'!$B$2:$V$26,13,FALSE)+VLOOKUP(B8,'City Overview'!$B$2:$V$26,16,FALSE)+VLOOKUP(B8,'City Overview'!$B$2:$V$26,17,FALSE)+VLOOKUP(B8,'City Overview'!$B$2:$V$26,18,FALSE)+VLOOKUP(B8,'City Overview'!$B$2:$V$26,19,FALSE))/10)</f>
        <v>0</v>
      </c>
      <c r="AI8" s="61">
        <f>IF(VLOOKUP(B8,'City Overview'!$B$2:$V$27,14,FALSE),1,0)</f>
        <v>0</v>
      </c>
      <c r="AJ8" s="61" t="str">
        <f>IF(AI8&gt;0,"Luxury","")</f>
        <v/>
      </c>
      <c r="AK8" s="61">
        <f>INT((VLOOKUP(B8,'City Overview'!$B$2:$AA$26,20,FALSE)+VLOOKUP(B8,'City Overview'!$B$2:$AA$26,21,FALSE)*VLOOKUP(B8,'City Overview'!$B$2:$AA$26,22,FALSE)+VLOOKUP(B8,'City Overview'!$B$2:$AA$26,23,FALSE)+VLOOKUP(B8,'City Overview'!$B$2:$AA$26,24,FALSE)+VLOOKUP(B8,'City Overview'!$B$2:$AA$26,14,FALSE))/10)</f>
        <v>0</v>
      </c>
      <c r="AM8" s="61">
        <f>IF(VLOOKUP(B8,'City Overview'!$B$2:$V$27,15,FALSE),1,0)</f>
        <v>0</v>
      </c>
      <c r="AN8" s="61" t="str">
        <f>IF(AM8&gt;0,"Raw Materials","")</f>
        <v/>
      </c>
      <c r="AO8" s="61">
        <f>INT((Kingdom!$D$46+Kingdom!$D$48+Kingdom!$D$50+Kingdom!$D$52+Kingdom!$D$54+Kingdom!$D$56+Kingdom!$D$64+Kingdom!$D$66)/10)</f>
        <v>0</v>
      </c>
      <c r="AP8" s="61">
        <f>INT((Kingdom!$D$54+Kingdom!$D$56+Kingdom!$D$64+Kingdom!$D$66)/10)</f>
        <v>0</v>
      </c>
    </row>
    <row r="9" spans="1:42" s="65" customFormat="1" ht="3" customHeight="1" thickBot="1" x14ac:dyDescent="0.3">
      <c r="A9" s="146"/>
      <c r="B9" s="193"/>
      <c r="C9" s="298"/>
      <c r="D9" s="414"/>
      <c r="E9" s="67"/>
      <c r="F9" s="223"/>
      <c r="G9" s="223"/>
      <c r="H9" s="223"/>
      <c r="I9" s="223"/>
      <c r="J9" s="223"/>
      <c r="K9" s="223"/>
      <c r="L9" s="223"/>
      <c r="M9" s="223"/>
      <c r="N9" s="223"/>
      <c r="O9" s="223"/>
      <c r="P9" s="223"/>
      <c r="Q9" s="223"/>
      <c r="R9" s="223"/>
      <c r="S9" s="223"/>
      <c r="T9" s="223"/>
      <c r="U9" s="147"/>
    </row>
    <row r="10" spans="1:42" ht="15.75" thickBot="1" x14ac:dyDescent="0.3">
      <c r="A10" s="96"/>
      <c r="B10" s="409"/>
      <c r="C10" s="406"/>
      <c r="D10" s="409"/>
      <c r="E10" s="405"/>
      <c r="F10" s="413" t="str">
        <f>IF(W10=1,"Trade Route Available", "Trade Route Unavailable")</f>
        <v>Trade Route Unavailable</v>
      </c>
      <c r="G10" s="227"/>
      <c r="H10" s="410"/>
      <c r="I10" s="227"/>
      <c r="J10" s="413">
        <f>INT(H10/10)</f>
        <v>0</v>
      </c>
      <c r="K10" s="223"/>
      <c r="L10" s="413">
        <f>IF(Overall!$J$4-H10&lt;1,0,Overall!$J$4-H10)</f>
        <v>2</v>
      </c>
      <c r="M10" s="227"/>
      <c r="N10" s="413">
        <f>Overall!$R$4+VLOOKUP($B10,'City Overview'!$B$2:$V$27,7,FALSE)+$J$4+L10-VLOOKUP($B10,'City Overview'!$B$2:$V$26,9,FALSE)</f>
        <v>25</v>
      </c>
      <c r="O10" s="223"/>
      <c r="P10" s="413">
        <f>IF(H10-Overall!$J$4&lt;1,0,H10-Overall!$J$4)</f>
        <v>0</v>
      </c>
      <c r="Q10" s="223"/>
      <c r="R10" s="413">
        <f>Overall!$R$4+VLOOKUP($B10,'City Overview'!$B$2:$V$27,7,FALSE)+$J$4+P10-VLOOKUP($B10,'City Overview'!$B$2:$V$26,9,FALSE)</f>
        <v>23</v>
      </c>
      <c r="S10" s="223"/>
      <c r="T10" s="413" t="str">
        <f>IF(D10="Food",AC10,IF(D10="Goods",AG10,IF(D10="Luxuries",AK10,IF(D10="Raw Materials",IF(AM10&gt;0,AO10,AP10),""))))</f>
        <v/>
      </c>
      <c r="U10" s="97"/>
      <c r="W10" s="61" t="b">
        <f>IF(D10&lt;&gt;0,IF(D10=AB10,1,IF(D10=AF10,1,IF(D10=AJ10,1,IF(D10=AN10,1,IF((Kingdom!$D$54+Kingdom!$D$56+Kingdom!$D$64+Kingdom!$D$66)&gt;0,1,""))))))</f>
        <v>0</v>
      </c>
      <c r="Z10" s="61">
        <f>IF(Kingdom!$D$14&lt;(Kingdom!$D$2+'City Overview'!$E$27),1,0)</f>
        <v>1</v>
      </c>
      <c r="AA10" s="61">
        <f>IF((VLOOKUP(B10,'City Overview'!$B$2:$R$27,11, FALSE)+VLOOKUP(B10,'City Overview'!$B$2:$R$27,12,FALSE))&gt;0,1,0)</f>
        <v>0</v>
      </c>
      <c r="AB10" s="61" t="str">
        <f>IF(AA10*Z10&lt;&gt;0,"Food","")</f>
        <v/>
      </c>
      <c r="AC10" s="61">
        <f>INT((Kingdom!$D$28+Kingdom!$D$30+Kingdom!$D$32+Kingdom!$D$34+Kingdom!$D$36+Kingdom!$D$38)/10)</f>
        <v>0</v>
      </c>
      <c r="AE10" s="61">
        <f>IF(VLOOKUP(B10,'City Overview'!$B$2:$V$27,13, FALSE)&gt;0,1,0)</f>
        <v>0</v>
      </c>
      <c r="AF10" s="61" t="str">
        <f>IF(AE10&gt;0,"Goods","")</f>
        <v/>
      </c>
      <c r="AG10" s="61">
        <f>INT((VLOOKUP(B10,'City Overview'!$B$2:$V$26,13,FALSE)+VLOOKUP(B10,'City Overview'!$B$2:$V$26,16,FALSE)+VLOOKUP(B10,'City Overview'!$B$2:$V$26,17,FALSE)+VLOOKUP(B10,'City Overview'!$B$2:$V$26,18,FALSE)+VLOOKUP(B10,'City Overview'!$B$2:$V$26,19,FALSE))/10)</f>
        <v>0</v>
      </c>
      <c r="AI10" s="61">
        <f>IF(VLOOKUP(B10,'City Overview'!$B$2:$V$27,14,FALSE),1,0)</f>
        <v>0</v>
      </c>
      <c r="AJ10" s="61" t="str">
        <f>IF(AI10&gt;0,"Luxury","")</f>
        <v/>
      </c>
      <c r="AK10" s="61">
        <f>INT((VLOOKUP(B10,'City Overview'!$B$2:$AA$26,20,FALSE)+VLOOKUP(B10,'City Overview'!$B$2:$AA$26,21,FALSE)*VLOOKUP(B10,'City Overview'!$B$2:$AA$26,22,FALSE)+VLOOKUP(B10,'City Overview'!$B$2:$AA$26,23,FALSE)+VLOOKUP(B10,'City Overview'!$B$2:$AA$26,24,FALSE)+VLOOKUP(B10,'City Overview'!$B$2:$AA$26,14,FALSE))/10)</f>
        <v>0</v>
      </c>
      <c r="AM10" s="61">
        <f>IF(VLOOKUP(B10,'City Overview'!$B$2:$V$27,15,FALSE),1,0)</f>
        <v>0</v>
      </c>
      <c r="AN10" s="61" t="str">
        <f>IF(AM10&gt;0,"Raw Materials","")</f>
        <v/>
      </c>
      <c r="AO10" s="61">
        <f>INT((Kingdom!$D$46+Kingdom!$D$48+Kingdom!$D$50+Kingdom!$D$52+Kingdom!$D$54+Kingdom!$D$56+Kingdom!$D$64+Kingdom!$D$66)/10)</f>
        <v>0</v>
      </c>
      <c r="AP10" s="61">
        <f>INT((Kingdom!$D$54+Kingdom!$D$56+Kingdom!$D$64+Kingdom!$D$66)/10)</f>
        <v>0</v>
      </c>
    </row>
    <row r="11" spans="1:42" ht="3" customHeight="1" thickBot="1" x14ac:dyDescent="0.3">
      <c r="A11" s="389"/>
      <c r="B11" s="70"/>
      <c r="C11" s="70"/>
      <c r="D11" s="70"/>
      <c r="E11" s="70"/>
      <c r="F11" s="70"/>
      <c r="G11" s="70"/>
      <c r="H11" s="70"/>
      <c r="I11" s="70"/>
      <c r="J11" s="70"/>
      <c r="K11" s="70"/>
      <c r="L11" s="70"/>
      <c r="M11" s="70"/>
      <c r="N11" s="70"/>
      <c r="O11" s="71"/>
      <c r="P11" s="70"/>
      <c r="Q11" s="71"/>
      <c r="R11" s="70"/>
      <c r="S11" s="71"/>
      <c r="T11" s="70"/>
      <c r="U11" s="191"/>
    </row>
  </sheetData>
  <sheetProtection sheet="1" objects="1" scenarios="1" selectLockedCells="1"/>
  <dataValidations count="4">
    <dataValidation type="list" allowBlank="1" showInputMessage="1" showErrorMessage="1" sqref="B5 B7 B9">
      <formula1>Cities</formula1>
    </dataValidation>
    <dataValidation type="list" allowBlank="1" showInputMessage="1" showErrorMessage="1" sqref="E4:E10 D5 D7 D9">
      <formula1>TRT</formula1>
    </dataValidation>
    <dataValidation type="list" allowBlank="1" showInputMessage="1" showErrorMessage="1" sqref="B4 B6 B8 B10">
      <formula1>CityNames</formula1>
    </dataValidation>
    <dataValidation type="list" allowBlank="1" showInputMessage="1" showErrorMessage="1" sqref="D4 D6 D8 D10">
      <formula1>TradeRouteType</formula1>
    </dataValidation>
  </dataValidation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L35"/>
  <sheetViews>
    <sheetView workbookViewId="0">
      <selection activeCell="D4" sqref="D4"/>
    </sheetView>
  </sheetViews>
  <sheetFormatPr defaultRowHeight="15" x14ac:dyDescent="0.25"/>
  <cols>
    <col min="1" max="1" width="0.85546875" style="61" customWidth="1"/>
    <col min="2" max="2" width="16.85546875" style="61" bestFit="1" customWidth="1"/>
    <col min="3" max="3" width="0.85546875" style="61" customWidth="1"/>
    <col min="4" max="4" width="17.7109375" style="61" customWidth="1"/>
    <col min="5" max="5" width="0.85546875" style="61" customWidth="1"/>
    <col min="6" max="6" width="41.85546875" style="61" customWidth="1"/>
    <col min="7" max="7" width="0.85546875" style="61" customWidth="1"/>
    <col min="8" max="9" width="9.140625" style="61"/>
    <col min="10" max="12" width="9.140625" style="61" hidden="1" customWidth="1"/>
    <col min="13" max="16384" width="9.140625" style="61"/>
  </cols>
  <sheetData>
    <row r="1" spans="1:12" ht="3" customHeight="1" x14ac:dyDescent="0.25">
      <c r="A1" s="141"/>
      <c r="B1" s="142"/>
      <c r="C1" s="142"/>
      <c r="D1" s="142"/>
      <c r="E1" s="142"/>
      <c r="F1" s="142"/>
      <c r="G1" s="144"/>
    </row>
    <row r="2" spans="1:12" x14ac:dyDescent="0.25">
      <c r="A2" s="96"/>
      <c r="B2" s="565" t="s">
        <v>255</v>
      </c>
      <c r="C2" s="573"/>
      <c r="D2" s="565" t="s">
        <v>811</v>
      </c>
      <c r="E2" s="573"/>
      <c r="F2" s="565" t="s">
        <v>78</v>
      </c>
      <c r="G2" s="97"/>
      <c r="J2" s="61" t="s">
        <v>50</v>
      </c>
      <c r="K2" s="61" t="s">
        <v>629</v>
      </c>
      <c r="L2" s="61" t="s">
        <v>61</v>
      </c>
    </row>
    <row r="3" spans="1:12" ht="3" customHeight="1" thickBot="1" x14ac:dyDescent="0.3">
      <c r="A3" s="96"/>
      <c r="B3" s="566"/>
      <c r="C3" s="566"/>
      <c r="D3" s="566"/>
      <c r="E3" s="566"/>
      <c r="F3" s="566"/>
      <c r="G3" s="97"/>
    </row>
    <row r="4" spans="1:12" ht="15.75" thickBot="1" x14ac:dyDescent="0.3">
      <c r="A4" s="96"/>
      <c r="B4" s="574" t="s">
        <v>0</v>
      </c>
      <c r="C4" s="566"/>
      <c r="D4" s="403"/>
      <c r="E4" s="566"/>
      <c r="F4" s="39"/>
      <c r="G4" s="97"/>
      <c r="J4" s="61">
        <f>IF($F4&lt;&gt;0,1,0)</f>
        <v>0</v>
      </c>
      <c r="K4" s="61">
        <f>IF($F4&lt;&gt;0,1,0)</f>
        <v>0</v>
      </c>
      <c r="L4" s="61">
        <f>IF($F4&lt;&gt;0,1,0)</f>
        <v>0</v>
      </c>
    </row>
    <row r="5" spans="1:12" ht="3" customHeight="1" thickBot="1" x14ac:dyDescent="0.3">
      <c r="A5" s="96"/>
      <c r="B5" s="566"/>
      <c r="C5" s="566"/>
      <c r="D5" s="566"/>
      <c r="E5" s="566"/>
      <c r="F5" s="566"/>
      <c r="G5" s="97"/>
    </row>
    <row r="6" spans="1:12" ht="15.75" thickBot="1" x14ac:dyDescent="0.3">
      <c r="A6" s="96"/>
      <c r="B6" s="574" t="s">
        <v>2</v>
      </c>
      <c r="C6" s="566"/>
      <c r="D6" s="403"/>
      <c r="E6" s="566"/>
      <c r="F6" s="39"/>
      <c r="G6" s="97"/>
      <c r="J6" s="61">
        <f>IF($F6&lt;&gt;0,1,0)</f>
        <v>0</v>
      </c>
      <c r="K6" s="61">
        <f>IF($F6&lt;&gt;0,1,0)</f>
        <v>0</v>
      </c>
      <c r="L6" s="61">
        <f t="shared" ref="L6:L30" si="0">IF($F6&lt;&gt;0,1,0)</f>
        <v>0</v>
      </c>
    </row>
    <row r="7" spans="1:12" ht="3" customHeight="1" thickBot="1" x14ac:dyDescent="0.3">
      <c r="A7" s="96"/>
      <c r="B7" s="566"/>
      <c r="C7" s="566"/>
      <c r="D7" s="566"/>
      <c r="E7" s="566"/>
      <c r="F7" s="566"/>
      <c r="G7" s="97"/>
    </row>
    <row r="8" spans="1:12" ht="15.75" thickBot="1" x14ac:dyDescent="0.3">
      <c r="A8" s="96"/>
      <c r="B8" s="574" t="s">
        <v>1214</v>
      </c>
      <c r="C8" s="566"/>
      <c r="D8" s="403"/>
      <c r="E8" s="566"/>
      <c r="F8" s="39"/>
      <c r="G8" s="97"/>
      <c r="J8" s="61">
        <f>IF($F8&lt;&gt;0,1,0)</f>
        <v>0</v>
      </c>
      <c r="K8" s="61">
        <f>IF($F8&lt;&gt;0,1,0)</f>
        <v>0</v>
      </c>
      <c r="L8" s="61">
        <f t="shared" si="0"/>
        <v>0</v>
      </c>
    </row>
    <row r="9" spans="1:12" ht="3" customHeight="1" thickBot="1" x14ac:dyDescent="0.3">
      <c r="A9" s="96"/>
      <c r="B9" s="566"/>
      <c r="C9" s="566"/>
      <c r="D9" s="566"/>
      <c r="E9" s="566"/>
      <c r="F9" s="566"/>
      <c r="G9" s="97"/>
    </row>
    <row r="10" spans="1:12" ht="15.75" thickBot="1" x14ac:dyDescent="0.3">
      <c r="A10" s="96"/>
      <c r="B10" s="574" t="s">
        <v>330</v>
      </c>
      <c r="C10" s="566"/>
      <c r="D10" s="403"/>
      <c r="E10" s="566"/>
      <c r="F10" s="39"/>
      <c r="G10" s="97"/>
      <c r="J10" s="61">
        <f>IF($F10&lt;&gt;0,1,0)</f>
        <v>0</v>
      </c>
      <c r="K10" s="61">
        <f>IF($F10&lt;&gt;0,1,0)</f>
        <v>0</v>
      </c>
      <c r="L10" s="61">
        <f t="shared" si="0"/>
        <v>0</v>
      </c>
    </row>
    <row r="11" spans="1:12" ht="3" customHeight="1" thickBot="1" x14ac:dyDescent="0.3">
      <c r="A11" s="96"/>
      <c r="B11" s="566"/>
      <c r="C11" s="566"/>
      <c r="D11" s="566"/>
      <c r="E11" s="566"/>
      <c r="F11" s="566"/>
      <c r="G11" s="97"/>
    </row>
    <row r="12" spans="1:12" ht="15.75" thickBot="1" x14ac:dyDescent="0.3">
      <c r="A12" s="96"/>
      <c r="B12" s="574" t="s">
        <v>1222</v>
      </c>
      <c r="C12" s="566"/>
      <c r="D12" s="403"/>
      <c r="E12" s="566"/>
      <c r="F12" s="39"/>
      <c r="G12" s="97"/>
      <c r="J12" s="61">
        <f>IF($F12&lt;&gt;0,1,0)</f>
        <v>0</v>
      </c>
      <c r="K12" s="61">
        <f>IF($F12&lt;&gt;0,1,0)</f>
        <v>0</v>
      </c>
      <c r="L12" s="61">
        <f t="shared" si="0"/>
        <v>0</v>
      </c>
    </row>
    <row r="13" spans="1:12" ht="3" customHeight="1" thickBot="1" x14ac:dyDescent="0.3">
      <c r="A13" s="96"/>
      <c r="B13" s="566"/>
      <c r="C13" s="566"/>
      <c r="D13" s="566"/>
      <c r="E13" s="566"/>
      <c r="F13" s="566"/>
      <c r="G13" s="97"/>
    </row>
    <row r="14" spans="1:12" ht="15.75" thickBot="1" x14ac:dyDescent="0.3">
      <c r="A14" s="96"/>
      <c r="B14" s="574" t="s">
        <v>1233</v>
      </c>
      <c r="C14" s="566"/>
      <c r="D14" s="403"/>
      <c r="E14" s="566"/>
      <c r="F14" s="39"/>
      <c r="G14" s="97"/>
      <c r="J14" s="61">
        <f>IF($F14&lt;&gt;0,1,0)</f>
        <v>0</v>
      </c>
      <c r="K14" s="61">
        <f>IF($F14&lt;&gt;0,1,0)</f>
        <v>0</v>
      </c>
      <c r="L14" s="61">
        <f t="shared" si="0"/>
        <v>0</v>
      </c>
    </row>
    <row r="15" spans="1:12" ht="3" customHeight="1" thickBot="1" x14ac:dyDescent="0.3">
      <c r="A15" s="96"/>
      <c r="B15" s="566"/>
      <c r="C15" s="566"/>
      <c r="D15" s="566"/>
      <c r="E15" s="566"/>
      <c r="F15" s="566"/>
      <c r="G15" s="97"/>
    </row>
    <row r="16" spans="1:12" ht="15.75" thickBot="1" x14ac:dyDescent="0.3">
      <c r="A16" s="96"/>
      <c r="B16" s="574" t="s">
        <v>339</v>
      </c>
      <c r="C16" s="566"/>
      <c r="D16" s="403"/>
      <c r="E16" s="566"/>
      <c r="F16" s="39"/>
      <c r="G16" s="97"/>
      <c r="J16" s="61">
        <f>IF($F16&lt;&gt;0,1,0)</f>
        <v>0</v>
      </c>
      <c r="K16" s="61">
        <f>IF($F16&lt;&gt;0,1,0)</f>
        <v>0</v>
      </c>
      <c r="L16" s="61">
        <f t="shared" si="0"/>
        <v>0</v>
      </c>
    </row>
    <row r="17" spans="1:12" ht="3" customHeight="1" thickBot="1" x14ac:dyDescent="0.3">
      <c r="A17" s="96"/>
      <c r="B17" s="566"/>
      <c r="C17" s="566"/>
      <c r="D17" s="566"/>
      <c r="E17" s="566"/>
      <c r="F17" s="566"/>
      <c r="G17" s="97"/>
    </row>
    <row r="18" spans="1:12" ht="15.75" thickBot="1" x14ac:dyDescent="0.3">
      <c r="A18" s="96"/>
      <c r="B18" s="574" t="s">
        <v>20</v>
      </c>
      <c r="C18" s="566"/>
      <c r="D18" s="403"/>
      <c r="E18" s="566"/>
      <c r="F18" s="39"/>
      <c r="G18" s="97"/>
      <c r="J18" s="61">
        <f>IF($F18&lt;&gt;0,1,0)</f>
        <v>0</v>
      </c>
      <c r="K18" s="61">
        <f>IF($F18&lt;&gt;0,1,0)</f>
        <v>0</v>
      </c>
      <c r="L18" s="61">
        <f t="shared" si="0"/>
        <v>0</v>
      </c>
    </row>
    <row r="19" spans="1:12" ht="3" customHeight="1" thickBot="1" x14ac:dyDescent="0.3">
      <c r="A19" s="96"/>
      <c r="B19" s="566"/>
      <c r="C19" s="566"/>
      <c r="D19" s="566"/>
      <c r="E19" s="566"/>
      <c r="F19" s="566"/>
      <c r="G19" s="97"/>
    </row>
    <row r="20" spans="1:12" ht="15.75" thickBot="1" x14ac:dyDescent="0.3">
      <c r="A20" s="96"/>
      <c r="B20" s="574" t="s">
        <v>340</v>
      </c>
      <c r="C20" s="566"/>
      <c r="D20" s="403"/>
      <c r="E20" s="566"/>
      <c r="F20" s="39"/>
      <c r="G20" s="97"/>
      <c r="J20" s="61">
        <f>IF($F20&lt;&gt;0,1,0)</f>
        <v>0</v>
      </c>
      <c r="K20" s="61">
        <f>IF($F20&lt;&gt;0,1,0)</f>
        <v>0</v>
      </c>
      <c r="L20" s="61">
        <f t="shared" si="0"/>
        <v>0</v>
      </c>
    </row>
    <row r="21" spans="1:12" ht="3" customHeight="1" thickBot="1" x14ac:dyDescent="0.3">
      <c r="A21" s="96"/>
      <c r="B21" s="566"/>
      <c r="C21" s="566"/>
      <c r="D21" s="566"/>
      <c r="E21" s="566"/>
      <c r="F21" s="566"/>
      <c r="G21" s="97"/>
    </row>
    <row r="22" spans="1:12" ht="15.75" thickBot="1" x14ac:dyDescent="0.3">
      <c r="A22" s="96"/>
      <c r="B22" s="574" t="s">
        <v>341</v>
      </c>
      <c r="C22" s="566"/>
      <c r="D22" s="403"/>
      <c r="E22" s="566"/>
      <c r="F22" s="39"/>
      <c r="G22" s="97"/>
      <c r="J22" s="61">
        <f>IF($F22&lt;&gt;0,1,0)</f>
        <v>0</v>
      </c>
      <c r="K22" s="61">
        <f>IF($F22&lt;&gt;0,1,0)</f>
        <v>0</v>
      </c>
      <c r="L22" s="61">
        <f t="shared" si="0"/>
        <v>0</v>
      </c>
    </row>
    <row r="23" spans="1:12" ht="3" customHeight="1" thickBot="1" x14ac:dyDescent="0.3">
      <c r="A23" s="96"/>
      <c r="B23" s="566"/>
      <c r="C23" s="566"/>
      <c r="D23" s="566"/>
      <c r="E23" s="566"/>
      <c r="F23" s="566"/>
      <c r="G23" s="97"/>
    </row>
    <row r="24" spans="1:12" ht="15.75" thickBot="1" x14ac:dyDescent="0.3">
      <c r="A24" s="96"/>
      <c r="B24" s="574" t="s">
        <v>342</v>
      </c>
      <c r="C24" s="566"/>
      <c r="D24" s="403"/>
      <c r="E24" s="566"/>
      <c r="F24" s="39"/>
      <c r="G24" s="97"/>
      <c r="J24" s="61">
        <f>IF($F24&lt;&gt;0,1,0)</f>
        <v>0</v>
      </c>
      <c r="K24" s="61">
        <f>IF($F24&lt;&gt;0,1,0)</f>
        <v>0</v>
      </c>
      <c r="L24" s="61">
        <f t="shared" si="0"/>
        <v>0</v>
      </c>
    </row>
    <row r="25" spans="1:12" ht="3" customHeight="1" thickBot="1" x14ac:dyDescent="0.3">
      <c r="A25" s="96"/>
      <c r="B25" s="566"/>
      <c r="C25" s="566"/>
      <c r="D25" s="566"/>
      <c r="E25" s="566"/>
      <c r="F25" s="566"/>
      <c r="G25" s="97"/>
    </row>
    <row r="26" spans="1:12" ht="15.75" thickBot="1" x14ac:dyDescent="0.3">
      <c r="A26" s="96"/>
      <c r="B26" s="574" t="s">
        <v>344</v>
      </c>
      <c r="C26" s="566"/>
      <c r="D26" s="403"/>
      <c r="E26" s="566"/>
      <c r="F26" s="39"/>
      <c r="G26" s="97"/>
      <c r="J26" s="61">
        <f>IF($F26&lt;&gt;0,1,0)</f>
        <v>0</v>
      </c>
      <c r="K26" s="61">
        <f>IF($F26&lt;&gt;0,1,0)</f>
        <v>0</v>
      </c>
      <c r="L26" s="61">
        <f t="shared" si="0"/>
        <v>0</v>
      </c>
    </row>
    <row r="27" spans="1:12" ht="3" customHeight="1" thickBot="1" x14ac:dyDescent="0.3">
      <c r="A27" s="96"/>
      <c r="B27" s="566"/>
      <c r="C27" s="566"/>
      <c r="D27" s="566"/>
      <c r="E27" s="566"/>
      <c r="F27" s="566"/>
      <c r="G27" s="97"/>
    </row>
    <row r="28" spans="1:12" ht="15.75" thickBot="1" x14ac:dyDescent="0.3">
      <c r="A28" s="96"/>
      <c r="B28" s="574" t="s">
        <v>345</v>
      </c>
      <c r="C28" s="566"/>
      <c r="D28" s="403"/>
      <c r="E28" s="566"/>
      <c r="F28" s="39"/>
      <c r="G28" s="97"/>
      <c r="J28" s="61">
        <f>IF($F28&lt;&gt;0,1,0)</f>
        <v>0</v>
      </c>
      <c r="K28" s="61">
        <f>IF($F28&lt;&gt;0,1,0)</f>
        <v>0</v>
      </c>
      <c r="L28" s="61">
        <f t="shared" si="0"/>
        <v>0</v>
      </c>
    </row>
    <row r="29" spans="1:12" ht="3" customHeight="1" thickBot="1" x14ac:dyDescent="0.3">
      <c r="A29" s="96"/>
      <c r="B29" s="566"/>
      <c r="C29" s="566"/>
      <c r="D29" s="566"/>
      <c r="E29" s="566"/>
      <c r="F29" s="566"/>
      <c r="G29" s="97"/>
    </row>
    <row r="30" spans="1:12" ht="15.75" thickBot="1" x14ac:dyDescent="0.3">
      <c r="A30" s="96"/>
      <c r="B30" s="574" t="s">
        <v>1643</v>
      </c>
      <c r="C30" s="566"/>
      <c r="D30" s="403"/>
      <c r="E30" s="566"/>
      <c r="F30" s="39"/>
      <c r="G30" s="97"/>
      <c r="J30" s="61">
        <f>IF($F30&lt;&gt;0,1,0)</f>
        <v>0</v>
      </c>
      <c r="K30" s="61">
        <f>IF($F30&lt;&gt;0,1,0)</f>
        <v>0</v>
      </c>
      <c r="L30" s="61">
        <f t="shared" si="0"/>
        <v>0</v>
      </c>
    </row>
    <row r="31" spans="1:12" ht="3" customHeight="1" thickBot="1" x14ac:dyDescent="0.3">
      <c r="A31" s="389"/>
      <c r="B31" s="70"/>
      <c r="C31" s="70"/>
      <c r="D31" s="70"/>
      <c r="E31" s="70"/>
      <c r="F31" s="70"/>
      <c r="G31" s="191"/>
    </row>
    <row r="33" spans="10:12" ht="3" customHeight="1" x14ac:dyDescent="0.25"/>
    <row r="34" spans="10:12" x14ac:dyDescent="0.25">
      <c r="J34" s="61">
        <f>SUM(J4:J30)</f>
        <v>0</v>
      </c>
      <c r="K34" s="61">
        <f>SUM(K4:K30)</f>
        <v>0</v>
      </c>
      <c r="L34" s="61">
        <f>SUM(L4:L30)</f>
        <v>0</v>
      </c>
    </row>
    <row r="35" spans="10:12" ht="3" customHeight="1" x14ac:dyDescent="0.25"/>
  </sheetData>
  <sheetProtection sheet="1" objects="1" scenarios="1" selectLockedCells="1"/>
  <dataValidations count="1">
    <dataValidation type="list" allowBlank="1" showInputMessage="1" showErrorMessage="1" sqref="D4 D6 D8 D10 D12 D14 D16 D18 D20 D22 D24 D26 D28 D30">
      <formula1>CityNames</formula1>
    </dataValidation>
  </dataValidation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Z26"/>
  <sheetViews>
    <sheetView workbookViewId="0">
      <selection activeCell="B2" sqref="B2"/>
    </sheetView>
  </sheetViews>
  <sheetFormatPr defaultRowHeight="15" x14ac:dyDescent="0.25"/>
  <cols>
    <col min="1" max="1" width="13.7109375" customWidth="1"/>
    <col min="3" max="3" width="12.85546875" customWidth="1"/>
    <col min="7" max="7" width="12.42578125" customWidth="1"/>
    <col min="9" max="9" width="10" customWidth="1"/>
    <col min="10" max="10" width="13.85546875" customWidth="1"/>
    <col min="12" max="12" width="11.28515625" customWidth="1"/>
    <col min="14" max="14" width="10.85546875" customWidth="1"/>
    <col min="19" max="19" width="9.5703125" customWidth="1"/>
    <col min="20" max="20" width="10.42578125" customWidth="1"/>
  </cols>
  <sheetData>
    <row r="1" spans="1:52" ht="163.5" x14ac:dyDescent="0.25">
      <c r="A1" t="s">
        <v>1680</v>
      </c>
      <c r="B1" t="s">
        <v>214</v>
      </c>
      <c r="C1" t="s">
        <v>1681</v>
      </c>
      <c r="D1" t="s">
        <v>1552</v>
      </c>
      <c r="F1" s="139" t="s">
        <v>2</v>
      </c>
      <c r="G1" s="139" t="s">
        <v>4</v>
      </c>
      <c r="H1" s="139" t="s">
        <v>1218</v>
      </c>
      <c r="I1" s="139" t="s">
        <v>333</v>
      </c>
      <c r="J1" s="139" t="s">
        <v>1229</v>
      </c>
      <c r="K1" s="139" t="s">
        <v>18</v>
      </c>
      <c r="L1" s="139" t="s">
        <v>21</v>
      </c>
      <c r="M1" s="139" t="s">
        <v>24</v>
      </c>
      <c r="N1" s="139" t="s">
        <v>26</v>
      </c>
      <c r="O1" s="139" t="s">
        <v>347</v>
      </c>
      <c r="P1" s="139" t="s">
        <v>28</v>
      </c>
      <c r="Q1" s="139" t="s">
        <v>30</v>
      </c>
      <c r="R1" s="139" t="s">
        <v>35</v>
      </c>
      <c r="S1" s="139" t="s">
        <v>9</v>
      </c>
      <c r="T1" s="139" t="s">
        <v>15</v>
      </c>
      <c r="U1" s="139" t="s">
        <v>31</v>
      </c>
      <c r="V1" s="139" t="s">
        <v>36</v>
      </c>
      <c r="Y1" s="198" t="s">
        <v>359</v>
      </c>
      <c r="Z1" s="198" t="s">
        <v>360</v>
      </c>
      <c r="AA1" s="198" t="s">
        <v>361</v>
      </c>
      <c r="AB1" s="198" t="s">
        <v>362</v>
      </c>
      <c r="AC1" s="198" t="s">
        <v>629</v>
      </c>
      <c r="AD1" s="198" t="s">
        <v>630</v>
      </c>
      <c r="AE1" s="198" t="s">
        <v>369</v>
      </c>
      <c r="AF1" s="76" t="s">
        <v>408</v>
      </c>
      <c r="AG1" s="76" t="s">
        <v>409</v>
      </c>
      <c r="AH1" s="76" t="s">
        <v>410</v>
      </c>
      <c r="AI1" s="76" t="s">
        <v>411</v>
      </c>
      <c r="AJ1" s="76" t="s">
        <v>412</v>
      </c>
      <c r="AK1" s="76" t="s">
        <v>413</v>
      </c>
      <c r="AL1" s="76" t="s">
        <v>414</v>
      </c>
      <c r="AM1" s="76" t="s">
        <v>415</v>
      </c>
      <c r="AN1" s="76" t="s">
        <v>416</v>
      </c>
      <c r="AO1" s="76" t="s">
        <v>417</v>
      </c>
      <c r="AP1" s="76" t="s">
        <v>418</v>
      </c>
      <c r="AQ1" s="76" t="s">
        <v>419</v>
      </c>
      <c r="AR1" s="76" t="s">
        <v>420</v>
      </c>
      <c r="AS1" s="76" t="s">
        <v>421</v>
      </c>
      <c r="AT1" s="76" t="s">
        <v>422</v>
      </c>
      <c r="AU1" s="3" t="s">
        <v>646</v>
      </c>
      <c r="AV1" s="3" t="s">
        <v>647</v>
      </c>
      <c r="AW1" s="3" t="s">
        <v>648</v>
      </c>
      <c r="AX1" s="8" t="s">
        <v>643</v>
      </c>
      <c r="AY1" s="8" t="s">
        <v>644</v>
      </c>
      <c r="AZ1" s="8" t="s">
        <v>649</v>
      </c>
    </row>
    <row r="2" spans="1:52" x14ac:dyDescent="0.25">
      <c r="A2" t="s">
        <v>1682</v>
      </c>
      <c r="B2" t="s">
        <v>212</v>
      </c>
      <c r="D2" t="s">
        <v>102</v>
      </c>
      <c r="F2">
        <f>IF($D2&lt;&gt;"",VLOOKUP($D2,'City Overview'!$A$2:$AT$26,30,FALSE),0)</f>
        <v>0</v>
      </c>
      <c r="G2">
        <f>IF($D2&lt;&gt;"",VLOOKUP($D2,'City Overview'!$A$2:$AT$26,31,FALSE),0)</f>
        <v>0</v>
      </c>
      <c r="H2">
        <f>IF($D2&lt;&gt;"",VLOOKUP($D2,'City Overview'!$A$2:$AT$26,32,FALSE),0)</f>
        <v>0</v>
      </c>
      <c r="I2">
        <f>IF($D2&lt;&gt;"",VLOOKUP($D2,'City Overview'!$A$2:$AT$26,33,FALSE),0)</f>
        <v>0</v>
      </c>
      <c r="J2">
        <f>IF($D2&lt;&gt;"",VLOOKUP($D2,'City Overview'!$A$2:$AT$26,34,FALSE),0)</f>
        <v>0</v>
      </c>
      <c r="K2">
        <f>IF($D2&lt;&gt;"",VLOOKUP($D2,'City Overview'!$A$2:$AT$26,35,FALSE),0)</f>
        <v>0</v>
      </c>
      <c r="L2">
        <f>IF($D2&lt;&gt;"",VLOOKUP($D2,'City Overview'!$A$2:$AT$26,36,FALSE),0)</f>
        <v>0</v>
      </c>
      <c r="M2">
        <f>IF($D2&lt;&gt;"",VLOOKUP($D2,'City Overview'!$A$2:$AT$26,37,FALSE),0)</f>
        <v>0</v>
      </c>
      <c r="N2">
        <f>IF($D2&lt;&gt;"",VLOOKUP($D2,'City Overview'!$A$2:$AT$26,38,FALSE),0)</f>
        <v>0</v>
      </c>
      <c r="O2">
        <f>IF($D2&lt;&gt;"",VLOOKUP($D2,'City Overview'!$A$2:$AT$26,39,FALSE),0)</f>
        <v>0</v>
      </c>
      <c r="P2">
        <f>IF($D2&lt;&gt;"",VLOOKUP($D2,'City Overview'!$A$2:$AT$26,40,FALSE),0)</f>
        <v>0</v>
      </c>
      <c r="Q2">
        <f>IF($D2&lt;&gt;"",VLOOKUP($D2,'City Overview'!$A$2:$AT$26,41,FALSE),0)</f>
        <v>0</v>
      </c>
      <c r="R2">
        <f>IF($D2&lt;&gt;"",VLOOKUP($D2,'City Overview'!$A$2:$AT$26,42,FALSE),0)</f>
        <v>0</v>
      </c>
      <c r="S2">
        <f>IF($D2&lt;&gt;"",VLOOKUP($D2,'City Overview'!$A$2:$AT$26,43,FALSE),0)</f>
        <v>0</v>
      </c>
      <c r="T2">
        <f>IF($D2&lt;&gt;"",VLOOKUP($D2,'City Overview'!$A$2:$AT$26,44,FALSE),0)</f>
        <v>0</v>
      </c>
      <c r="U2">
        <f>IF($D2&lt;&gt;"",VLOOKUP($D2,'City Overview'!$A$2:$AT$26,45,FALSE),0)</f>
        <v>1</v>
      </c>
      <c r="V2">
        <f>IF($D2&lt;&gt;"",VLOOKUP($D2,'City Overview'!$A$2:$AT$26,46,FALSE),0)</f>
        <v>0</v>
      </c>
      <c r="Y2">
        <f>$F2*VLOOKUP($F$1,Table14[],5,FALSE)+$G2*VLOOKUP($G$1,Table14[],5,FALSE)+$H2*VLOOKUP($H$1,Table14[],5,FALSE)+$I2*VLOOKUP($I$1,Table14[],5,FALSE)+$J2*VLOOKUP($J$1,Table14[],5,FALSE)+$K2*VLOOKUP($K$1,Table14[],5,FALSE)+$L2*VLOOKUP($L$1,Table14[],5,FALSE)+$M2*VLOOKUP($M$1,Table14[],5,FALSE)+$N2*VLOOKUP($N$1,Table14[],5,FALSE)+$O2*VLOOKUP($O$1,Table14[],5,FALSE)+$P2*VLOOKUP($P$1,Table14[],5,FALSE)+$Q2*VLOOKUP($Q$1,Table14[],5,FALSE)+$R2*VLOOKUP($R$1,Table14[],5,FALSE)</f>
        <v>0</v>
      </c>
    </row>
    <row r="3" spans="1:52" x14ac:dyDescent="0.25">
      <c r="D3" t="s">
        <v>103</v>
      </c>
      <c r="F3">
        <f>IF($D3&lt;&gt;"",VLOOKUP($D3,'City Overview'!$A$2:$AT$26,30,FALSE),0)</f>
        <v>0</v>
      </c>
      <c r="G3">
        <f>IF($D3&lt;&gt;"",VLOOKUP($D3,'City Overview'!$A$2:$AT$26,31,FALSE),0)</f>
        <v>0</v>
      </c>
      <c r="H3">
        <f>IF($D3&lt;&gt;"",VLOOKUP($D3,'City Overview'!$A$2:$AT$26,32,FALSE),0)</f>
        <v>0</v>
      </c>
      <c r="I3">
        <f>IF($D3&lt;&gt;"",VLOOKUP($D3,'City Overview'!$A$2:$AT$26,33,FALSE),0)</f>
        <v>0</v>
      </c>
      <c r="J3">
        <f>IF($D3&lt;&gt;"",VLOOKUP($D3,'City Overview'!$A$2:$AT$26,34,FALSE),0)</f>
        <v>0</v>
      </c>
      <c r="K3">
        <f>IF($D3&lt;&gt;"",VLOOKUP($D3,'City Overview'!$A$2:$AT$26,35,FALSE),0)</f>
        <v>0</v>
      </c>
      <c r="L3">
        <f>IF($D3&lt;&gt;"",VLOOKUP($D3,'City Overview'!$A$2:$AT$26,36,FALSE),0)</f>
        <v>0</v>
      </c>
      <c r="M3">
        <f>IF($D3&lt;&gt;"",VLOOKUP($D3,'City Overview'!$A$2:$AT$26,37,FALSE),0)</f>
        <v>0</v>
      </c>
      <c r="N3">
        <f>IF($D3&lt;&gt;"",VLOOKUP($D3,'City Overview'!$A$2:$AT$26,38,FALSE),0)</f>
        <v>0</v>
      </c>
      <c r="O3">
        <f>IF($D3&lt;&gt;"",VLOOKUP($D3,'City Overview'!$A$2:$AT$26,39,FALSE),0)</f>
        <v>0</v>
      </c>
      <c r="P3">
        <f>IF($D3&lt;&gt;"",VLOOKUP($D3,'City Overview'!$A$2:$AT$26,40,FALSE),0)</f>
        <v>0</v>
      </c>
      <c r="Q3">
        <f>IF($D3&lt;&gt;"",VLOOKUP($D3,'City Overview'!$A$2:$AT$26,41,FALSE),0)</f>
        <v>0</v>
      </c>
      <c r="R3">
        <f>IF($D3&lt;&gt;"",VLOOKUP($D3,'City Overview'!$A$2:$AT$26,42,FALSE),0)</f>
        <v>0</v>
      </c>
      <c r="S3">
        <f>IF($D3&lt;&gt;"",VLOOKUP($D3,'City Overview'!$A$2:$AT$26,43,FALSE),0)</f>
        <v>0</v>
      </c>
      <c r="T3">
        <f>IF($D3&lt;&gt;"",VLOOKUP($D3,'City Overview'!$A$2:$AT$26,44,FALSE),0)</f>
        <v>0</v>
      </c>
      <c r="U3">
        <f>IF($D3&lt;&gt;"",VLOOKUP($D3,'City Overview'!$A$2:$AT$26,45,FALSE),0)</f>
        <v>0</v>
      </c>
      <c r="V3">
        <f>IF($D3&lt;&gt;"",VLOOKUP($D3,'City Overview'!$A$2:$AT$26,46,FALSE),0)</f>
        <v>0</v>
      </c>
      <c r="Y3">
        <f>$F3*VLOOKUP($F$1,Table14[],5,FALSE)+$G3*VLOOKUP($G$1,Table14[],5,FALSE)+$H3*VLOOKUP($H$1,Table14[],5,FALSE)+$I3*VLOOKUP($I$1,Table14[],5,FALSE)+$J3*VLOOKUP($J$1,Table14[],5,FALSE)+$K3*VLOOKUP($K$1,Table14[],5,FALSE)+$L3*VLOOKUP($L$1,Table14[],5,FALSE)+$M3*VLOOKUP($M$1,Table14[],5,FALSE)+$N3*VLOOKUP($N$1,Table14[],5,FALSE)+$O3*VLOOKUP($O$1,Table14[],5,FALSE)+$P3*VLOOKUP($P$1,Table14[],5,FALSE)+$Q3*VLOOKUP($Q$1,Table14[],5,FALSE)+$R3*VLOOKUP($R$1,Table14[],5,FALSE)</f>
        <v>0</v>
      </c>
    </row>
    <row r="4" spans="1:52" x14ac:dyDescent="0.25">
      <c r="D4" t="s">
        <v>104</v>
      </c>
      <c r="F4">
        <f>IF($D4&lt;&gt;"",VLOOKUP($D4,'City Overview'!$A$2:$AT$26,30,FALSE),0)</f>
        <v>0</v>
      </c>
      <c r="G4">
        <f>IF($D4&lt;&gt;"",VLOOKUP($D4,'City Overview'!$A$2:$AT$26,31,FALSE),0)</f>
        <v>0</v>
      </c>
      <c r="H4">
        <f>IF($D4&lt;&gt;"",VLOOKUP($D4,'City Overview'!$A$2:$AT$26,32,FALSE),0)</f>
        <v>0</v>
      </c>
      <c r="I4">
        <f>IF($D4&lt;&gt;"",VLOOKUP($D4,'City Overview'!$A$2:$AT$26,33,FALSE),0)</f>
        <v>0</v>
      </c>
      <c r="J4">
        <f>IF($D4&lt;&gt;"",VLOOKUP($D4,'City Overview'!$A$2:$AT$26,34,FALSE),0)</f>
        <v>0</v>
      </c>
      <c r="K4">
        <f>IF($D4&lt;&gt;"",VLOOKUP($D4,'City Overview'!$A$2:$AT$26,35,FALSE),0)</f>
        <v>0</v>
      </c>
      <c r="L4">
        <f>IF($D4&lt;&gt;"",VLOOKUP($D4,'City Overview'!$A$2:$AT$26,36,FALSE),0)</f>
        <v>0</v>
      </c>
      <c r="M4">
        <f>IF($D4&lt;&gt;"",VLOOKUP($D4,'City Overview'!$A$2:$AT$26,37,FALSE),0)</f>
        <v>0</v>
      </c>
      <c r="N4">
        <f>IF($D4&lt;&gt;"",VLOOKUP($D4,'City Overview'!$A$2:$AT$26,38,FALSE),0)</f>
        <v>0</v>
      </c>
      <c r="O4">
        <f>IF($D4&lt;&gt;"",VLOOKUP($D4,'City Overview'!$A$2:$AT$26,39,FALSE),0)</f>
        <v>0</v>
      </c>
      <c r="P4">
        <f>IF($D4&lt;&gt;"",VLOOKUP($D4,'City Overview'!$A$2:$AT$26,40,FALSE),0)</f>
        <v>0</v>
      </c>
      <c r="Q4">
        <f>IF($D4&lt;&gt;"",VLOOKUP($D4,'City Overview'!$A$2:$AT$26,41,FALSE),0)</f>
        <v>0</v>
      </c>
      <c r="R4">
        <f>IF($D4&lt;&gt;"",VLOOKUP($D4,'City Overview'!$A$2:$AT$26,42,FALSE),0)</f>
        <v>0</v>
      </c>
      <c r="S4">
        <f>IF($D4&lt;&gt;"",VLOOKUP($D4,'City Overview'!$A$2:$AT$26,43,FALSE),0)</f>
        <v>0</v>
      </c>
      <c r="T4">
        <f>IF($D4&lt;&gt;"",VLOOKUP($D4,'City Overview'!$A$2:$AT$26,44,FALSE),0)</f>
        <v>0</v>
      </c>
      <c r="U4">
        <f>IF($D4&lt;&gt;"",VLOOKUP($D4,'City Overview'!$A$2:$AT$26,45,FALSE),0)</f>
        <v>0</v>
      </c>
      <c r="V4">
        <f>IF($D4&lt;&gt;"",VLOOKUP($D4,'City Overview'!$A$2:$AT$26,46,FALSE),0)</f>
        <v>0</v>
      </c>
      <c r="Y4">
        <f>$F4*VLOOKUP($F$1,Table14[],5,FALSE)+$G4*VLOOKUP($G$1,Table14[],5,FALSE)+$H4*VLOOKUP($H$1,Table14[],5,FALSE)+$I4*VLOOKUP($I$1,Table14[],5,FALSE)+$J4*VLOOKUP($J$1,Table14[],5,FALSE)+$K4*VLOOKUP($K$1,Table14[],5,FALSE)+$L4*VLOOKUP($L$1,Table14[],5,FALSE)+$M4*VLOOKUP($M$1,Table14[],5,FALSE)+$N4*VLOOKUP($N$1,Table14[],5,FALSE)+$O4*VLOOKUP($O$1,Table14[],5,FALSE)+$P4*VLOOKUP($P$1,Table14[],5,FALSE)+$Q4*VLOOKUP($Q$1,Table14[],5,FALSE)+$R4*VLOOKUP($R$1,Table14[],5,FALSE)</f>
        <v>0</v>
      </c>
    </row>
    <row r="5" spans="1:52" x14ac:dyDescent="0.25">
      <c r="D5" t="s">
        <v>105</v>
      </c>
      <c r="F5">
        <f>IF($D5&lt;&gt;"",VLOOKUP($D5,'City Overview'!$A$2:$AT$26,30,FALSE),0)</f>
        <v>0</v>
      </c>
      <c r="G5">
        <f>IF($D5&lt;&gt;"",VLOOKUP($D5,'City Overview'!$A$2:$AT$26,31,FALSE),0)</f>
        <v>0</v>
      </c>
      <c r="H5">
        <f>IF($D5&lt;&gt;"",VLOOKUP($D5,'City Overview'!$A$2:$AT$26,32,FALSE),0)</f>
        <v>0</v>
      </c>
      <c r="I5">
        <f>IF($D5&lt;&gt;"",VLOOKUP($D5,'City Overview'!$A$2:$AT$26,33,FALSE),0)</f>
        <v>0</v>
      </c>
      <c r="J5">
        <f>IF($D5&lt;&gt;"",VLOOKUP($D5,'City Overview'!$A$2:$AT$26,34,FALSE),0)</f>
        <v>0</v>
      </c>
      <c r="K5">
        <f>IF($D5&lt;&gt;"",VLOOKUP($D5,'City Overview'!$A$2:$AT$26,35,FALSE),0)</f>
        <v>0</v>
      </c>
      <c r="L5">
        <f>IF($D5&lt;&gt;"",VLOOKUP($D5,'City Overview'!$A$2:$AT$26,36,FALSE),0)</f>
        <v>0</v>
      </c>
      <c r="M5">
        <f>IF($D5&lt;&gt;"",VLOOKUP($D5,'City Overview'!$A$2:$AT$26,37,FALSE),0)</f>
        <v>0</v>
      </c>
      <c r="N5">
        <f>IF($D5&lt;&gt;"",VLOOKUP($D5,'City Overview'!$A$2:$AT$26,38,FALSE),0)</f>
        <v>0</v>
      </c>
      <c r="O5">
        <f>IF($D5&lt;&gt;"",VLOOKUP($D5,'City Overview'!$A$2:$AT$26,39,FALSE),0)</f>
        <v>0</v>
      </c>
      <c r="P5">
        <f>IF($D5&lt;&gt;"",VLOOKUP($D5,'City Overview'!$A$2:$AT$26,40,FALSE),0)</f>
        <v>0</v>
      </c>
      <c r="Q5">
        <f>IF($D5&lt;&gt;"",VLOOKUP($D5,'City Overview'!$A$2:$AT$26,41,FALSE),0)</f>
        <v>0</v>
      </c>
      <c r="R5">
        <f>IF($D5&lt;&gt;"",VLOOKUP($D5,'City Overview'!$A$2:$AT$26,42,FALSE),0)</f>
        <v>0</v>
      </c>
      <c r="S5">
        <f>IF($D5&lt;&gt;"",VLOOKUP($D5,'City Overview'!$A$2:$AT$26,43,FALSE),0)</f>
        <v>0</v>
      </c>
      <c r="T5">
        <f>IF($D5&lt;&gt;"",VLOOKUP($D5,'City Overview'!$A$2:$AT$26,44,FALSE),0)</f>
        <v>0</v>
      </c>
      <c r="U5">
        <f>IF($D5&lt;&gt;"",VLOOKUP($D5,'City Overview'!$A$2:$AT$26,45,FALSE),0)</f>
        <v>0</v>
      </c>
      <c r="V5">
        <f>IF($D5&lt;&gt;"",VLOOKUP($D5,'City Overview'!$A$2:$AT$26,46,FALSE),0)</f>
        <v>0</v>
      </c>
      <c r="Y5">
        <f>$F5*VLOOKUP($F$1,Table14[],5,FALSE)+$G5*VLOOKUP($G$1,Table14[],5,FALSE)+$H5*VLOOKUP($H$1,Table14[],5,FALSE)+$I5*VLOOKUP($I$1,Table14[],5,FALSE)+$J5*VLOOKUP($J$1,Table14[],5,FALSE)+$K5*VLOOKUP($K$1,Table14[],5,FALSE)+$L5*VLOOKUP($L$1,Table14[],5,FALSE)+$M5*VLOOKUP($M$1,Table14[],5,FALSE)+$N5*VLOOKUP($N$1,Table14[],5,FALSE)+$O5*VLOOKUP($O$1,Table14[],5,FALSE)+$P5*VLOOKUP($P$1,Table14[],5,FALSE)+$Q5*VLOOKUP($Q$1,Table14[],5,FALSE)+$R5*VLOOKUP($R$1,Table14[],5,FALSE)</f>
        <v>0</v>
      </c>
    </row>
    <row r="6" spans="1:52" x14ac:dyDescent="0.25">
      <c r="D6" t="s">
        <v>106</v>
      </c>
      <c r="F6">
        <f>IF($D6&lt;&gt;"",VLOOKUP($D6,'City Overview'!$A$2:$AT$26,30,FALSE),0)</f>
        <v>0</v>
      </c>
      <c r="G6">
        <f>IF($D6&lt;&gt;"",VLOOKUP($D6,'City Overview'!$A$2:$AT$26,31,FALSE),0)</f>
        <v>0</v>
      </c>
      <c r="H6">
        <f>IF($D6&lt;&gt;"",VLOOKUP($D6,'City Overview'!$A$2:$AT$26,32,FALSE),0)</f>
        <v>0</v>
      </c>
      <c r="I6">
        <f>IF($D6&lt;&gt;"",VLOOKUP($D6,'City Overview'!$A$2:$AT$26,33,FALSE),0)</f>
        <v>0</v>
      </c>
      <c r="J6">
        <f>IF($D6&lt;&gt;"",VLOOKUP($D6,'City Overview'!$A$2:$AT$26,34,FALSE),0)</f>
        <v>0</v>
      </c>
      <c r="K6">
        <f>IF($D6&lt;&gt;"",VLOOKUP($D6,'City Overview'!$A$2:$AT$26,35,FALSE),0)</f>
        <v>0</v>
      </c>
      <c r="L6">
        <f>IF($D6&lt;&gt;"",VLOOKUP($D6,'City Overview'!$A$2:$AT$26,36,FALSE),0)</f>
        <v>0</v>
      </c>
      <c r="M6">
        <f>IF($D6&lt;&gt;"",VLOOKUP($D6,'City Overview'!$A$2:$AT$26,37,FALSE),0)</f>
        <v>0</v>
      </c>
      <c r="N6">
        <f>IF($D6&lt;&gt;"",VLOOKUP($D6,'City Overview'!$A$2:$AT$26,38,FALSE),0)</f>
        <v>0</v>
      </c>
      <c r="O6">
        <f>IF($D6&lt;&gt;"",VLOOKUP($D6,'City Overview'!$A$2:$AT$26,39,FALSE),0)</f>
        <v>0</v>
      </c>
      <c r="P6">
        <f>IF($D6&lt;&gt;"",VLOOKUP($D6,'City Overview'!$A$2:$AT$26,40,FALSE),0)</f>
        <v>0</v>
      </c>
      <c r="Q6">
        <f>IF($D6&lt;&gt;"",VLOOKUP($D6,'City Overview'!$A$2:$AT$26,41,FALSE),0)</f>
        <v>0</v>
      </c>
      <c r="R6">
        <f>IF($D6&lt;&gt;"",VLOOKUP($D6,'City Overview'!$A$2:$AT$26,42,FALSE),0)</f>
        <v>0</v>
      </c>
      <c r="S6">
        <f>IF($D6&lt;&gt;"",VLOOKUP($D6,'City Overview'!$A$2:$AT$26,43,FALSE),0)</f>
        <v>0</v>
      </c>
      <c r="T6">
        <f>IF($D6&lt;&gt;"",VLOOKUP($D6,'City Overview'!$A$2:$AT$26,44,FALSE),0)</f>
        <v>0</v>
      </c>
      <c r="U6">
        <f>IF($D6&lt;&gt;"",VLOOKUP($D6,'City Overview'!$A$2:$AT$26,45,FALSE),0)</f>
        <v>0</v>
      </c>
      <c r="V6">
        <f>IF($D6&lt;&gt;"",VLOOKUP($D6,'City Overview'!$A$2:$AT$26,46,FALSE),0)</f>
        <v>0</v>
      </c>
      <c r="Y6">
        <f>$F6*VLOOKUP($F$1,Table14[],5,FALSE)+$G6*VLOOKUP($G$1,Table14[],5,FALSE)+$H6*VLOOKUP($H$1,Table14[],5,FALSE)+$I6*VLOOKUP($I$1,Table14[],5,FALSE)+$J6*VLOOKUP($J$1,Table14[],5,FALSE)+$K6*VLOOKUP($K$1,Table14[],5,FALSE)+$L6*VLOOKUP($L$1,Table14[],5,FALSE)+$M6*VLOOKUP($M$1,Table14[],5,FALSE)+$N6*VLOOKUP($N$1,Table14[],5,FALSE)+$O6*VLOOKUP($O$1,Table14[],5,FALSE)+$P6*VLOOKUP($P$1,Table14[],5,FALSE)+$Q6*VLOOKUP($Q$1,Table14[],5,FALSE)+$R6*VLOOKUP($R$1,Table14[],5,FALSE)</f>
        <v>0</v>
      </c>
    </row>
    <row r="7" spans="1:52" x14ac:dyDescent="0.25">
      <c r="D7" t="s">
        <v>107</v>
      </c>
      <c r="F7">
        <f>IF($D7&lt;&gt;"",VLOOKUP($D7,'City Overview'!$A$2:$AT$26,30,FALSE),0)</f>
        <v>0</v>
      </c>
      <c r="G7">
        <f>IF($D7&lt;&gt;"",VLOOKUP($D7,'City Overview'!$A$2:$AT$26,31,FALSE),0)</f>
        <v>0</v>
      </c>
      <c r="H7">
        <f>IF($D7&lt;&gt;"",VLOOKUP($D7,'City Overview'!$A$2:$AT$26,32,FALSE),0)</f>
        <v>0</v>
      </c>
      <c r="I7">
        <f>IF($D7&lt;&gt;"",VLOOKUP($D7,'City Overview'!$A$2:$AT$26,33,FALSE),0)</f>
        <v>0</v>
      </c>
      <c r="J7">
        <f>IF($D7&lt;&gt;"",VLOOKUP($D7,'City Overview'!$A$2:$AT$26,34,FALSE),0)</f>
        <v>0</v>
      </c>
      <c r="K7">
        <f>IF($D7&lt;&gt;"",VLOOKUP($D7,'City Overview'!$A$2:$AT$26,35,FALSE),0)</f>
        <v>0</v>
      </c>
      <c r="L7">
        <f>IF($D7&lt;&gt;"",VLOOKUP($D7,'City Overview'!$A$2:$AT$26,36,FALSE),0)</f>
        <v>0</v>
      </c>
      <c r="M7">
        <f>IF($D7&lt;&gt;"",VLOOKUP($D7,'City Overview'!$A$2:$AT$26,37,FALSE),0)</f>
        <v>0</v>
      </c>
      <c r="N7">
        <f>IF($D7&lt;&gt;"",VLOOKUP($D7,'City Overview'!$A$2:$AT$26,38,FALSE),0)</f>
        <v>0</v>
      </c>
      <c r="O7">
        <f>IF($D7&lt;&gt;"",VLOOKUP($D7,'City Overview'!$A$2:$AT$26,39,FALSE),0)</f>
        <v>0</v>
      </c>
      <c r="P7">
        <f>IF($D7&lt;&gt;"",VLOOKUP($D7,'City Overview'!$A$2:$AT$26,40,FALSE),0)</f>
        <v>0</v>
      </c>
      <c r="Q7">
        <f>IF($D7&lt;&gt;"",VLOOKUP($D7,'City Overview'!$A$2:$AT$26,41,FALSE),0)</f>
        <v>0</v>
      </c>
      <c r="R7">
        <f>IF($D7&lt;&gt;"",VLOOKUP($D7,'City Overview'!$A$2:$AT$26,42,FALSE),0)</f>
        <v>0</v>
      </c>
      <c r="S7">
        <f>IF($D7&lt;&gt;"",VLOOKUP($D7,'City Overview'!$A$2:$AT$26,43,FALSE),0)</f>
        <v>0</v>
      </c>
      <c r="T7">
        <f>IF($D7&lt;&gt;"",VLOOKUP($D7,'City Overview'!$A$2:$AT$26,44,FALSE),0)</f>
        <v>0</v>
      </c>
      <c r="U7">
        <f>IF($D7&lt;&gt;"",VLOOKUP($D7,'City Overview'!$A$2:$AT$26,45,FALSE),0)</f>
        <v>0</v>
      </c>
      <c r="V7">
        <f>IF($D7&lt;&gt;"",VLOOKUP($D7,'City Overview'!$A$2:$AT$26,46,FALSE),0)</f>
        <v>0</v>
      </c>
      <c r="Y7">
        <f>$F7*VLOOKUP($F$1,Table14[],5,FALSE)+$G7*VLOOKUP($G$1,Table14[],5,FALSE)+$H7*VLOOKUP($H$1,Table14[],5,FALSE)+$I7*VLOOKUP($I$1,Table14[],5,FALSE)+$J7*VLOOKUP($J$1,Table14[],5,FALSE)+$K7*VLOOKUP($K$1,Table14[],5,FALSE)+$L7*VLOOKUP($L$1,Table14[],5,FALSE)+$M7*VLOOKUP($M$1,Table14[],5,FALSE)+$N7*VLOOKUP($N$1,Table14[],5,FALSE)+$O7*VLOOKUP($O$1,Table14[],5,FALSE)+$P7*VLOOKUP($P$1,Table14[],5,FALSE)+$Q7*VLOOKUP($Q$1,Table14[],5,FALSE)+$R7*VLOOKUP($R$1,Table14[],5,FALSE)</f>
        <v>0</v>
      </c>
    </row>
    <row r="8" spans="1:52" x14ac:dyDescent="0.25">
      <c r="D8" t="s">
        <v>108</v>
      </c>
      <c r="F8">
        <f>IF($D8&lt;&gt;"",VLOOKUP($D8,'City Overview'!$A$2:$AT$26,30,FALSE),0)</f>
        <v>0</v>
      </c>
      <c r="G8">
        <f>IF($D8&lt;&gt;"",VLOOKUP($D8,'City Overview'!$A$2:$AT$26,31,FALSE),0)</f>
        <v>0</v>
      </c>
      <c r="H8">
        <f>IF($D8&lt;&gt;"",VLOOKUP($D8,'City Overview'!$A$2:$AT$26,32,FALSE),0)</f>
        <v>0</v>
      </c>
      <c r="I8">
        <f>IF($D8&lt;&gt;"",VLOOKUP($D8,'City Overview'!$A$2:$AT$26,33,FALSE),0)</f>
        <v>0</v>
      </c>
      <c r="J8">
        <f>IF($D8&lt;&gt;"",VLOOKUP($D8,'City Overview'!$A$2:$AT$26,34,FALSE),0)</f>
        <v>0</v>
      </c>
      <c r="K8">
        <f>IF($D8&lt;&gt;"",VLOOKUP($D8,'City Overview'!$A$2:$AT$26,35,FALSE),0)</f>
        <v>0</v>
      </c>
      <c r="L8">
        <f>IF($D8&lt;&gt;"",VLOOKUP($D8,'City Overview'!$A$2:$AT$26,36,FALSE),0)</f>
        <v>0</v>
      </c>
      <c r="M8">
        <f>IF($D8&lt;&gt;"",VLOOKUP($D8,'City Overview'!$A$2:$AT$26,37,FALSE),0)</f>
        <v>0</v>
      </c>
      <c r="N8">
        <f>IF($D8&lt;&gt;"",VLOOKUP($D8,'City Overview'!$A$2:$AT$26,38,FALSE),0)</f>
        <v>0</v>
      </c>
      <c r="O8">
        <f>IF($D8&lt;&gt;"",VLOOKUP($D8,'City Overview'!$A$2:$AT$26,39,FALSE),0)</f>
        <v>0</v>
      </c>
      <c r="P8">
        <f>IF($D8&lt;&gt;"",VLOOKUP($D8,'City Overview'!$A$2:$AT$26,40,FALSE),0)</f>
        <v>0</v>
      </c>
      <c r="Q8">
        <f>IF($D8&lt;&gt;"",VLOOKUP($D8,'City Overview'!$A$2:$AT$26,41,FALSE),0)</f>
        <v>0</v>
      </c>
      <c r="R8">
        <f>IF($D8&lt;&gt;"",VLOOKUP($D8,'City Overview'!$A$2:$AT$26,42,FALSE),0)</f>
        <v>0</v>
      </c>
      <c r="S8">
        <f>IF($D8&lt;&gt;"",VLOOKUP($D8,'City Overview'!$A$2:$AT$26,43,FALSE),0)</f>
        <v>0</v>
      </c>
      <c r="T8">
        <f>IF($D8&lt;&gt;"",VLOOKUP($D8,'City Overview'!$A$2:$AT$26,44,FALSE),0)</f>
        <v>0</v>
      </c>
      <c r="U8">
        <f>IF($D8&lt;&gt;"",VLOOKUP($D8,'City Overview'!$A$2:$AT$26,45,FALSE),0)</f>
        <v>0</v>
      </c>
      <c r="V8">
        <f>IF($D8&lt;&gt;"",VLOOKUP($D8,'City Overview'!$A$2:$AT$26,46,FALSE),0)</f>
        <v>0</v>
      </c>
      <c r="Y8">
        <f>$F8*VLOOKUP($F$1,Table14[],5,FALSE)+$G8*VLOOKUP($G$1,Table14[],5,FALSE)+$H8*VLOOKUP($H$1,Table14[],5,FALSE)+$I8*VLOOKUP($I$1,Table14[],5,FALSE)+$J8*VLOOKUP($J$1,Table14[],5,FALSE)+$K8*VLOOKUP($K$1,Table14[],5,FALSE)+$L8*VLOOKUP($L$1,Table14[],5,FALSE)+$M8*VLOOKUP($M$1,Table14[],5,FALSE)+$N8*VLOOKUP($N$1,Table14[],5,FALSE)+$O8*VLOOKUP($O$1,Table14[],5,FALSE)+$P8*VLOOKUP($P$1,Table14[],5,FALSE)+$Q8*VLOOKUP($Q$1,Table14[],5,FALSE)+$R8*VLOOKUP($R$1,Table14[],5,FALSE)</f>
        <v>0</v>
      </c>
    </row>
    <row r="9" spans="1:52" x14ac:dyDescent="0.25">
      <c r="D9" t="s">
        <v>109</v>
      </c>
      <c r="F9">
        <f>IF($D9&lt;&gt;"",VLOOKUP($D9,'City Overview'!$A$2:$AT$26,30,FALSE),0)</f>
        <v>0</v>
      </c>
      <c r="G9">
        <f>IF($D9&lt;&gt;"",VLOOKUP($D9,'City Overview'!$A$2:$AT$26,31,FALSE),0)</f>
        <v>0</v>
      </c>
      <c r="H9">
        <f>IF($D9&lt;&gt;"",VLOOKUP($D9,'City Overview'!$A$2:$AT$26,32,FALSE),0)</f>
        <v>0</v>
      </c>
      <c r="I9">
        <f>IF($D9&lt;&gt;"",VLOOKUP($D9,'City Overview'!$A$2:$AT$26,33,FALSE),0)</f>
        <v>0</v>
      </c>
      <c r="J9">
        <f>IF($D9&lt;&gt;"",VLOOKUP($D9,'City Overview'!$A$2:$AT$26,34,FALSE),0)</f>
        <v>0</v>
      </c>
      <c r="K9">
        <f>IF($D9&lt;&gt;"",VLOOKUP($D9,'City Overview'!$A$2:$AT$26,35,FALSE),0)</f>
        <v>0</v>
      </c>
      <c r="L9">
        <f>IF($D9&lt;&gt;"",VLOOKUP($D9,'City Overview'!$A$2:$AT$26,36,FALSE),0)</f>
        <v>0</v>
      </c>
      <c r="M9">
        <f>IF($D9&lt;&gt;"",VLOOKUP($D9,'City Overview'!$A$2:$AT$26,37,FALSE),0)</f>
        <v>0</v>
      </c>
      <c r="N9">
        <f>IF($D9&lt;&gt;"",VLOOKUP($D9,'City Overview'!$A$2:$AT$26,38,FALSE),0)</f>
        <v>0</v>
      </c>
      <c r="O9">
        <f>IF($D9&lt;&gt;"",VLOOKUP($D9,'City Overview'!$A$2:$AT$26,39,FALSE),0)</f>
        <v>0</v>
      </c>
      <c r="P9">
        <f>IF($D9&lt;&gt;"",VLOOKUP($D9,'City Overview'!$A$2:$AT$26,40,FALSE),0)</f>
        <v>0</v>
      </c>
      <c r="Q9">
        <f>IF($D9&lt;&gt;"",VLOOKUP($D9,'City Overview'!$A$2:$AT$26,41,FALSE),0)</f>
        <v>0</v>
      </c>
      <c r="R9">
        <f>IF($D9&lt;&gt;"",VLOOKUP($D9,'City Overview'!$A$2:$AT$26,42,FALSE),0)</f>
        <v>0</v>
      </c>
      <c r="S9">
        <f>IF($D9&lt;&gt;"",VLOOKUP($D9,'City Overview'!$A$2:$AT$26,43,FALSE),0)</f>
        <v>0</v>
      </c>
      <c r="T9">
        <f>IF($D9&lt;&gt;"",VLOOKUP($D9,'City Overview'!$A$2:$AT$26,44,FALSE),0)</f>
        <v>0</v>
      </c>
      <c r="U9">
        <f>IF($D9&lt;&gt;"",VLOOKUP($D9,'City Overview'!$A$2:$AT$26,45,FALSE),0)</f>
        <v>0</v>
      </c>
      <c r="V9">
        <f>IF($D9&lt;&gt;"",VLOOKUP($D9,'City Overview'!$A$2:$AT$26,46,FALSE),0)</f>
        <v>0</v>
      </c>
      <c r="Y9">
        <f>$F9*VLOOKUP($F$1,Table14[],5,FALSE)+$G9*VLOOKUP($G$1,Table14[],5,FALSE)+$H9*VLOOKUP($H$1,Table14[],5,FALSE)+$I9*VLOOKUP($I$1,Table14[],5,FALSE)+$J9*VLOOKUP($J$1,Table14[],5,FALSE)+$K9*VLOOKUP($K$1,Table14[],5,FALSE)+$L9*VLOOKUP($L$1,Table14[],5,FALSE)+$M9*VLOOKUP($M$1,Table14[],5,FALSE)+$N9*VLOOKUP($N$1,Table14[],5,FALSE)+$O9*VLOOKUP($O$1,Table14[],5,FALSE)+$P9*VLOOKUP($P$1,Table14[],5,FALSE)+$Q9*VLOOKUP($Q$1,Table14[],5,FALSE)+$R9*VLOOKUP($R$1,Table14[],5,FALSE)</f>
        <v>0</v>
      </c>
    </row>
    <row r="10" spans="1:52" x14ac:dyDescent="0.25">
      <c r="D10" t="s">
        <v>110</v>
      </c>
      <c r="F10">
        <f>IF($D10&lt;&gt;"",VLOOKUP($D10,'City Overview'!$A$2:$AT$26,30,FALSE),0)</f>
        <v>0</v>
      </c>
      <c r="G10">
        <f>IF($D10&lt;&gt;"",VLOOKUP($D10,'City Overview'!$A$2:$AT$26,31,FALSE),0)</f>
        <v>0</v>
      </c>
      <c r="H10">
        <f>IF($D10&lt;&gt;"",VLOOKUP($D10,'City Overview'!$A$2:$AT$26,32,FALSE),0)</f>
        <v>0</v>
      </c>
      <c r="I10">
        <f>IF($D10&lt;&gt;"",VLOOKUP($D10,'City Overview'!$A$2:$AT$26,33,FALSE),0)</f>
        <v>0</v>
      </c>
      <c r="J10">
        <f>IF($D10&lt;&gt;"",VLOOKUP($D10,'City Overview'!$A$2:$AT$26,34,FALSE),0)</f>
        <v>0</v>
      </c>
      <c r="K10">
        <f>IF($D10&lt;&gt;"",VLOOKUP($D10,'City Overview'!$A$2:$AT$26,35,FALSE),0)</f>
        <v>0</v>
      </c>
      <c r="L10">
        <f>IF($D10&lt;&gt;"",VLOOKUP($D10,'City Overview'!$A$2:$AT$26,36,FALSE),0)</f>
        <v>0</v>
      </c>
      <c r="M10">
        <f>IF($D10&lt;&gt;"",VLOOKUP($D10,'City Overview'!$A$2:$AT$26,37,FALSE),0)</f>
        <v>0</v>
      </c>
      <c r="N10">
        <f>IF($D10&lt;&gt;"",VLOOKUP($D10,'City Overview'!$A$2:$AT$26,38,FALSE),0)</f>
        <v>0</v>
      </c>
      <c r="O10">
        <f>IF($D10&lt;&gt;"",VLOOKUP($D10,'City Overview'!$A$2:$AT$26,39,FALSE),0)</f>
        <v>0</v>
      </c>
      <c r="P10">
        <f>IF($D10&lt;&gt;"",VLOOKUP($D10,'City Overview'!$A$2:$AT$26,40,FALSE),0)</f>
        <v>0</v>
      </c>
      <c r="Q10">
        <f>IF($D10&lt;&gt;"",VLOOKUP($D10,'City Overview'!$A$2:$AT$26,41,FALSE),0)</f>
        <v>0</v>
      </c>
      <c r="R10">
        <f>IF($D10&lt;&gt;"",VLOOKUP($D10,'City Overview'!$A$2:$AT$26,42,FALSE),0)</f>
        <v>0</v>
      </c>
      <c r="S10">
        <f>IF($D10&lt;&gt;"",VLOOKUP($D10,'City Overview'!$A$2:$AT$26,43,FALSE),0)</f>
        <v>0</v>
      </c>
      <c r="T10">
        <f>IF($D10&lt;&gt;"",VLOOKUP($D10,'City Overview'!$A$2:$AT$26,44,FALSE),0)</f>
        <v>0</v>
      </c>
      <c r="U10">
        <f>IF($D10&lt;&gt;"",VLOOKUP($D10,'City Overview'!$A$2:$AT$26,45,FALSE),0)</f>
        <v>0</v>
      </c>
      <c r="V10">
        <f>IF($D10&lt;&gt;"",VLOOKUP($D10,'City Overview'!$A$2:$AT$26,46,FALSE),0)</f>
        <v>0</v>
      </c>
      <c r="Y10">
        <f>$F10*VLOOKUP($F$1,Table14[],5,FALSE)+$G10*VLOOKUP($G$1,Table14[],5,FALSE)+$H10*VLOOKUP($H$1,Table14[],5,FALSE)+$I10*VLOOKUP($I$1,Table14[],5,FALSE)+$J10*VLOOKUP($J$1,Table14[],5,FALSE)+$K10*VLOOKUP($K$1,Table14[],5,FALSE)+$L10*VLOOKUP($L$1,Table14[],5,FALSE)+$M10*VLOOKUP($M$1,Table14[],5,FALSE)+$N10*VLOOKUP($N$1,Table14[],5,FALSE)+$O10*VLOOKUP($O$1,Table14[],5,FALSE)+$P10*VLOOKUP($P$1,Table14[],5,FALSE)+$Q10*VLOOKUP($Q$1,Table14[],5,FALSE)+$R10*VLOOKUP($R$1,Table14[],5,FALSE)</f>
        <v>0</v>
      </c>
    </row>
    <row r="11" spans="1:52" x14ac:dyDescent="0.25">
      <c r="D11" t="s">
        <v>111</v>
      </c>
      <c r="F11">
        <f>IF($D11&lt;&gt;"",VLOOKUP($D11,'City Overview'!$A$2:$AT$26,30,FALSE),0)</f>
        <v>0</v>
      </c>
      <c r="G11">
        <f>IF($D11&lt;&gt;"",VLOOKUP($D11,'City Overview'!$A$2:$AT$26,31,FALSE),0)</f>
        <v>0</v>
      </c>
      <c r="H11">
        <f>IF($D11&lt;&gt;"",VLOOKUP($D11,'City Overview'!$A$2:$AT$26,32,FALSE),0)</f>
        <v>0</v>
      </c>
      <c r="I11">
        <f>IF($D11&lt;&gt;"",VLOOKUP($D11,'City Overview'!$A$2:$AT$26,33,FALSE),0)</f>
        <v>0</v>
      </c>
      <c r="J11">
        <f>IF($D11&lt;&gt;"",VLOOKUP($D11,'City Overview'!$A$2:$AT$26,34,FALSE),0)</f>
        <v>0</v>
      </c>
      <c r="K11">
        <f>IF($D11&lt;&gt;"",VLOOKUP($D11,'City Overview'!$A$2:$AT$26,35,FALSE),0)</f>
        <v>0</v>
      </c>
      <c r="L11">
        <f>IF($D11&lt;&gt;"",VLOOKUP($D11,'City Overview'!$A$2:$AT$26,36,FALSE),0)</f>
        <v>0</v>
      </c>
      <c r="M11">
        <f>IF($D11&lt;&gt;"",VLOOKUP($D11,'City Overview'!$A$2:$AT$26,37,FALSE),0)</f>
        <v>0</v>
      </c>
      <c r="N11">
        <f>IF($D11&lt;&gt;"",VLOOKUP($D11,'City Overview'!$A$2:$AT$26,38,FALSE),0)</f>
        <v>0</v>
      </c>
      <c r="O11">
        <f>IF($D11&lt;&gt;"",VLOOKUP($D11,'City Overview'!$A$2:$AT$26,39,FALSE),0)</f>
        <v>0</v>
      </c>
      <c r="P11">
        <f>IF($D11&lt;&gt;"",VLOOKUP($D11,'City Overview'!$A$2:$AT$26,40,FALSE),0)</f>
        <v>0</v>
      </c>
      <c r="Q11">
        <f>IF($D11&lt;&gt;"",VLOOKUP($D11,'City Overview'!$A$2:$AT$26,41,FALSE),0)</f>
        <v>0</v>
      </c>
      <c r="R11">
        <f>IF($D11&lt;&gt;"",VLOOKUP($D11,'City Overview'!$A$2:$AT$26,42,FALSE),0)</f>
        <v>0</v>
      </c>
      <c r="S11">
        <f>IF($D11&lt;&gt;"",VLOOKUP($D11,'City Overview'!$A$2:$AT$26,43,FALSE),0)</f>
        <v>0</v>
      </c>
      <c r="T11">
        <f>IF($D11&lt;&gt;"",VLOOKUP($D11,'City Overview'!$A$2:$AT$26,44,FALSE),0)</f>
        <v>0</v>
      </c>
      <c r="U11">
        <f>IF($D11&lt;&gt;"",VLOOKUP($D11,'City Overview'!$A$2:$AT$26,45,FALSE),0)</f>
        <v>0</v>
      </c>
      <c r="V11">
        <f>IF($D11&lt;&gt;"",VLOOKUP($D11,'City Overview'!$A$2:$AT$26,46,FALSE),0)</f>
        <v>0</v>
      </c>
      <c r="Y11">
        <f>$F11*VLOOKUP($F$1,Table14[],5,FALSE)+$G11*VLOOKUP($G$1,Table14[],5,FALSE)+$H11*VLOOKUP($H$1,Table14[],5,FALSE)+$I11*VLOOKUP($I$1,Table14[],5,FALSE)+$J11*VLOOKUP($J$1,Table14[],5,FALSE)+$K11*VLOOKUP($K$1,Table14[],5,FALSE)+$L11*VLOOKUP($L$1,Table14[],5,FALSE)+$M11*VLOOKUP($M$1,Table14[],5,FALSE)+$N11*VLOOKUP($N$1,Table14[],5,FALSE)+$O11*VLOOKUP($O$1,Table14[],5,FALSE)+$P11*VLOOKUP($P$1,Table14[],5,FALSE)+$Q11*VLOOKUP($Q$1,Table14[],5,FALSE)+$R11*VLOOKUP($R$1,Table14[],5,FALSE)</f>
        <v>0</v>
      </c>
    </row>
    <row r="12" spans="1:52" x14ac:dyDescent="0.25">
      <c r="D12" t="s">
        <v>112</v>
      </c>
      <c r="F12">
        <f>IF($D12&lt;&gt;"",VLOOKUP($D12,'City Overview'!$A$2:$AT$26,30,FALSE),0)</f>
        <v>0</v>
      </c>
      <c r="G12">
        <f>IF($D12&lt;&gt;"",VLOOKUP($D12,'City Overview'!$A$2:$AT$26,31,FALSE),0)</f>
        <v>0</v>
      </c>
      <c r="H12">
        <f>IF($D12&lt;&gt;"",VLOOKUP($D12,'City Overview'!$A$2:$AT$26,32,FALSE),0)</f>
        <v>0</v>
      </c>
      <c r="I12">
        <f>IF($D12&lt;&gt;"",VLOOKUP($D12,'City Overview'!$A$2:$AT$26,33,FALSE),0)</f>
        <v>0</v>
      </c>
      <c r="J12">
        <f>IF($D12&lt;&gt;"",VLOOKUP($D12,'City Overview'!$A$2:$AT$26,34,FALSE),0)</f>
        <v>0</v>
      </c>
      <c r="K12">
        <f>IF($D12&lt;&gt;"",VLOOKUP($D12,'City Overview'!$A$2:$AT$26,35,FALSE),0)</f>
        <v>0</v>
      </c>
      <c r="L12">
        <f>IF($D12&lt;&gt;"",VLOOKUP($D12,'City Overview'!$A$2:$AT$26,36,FALSE),0)</f>
        <v>0</v>
      </c>
      <c r="M12">
        <f>IF($D12&lt;&gt;"",VLOOKUP($D12,'City Overview'!$A$2:$AT$26,37,FALSE),0)</f>
        <v>0</v>
      </c>
      <c r="N12">
        <f>IF($D12&lt;&gt;"",VLOOKUP($D12,'City Overview'!$A$2:$AT$26,38,FALSE),0)</f>
        <v>0</v>
      </c>
      <c r="O12">
        <f>IF($D12&lt;&gt;"",VLOOKUP($D12,'City Overview'!$A$2:$AT$26,39,FALSE),0)</f>
        <v>0</v>
      </c>
      <c r="P12">
        <f>IF($D12&lt;&gt;"",VLOOKUP($D12,'City Overview'!$A$2:$AT$26,40,FALSE),0)</f>
        <v>0</v>
      </c>
      <c r="Q12">
        <f>IF($D12&lt;&gt;"",VLOOKUP($D12,'City Overview'!$A$2:$AT$26,41,FALSE),0)</f>
        <v>0</v>
      </c>
      <c r="R12">
        <f>IF($D12&lt;&gt;"",VLOOKUP($D12,'City Overview'!$A$2:$AT$26,42,FALSE),0)</f>
        <v>0</v>
      </c>
      <c r="S12">
        <f>IF($D12&lt;&gt;"",VLOOKUP($D12,'City Overview'!$A$2:$AT$26,43,FALSE),0)</f>
        <v>0</v>
      </c>
      <c r="T12">
        <f>IF($D12&lt;&gt;"",VLOOKUP($D12,'City Overview'!$A$2:$AT$26,44,FALSE),0)</f>
        <v>0</v>
      </c>
      <c r="U12">
        <f>IF($D12&lt;&gt;"",VLOOKUP($D12,'City Overview'!$A$2:$AT$26,45,FALSE),0)</f>
        <v>0</v>
      </c>
      <c r="V12">
        <f>IF($D12&lt;&gt;"",VLOOKUP($D12,'City Overview'!$A$2:$AT$26,46,FALSE),0)</f>
        <v>0</v>
      </c>
      <c r="Y12">
        <f>$F12*VLOOKUP($F$1,Table14[],5,FALSE)+$G12*VLOOKUP($G$1,Table14[],5,FALSE)+$H12*VLOOKUP($H$1,Table14[],5,FALSE)+$I12*VLOOKUP($I$1,Table14[],5,FALSE)+$J12*VLOOKUP($J$1,Table14[],5,FALSE)+$K12*VLOOKUP($K$1,Table14[],5,FALSE)+$L12*VLOOKUP($L$1,Table14[],5,FALSE)+$M12*VLOOKUP($M$1,Table14[],5,FALSE)+$N12*VLOOKUP($N$1,Table14[],5,FALSE)+$O12*VLOOKUP($O$1,Table14[],5,FALSE)+$P12*VLOOKUP($P$1,Table14[],5,FALSE)+$Q12*VLOOKUP($Q$1,Table14[],5,FALSE)+$R12*VLOOKUP($R$1,Table14[],5,FALSE)</f>
        <v>0</v>
      </c>
    </row>
    <row r="13" spans="1:52" x14ac:dyDescent="0.25">
      <c r="D13" t="s">
        <v>113</v>
      </c>
      <c r="F13">
        <f>IF($D13&lt;&gt;"",VLOOKUP($D13,'City Overview'!$A$2:$AT$26,30,FALSE),0)</f>
        <v>0</v>
      </c>
      <c r="G13">
        <f>IF($D13&lt;&gt;"",VLOOKUP($D13,'City Overview'!$A$2:$AT$26,31,FALSE),0)</f>
        <v>0</v>
      </c>
      <c r="H13">
        <f>IF($D13&lt;&gt;"",VLOOKUP($D13,'City Overview'!$A$2:$AT$26,32,FALSE),0)</f>
        <v>0</v>
      </c>
      <c r="I13">
        <f>IF($D13&lt;&gt;"",VLOOKUP($D13,'City Overview'!$A$2:$AT$26,33,FALSE),0)</f>
        <v>0</v>
      </c>
      <c r="J13">
        <f>IF($D13&lt;&gt;"",VLOOKUP($D13,'City Overview'!$A$2:$AT$26,34,FALSE),0)</f>
        <v>0</v>
      </c>
      <c r="K13">
        <f>IF($D13&lt;&gt;"",VLOOKUP($D13,'City Overview'!$A$2:$AT$26,35,FALSE),0)</f>
        <v>0</v>
      </c>
      <c r="L13">
        <f>IF($D13&lt;&gt;"",VLOOKUP($D13,'City Overview'!$A$2:$AT$26,36,FALSE),0)</f>
        <v>0</v>
      </c>
      <c r="M13">
        <f>IF($D13&lt;&gt;"",VLOOKUP($D13,'City Overview'!$A$2:$AT$26,37,FALSE),0)</f>
        <v>0</v>
      </c>
      <c r="N13">
        <f>IF($D13&lt;&gt;"",VLOOKUP($D13,'City Overview'!$A$2:$AT$26,38,FALSE),0)</f>
        <v>0</v>
      </c>
      <c r="O13">
        <f>IF($D13&lt;&gt;"",VLOOKUP($D13,'City Overview'!$A$2:$AT$26,39,FALSE),0)</f>
        <v>0</v>
      </c>
      <c r="P13">
        <f>IF($D13&lt;&gt;"",VLOOKUP($D13,'City Overview'!$A$2:$AT$26,40,FALSE),0)</f>
        <v>0</v>
      </c>
      <c r="Q13">
        <f>IF($D13&lt;&gt;"",VLOOKUP($D13,'City Overview'!$A$2:$AT$26,41,FALSE),0)</f>
        <v>0</v>
      </c>
      <c r="R13">
        <f>IF($D13&lt;&gt;"",VLOOKUP($D13,'City Overview'!$A$2:$AT$26,42,FALSE),0)</f>
        <v>0</v>
      </c>
      <c r="S13">
        <f>IF($D13&lt;&gt;"",VLOOKUP($D13,'City Overview'!$A$2:$AT$26,43,FALSE),0)</f>
        <v>0</v>
      </c>
      <c r="T13">
        <f>IF($D13&lt;&gt;"",VLOOKUP($D13,'City Overview'!$A$2:$AT$26,44,FALSE),0)</f>
        <v>0</v>
      </c>
      <c r="U13">
        <f>IF($D13&lt;&gt;"",VLOOKUP($D13,'City Overview'!$A$2:$AT$26,45,FALSE),0)</f>
        <v>0</v>
      </c>
      <c r="V13">
        <f>IF($D13&lt;&gt;"",VLOOKUP($D13,'City Overview'!$A$2:$AT$26,46,FALSE),0)</f>
        <v>0</v>
      </c>
      <c r="Y13">
        <f>$F13*VLOOKUP($F$1,Table14[],5,FALSE)+$G13*VLOOKUP($G$1,Table14[],5,FALSE)+$H13*VLOOKUP($H$1,Table14[],5,FALSE)+$I13*VLOOKUP($I$1,Table14[],5,FALSE)+$J13*VLOOKUP($J$1,Table14[],5,FALSE)+$K13*VLOOKUP($K$1,Table14[],5,FALSE)+$L13*VLOOKUP($L$1,Table14[],5,FALSE)+$M13*VLOOKUP($M$1,Table14[],5,FALSE)+$N13*VLOOKUP($N$1,Table14[],5,FALSE)+$O13*VLOOKUP($O$1,Table14[],5,FALSE)+$P13*VLOOKUP($P$1,Table14[],5,FALSE)+$Q13*VLOOKUP($Q$1,Table14[],5,FALSE)+$R13*VLOOKUP($R$1,Table14[],5,FALSE)</f>
        <v>0</v>
      </c>
    </row>
    <row r="14" spans="1:52" x14ac:dyDescent="0.25">
      <c r="D14" t="s">
        <v>114</v>
      </c>
      <c r="F14">
        <f>IF($D14&lt;&gt;"",VLOOKUP($D14,'City Overview'!$A$2:$AT$26,30,FALSE),0)</f>
        <v>0</v>
      </c>
      <c r="G14">
        <f>IF($D14&lt;&gt;"",VLOOKUP($D14,'City Overview'!$A$2:$AT$26,31,FALSE),0)</f>
        <v>0</v>
      </c>
      <c r="H14">
        <f>IF($D14&lt;&gt;"",VLOOKUP($D14,'City Overview'!$A$2:$AT$26,32,FALSE),0)</f>
        <v>0</v>
      </c>
      <c r="I14">
        <f>IF($D14&lt;&gt;"",VLOOKUP($D14,'City Overview'!$A$2:$AT$26,33,FALSE),0)</f>
        <v>0</v>
      </c>
      <c r="J14">
        <f>IF($D14&lt;&gt;"",VLOOKUP($D14,'City Overview'!$A$2:$AT$26,34,FALSE),0)</f>
        <v>0</v>
      </c>
      <c r="K14">
        <f>IF($D14&lt;&gt;"",VLOOKUP($D14,'City Overview'!$A$2:$AT$26,35,FALSE),0)</f>
        <v>0</v>
      </c>
      <c r="L14">
        <f>IF($D14&lt;&gt;"",VLOOKUP($D14,'City Overview'!$A$2:$AT$26,36,FALSE),0)</f>
        <v>0</v>
      </c>
      <c r="M14">
        <f>IF($D14&lt;&gt;"",VLOOKUP($D14,'City Overview'!$A$2:$AT$26,37,FALSE),0)</f>
        <v>0</v>
      </c>
      <c r="N14">
        <f>IF($D14&lt;&gt;"",VLOOKUP($D14,'City Overview'!$A$2:$AT$26,38,FALSE),0)</f>
        <v>0</v>
      </c>
      <c r="O14">
        <f>IF($D14&lt;&gt;"",VLOOKUP($D14,'City Overview'!$A$2:$AT$26,39,FALSE),0)</f>
        <v>0</v>
      </c>
      <c r="P14">
        <f>IF($D14&lt;&gt;"",VLOOKUP($D14,'City Overview'!$A$2:$AT$26,40,FALSE),0)</f>
        <v>0</v>
      </c>
      <c r="Q14">
        <f>IF($D14&lt;&gt;"",VLOOKUP($D14,'City Overview'!$A$2:$AT$26,41,FALSE),0)</f>
        <v>0</v>
      </c>
      <c r="R14">
        <f>IF($D14&lt;&gt;"",VLOOKUP($D14,'City Overview'!$A$2:$AT$26,42,FALSE),0)</f>
        <v>0</v>
      </c>
      <c r="S14">
        <f>IF($D14&lt;&gt;"",VLOOKUP($D14,'City Overview'!$A$2:$AT$26,43,FALSE),0)</f>
        <v>0</v>
      </c>
      <c r="T14">
        <f>IF($D14&lt;&gt;"",VLOOKUP($D14,'City Overview'!$A$2:$AT$26,44,FALSE),0)</f>
        <v>0</v>
      </c>
      <c r="U14">
        <f>IF($D14&lt;&gt;"",VLOOKUP($D14,'City Overview'!$A$2:$AT$26,45,FALSE),0)</f>
        <v>0</v>
      </c>
      <c r="V14">
        <f>IF($D14&lt;&gt;"",VLOOKUP($D14,'City Overview'!$A$2:$AT$26,46,FALSE),0)</f>
        <v>0</v>
      </c>
      <c r="Y14">
        <f>$F14*VLOOKUP($F$1,Table14[],5,FALSE)+$G14*VLOOKUP($G$1,Table14[],5,FALSE)+$H14*VLOOKUP($H$1,Table14[],5,FALSE)+$I14*VLOOKUP($I$1,Table14[],5,FALSE)+$J14*VLOOKUP($J$1,Table14[],5,FALSE)+$K14*VLOOKUP($K$1,Table14[],5,FALSE)+$L14*VLOOKUP($L$1,Table14[],5,FALSE)+$M14*VLOOKUP($M$1,Table14[],5,FALSE)+$N14*VLOOKUP($N$1,Table14[],5,FALSE)+$O14*VLOOKUP($O$1,Table14[],5,FALSE)+$P14*VLOOKUP($P$1,Table14[],5,FALSE)+$Q14*VLOOKUP($Q$1,Table14[],5,FALSE)+$R14*VLOOKUP($R$1,Table14[],5,FALSE)</f>
        <v>0</v>
      </c>
    </row>
    <row r="15" spans="1:52" x14ac:dyDescent="0.25">
      <c r="D15" t="s">
        <v>115</v>
      </c>
      <c r="F15">
        <f>IF($D15&lt;&gt;"",VLOOKUP($D15,'City Overview'!$A$2:$AT$26,30,FALSE),0)</f>
        <v>0</v>
      </c>
      <c r="G15">
        <f>IF($D15&lt;&gt;"",VLOOKUP($D15,'City Overview'!$A$2:$AT$26,31,FALSE),0)</f>
        <v>0</v>
      </c>
      <c r="H15">
        <f>IF($D15&lt;&gt;"",VLOOKUP($D15,'City Overview'!$A$2:$AT$26,32,FALSE),0)</f>
        <v>0</v>
      </c>
      <c r="I15">
        <f>IF($D15&lt;&gt;"",VLOOKUP($D15,'City Overview'!$A$2:$AT$26,33,FALSE),0)</f>
        <v>0</v>
      </c>
      <c r="J15">
        <f>IF($D15&lt;&gt;"",VLOOKUP($D15,'City Overview'!$A$2:$AT$26,34,FALSE),0)</f>
        <v>0</v>
      </c>
      <c r="K15">
        <f>IF($D15&lt;&gt;"",VLOOKUP($D15,'City Overview'!$A$2:$AT$26,35,FALSE),0)</f>
        <v>0</v>
      </c>
      <c r="L15">
        <f>IF($D15&lt;&gt;"",VLOOKUP($D15,'City Overview'!$A$2:$AT$26,36,FALSE),0)</f>
        <v>0</v>
      </c>
      <c r="M15">
        <f>IF($D15&lt;&gt;"",VLOOKUP($D15,'City Overview'!$A$2:$AT$26,37,FALSE),0)</f>
        <v>0</v>
      </c>
      <c r="N15">
        <f>IF($D15&lt;&gt;"",VLOOKUP($D15,'City Overview'!$A$2:$AT$26,38,FALSE),0)</f>
        <v>0</v>
      </c>
      <c r="O15">
        <f>IF($D15&lt;&gt;"",VLOOKUP($D15,'City Overview'!$A$2:$AT$26,39,FALSE),0)</f>
        <v>0</v>
      </c>
      <c r="P15">
        <f>IF($D15&lt;&gt;"",VLOOKUP($D15,'City Overview'!$A$2:$AT$26,40,FALSE),0)</f>
        <v>0</v>
      </c>
      <c r="Q15">
        <f>IF($D15&lt;&gt;"",VLOOKUP($D15,'City Overview'!$A$2:$AT$26,41,FALSE),0)</f>
        <v>0</v>
      </c>
      <c r="R15">
        <f>IF($D15&lt;&gt;"",VLOOKUP($D15,'City Overview'!$A$2:$AT$26,42,FALSE),0)</f>
        <v>0</v>
      </c>
      <c r="S15">
        <f>IF($D15&lt;&gt;"",VLOOKUP($D15,'City Overview'!$A$2:$AT$26,43,FALSE),0)</f>
        <v>0</v>
      </c>
      <c r="T15">
        <f>IF($D15&lt;&gt;"",VLOOKUP($D15,'City Overview'!$A$2:$AT$26,44,FALSE),0)</f>
        <v>0</v>
      </c>
      <c r="U15">
        <f>IF($D15&lt;&gt;"",VLOOKUP($D15,'City Overview'!$A$2:$AT$26,45,FALSE),0)</f>
        <v>0</v>
      </c>
      <c r="V15">
        <f>IF($D15&lt;&gt;"",VLOOKUP($D15,'City Overview'!$A$2:$AT$26,46,FALSE),0)</f>
        <v>0</v>
      </c>
      <c r="Y15">
        <f>$F15*VLOOKUP($F$1,Table14[],5,FALSE)+$G15*VLOOKUP($G$1,Table14[],5,FALSE)+$H15*VLOOKUP($H$1,Table14[],5,FALSE)+$I15*VLOOKUP($I$1,Table14[],5,FALSE)+$J15*VLOOKUP($J$1,Table14[],5,FALSE)+$K15*VLOOKUP($K$1,Table14[],5,FALSE)+$L15*VLOOKUP($L$1,Table14[],5,FALSE)+$M15*VLOOKUP($M$1,Table14[],5,FALSE)+$N15*VLOOKUP($N$1,Table14[],5,FALSE)+$O15*VLOOKUP($O$1,Table14[],5,FALSE)+$P15*VLOOKUP($P$1,Table14[],5,FALSE)+$Q15*VLOOKUP($Q$1,Table14[],5,FALSE)+$R15*VLOOKUP($R$1,Table14[],5,FALSE)</f>
        <v>0</v>
      </c>
    </row>
    <row r="16" spans="1:52" x14ac:dyDescent="0.25">
      <c r="D16" t="s">
        <v>116</v>
      </c>
      <c r="F16">
        <f>IF($D16&lt;&gt;"",VLOOKUP($D16,'City Overview'!$A$2:$AT$26,30,FALSE),0)</f>
        <v>0</v>
      </c>
      <c r="G16">
        <f>IF($D16&lt;&gt;"",VLOOKUP($D16,'City Overview'!$A$2:$AT$26,31,FALSE),0)</f>
        <v>0</v>
      </c>
      <c r="H16">
        <f>IF($D16&lt;&gt;"",VLOOKUP($D16,'City Overview'!$A$2:$AT$26,32,FALSE),0)</f>
        <v>0</v>
      </c>
      <c r="I16">
        <f>IF($D16&lt;&gt;"",VLOOKUP($D16,'City Overview'!$A$2:$AT$26,33,FALSE),0)</f>
        <v>0</v>
      </c>
      <c r="J16">
        <f>IF($D16&lt;&gt;"",VLOOKUP($D16,'City Overview'!$A$2:$AT$26,34,FALSE),0)</f>
        <v>0</v>
      </c>
      <c r="K16">
        <f>IF($D16&lt;&gt;"",VLOOKUP($D16,'City Overview'!$A$2:$AT$26,35,FALSE),0)</f>
        <v>0</v>
      </c>
      <c r="L16">
        <f>IF($D16&lt;&gt;"",VLOOKUP($D16,'City Overview'!$A$2:$AT$26,36,FALSE),0)</f>
        <v>0</v>
      </c>
      <c r="M16">
        <f>IF($D16&lt;&gt;"",VLOOKUP($D16,'City Overview'!$A$2:$AT$26,37,FALSE),0)</f>
        <v>0</v>
      </c>
      <c r="N16">
        <f>IF($D16&lt;&gt;"",VLOOKUP($D16,'City Overview'!$A$2:$AT$26,38,FALSE),0)</f>
        <v>0</v>
      </c>
      <c r="O16">
        <f>IF($D16&lt;&gt;"",VLOOKUP($D16,'City Overview'!$A$2:$AT$26,39,FALSE),0)</f>
        <v>0</v>
      </c>
      <c r="P16">
        <f>IF($D16&lt;&gt;"",VLOOKUP($D16,'City Overview'!$A$2:$AT$26,40,FALSE),0)</f>
        <v>0</v>
      </c>
      <c r="Q16">
        <f>IF($D16&lt;&gt;"",VLOOKUP($D16,'City Overview'!$A$2:$AT$26,41,FALSE),0)</f>
        <v>0</v>
      </c>
      <c r="R16">
        <f>IF($D16&lt;&gt;"",VLOOKUP($D16,'City Overview'!$A$2:$AT$26,42,FALSE),0)</f>
        <v>0</v>
      </c>
      <c r="S16">
        <f>IF($D16&lt;&gt;"",VLOOKUP($D16,'City Overview'!$A$2:$AT$26,43,FALSE),0)</f>
        <v>0</v>
      </c>
      <c r="T16">
        <f>IF($D16&lt;&gt;"",VLOOKUP($D16,'City Overview'!$A$2:$AT$26,44,FALSE),0)</f>
        <v>0</v>
      </c>
      <c r="U16">
        <f>IF($D16&lt;&gt;"",VLOOKUP($D16,'City Overview'!$A$2:$AT$26,45,FALSE),0)</f>
        <v>0</v>
      </c>
      <c r="V16">
        <f>IF($D16&lt;&gt;"",VLOOKUP($D16,'City Overview'!$A$2:$AT$26,46,FALSE),0)</f>
        <v>0</v>
      </c>
      <c r="Y16">
        <f>$F16*VLOOKUP($F$1,Table14[],5,FALSE)+$G16*VLOOKUP($G$1,Table14[],5,FALSE)+$H16*VLOOKUP($H$1,Table14[],5,FALSE)+$I16*VLOOKUP($I$1,Table14[],5,FALSE)+$J16*VLOOKUP($J$1,Table14[],5,FALSE)+$K16*VLOOKUP($K$1,Table14[],5,FALSE)+$L16*VLOOKUP($L$1,Table14[],5,FALSE)+$M16*VLOOKUP($M$1,Table14[],5,FALSE)+$N16*VLOOKUP($N$1,Table14[],5,FALSE)+$O16*VLOOKUP($O$1,Table14[],5,FALSE)+$P16*VLOOKUP($P$1,Table14[],5,FALSE)+$Q16*VLOOKUP($Q$1,Table14[],5,FALSE)+$R16*VLOOKUP($R$1,Table14[],5,FALSE)</f>
        <v>0</v>
      </c>
    </row>
    <row r="17" spans="4:25" x14ac:dyDescent="0.25">
      <c r="D17" t="s">
        <v>117</v>
      </c>
      <c r="F17">
        <f>IF($D17&lt;&gt;"",VLOOKUP($D17,'City Overview'!$A$2:$AT$26,30,FALSE),0)</f>
        <v>0</v>
      </c>
      <c r="G17">
        <f>IF($D17&lt;&gt;"",VLOOKUP($D17,'City Overview'!$A$2:$AT$26,31,FALSE),0)</f>
        <v>0</v>
      </c>
      <c r="H17">
        <f>IF($D17&lt;&gt;"",VLOOKUP($D17,'City Overview'!$A$2:$AT$26,32,FALSE),0)</f>
        <v>0</v>
      </c>
      <c r="I17">
        <f>IF($D17&lt;&gt;"",VLOOKUP($D17,'City Overview'!$A$2:$AT$26,33,FALSE),0)</f>
        <v>0</v>
      </c>
      <c r="J17">
        <f>IF($D17&lt;&gt;"",VLOOKUP($D17,'City Overview'!$A$2:$AT$26,34,FALSE),0)</f>
        <v>0</v>
      </c>
      <c r="K17">
        <f>IF($D17&lt;&gt;"",VLOOKUP($D17,'City Overview'!$A$2:$AT$26,35,FALSE),0)</f>
        <v>0</v>
      </c>
      <c r="L17">
        <f>IF($D17&lt;&gt;"",VLOOKUP($D17,'City Overview'!$A$2:$AT$26,36,FALSE),0)</f>
        <v>0</v>
      </c>
      <c r="M17">
        <f>IF($D17&lt;&gt;"",VLOOKUP($D17,'City Overview'!$A$2:$AT$26,37,FALSE),0)</f>
        <v>0</v>
      </c>
      <c r="N17">
        <f>IF($D17&lt;&gt;"",VLOOKUP($D17,'City Overview'!$A$2:$AT$26,38,FALSE),0)</f>
        <v>0</v>
      </c>
      <c r="O17">
        <f>IF($D17&lt;&gt;"",VLOOKUP($D17,'City Overview'!$A$2:$AT$26,39,FALSE),0)</f>
        <v>0</v>
      </c>
      <c r="P17">
        <f>IF($D17&lt;&gt;"",VLOOKUP($D17,'City Overview'!$A$2:$AT$26,40,FALSE),0)</f>
        <v>0</v>
      </c>
      <c r="Q17">
        <f>IF($D17&lt;&gt;"",VLOOKUP($D17,'City Overview'!$A$2:$AT$26,41,FALSE),0)</f>
        <v>0</v>
      </c>
      <c r="R17">
        <f>IF($D17&lt;&gt;"",VLOOKUP($D17,'City Overview'!$A$2:$AT$26,42,FALSE),0)</f>
        <v>0</v>
      </c>
      <c r="S17">
        <f>IF($D17&lt;&gt;"",VLOOKUP($D17,'City Overview'!$A$2:$AT$26,43,FALSE),0)</f>
        <v>0</v>
      </c>
      <c r="T17">
        <f>IF($D17&lt;&gt;"",VLOOKUP($D17,'City Overview'!$A$2:$AT$26,44,FALSE),0)</f>
        <v>0</v>
      </c>
      <c r="U17">
        <f>IF($D17&lt;&gt;"",VLOOKUP($D17,'City Overview'!$A$2:$AT$26,45,FALSE),0)</f>
        <v>0</v>
      </c>
      <c r="V17">
        <f>IF($D17&lt;&gt;"",VLOOKUP($D17,'City Overview'!$A$2:$AT$26,46,FALSE),0)</f>
        <v>0</v>
      </c>
      <c r="Y17">
        <f>$F17*VLOOKUP($F$1,Table14[],5,FALSE)+$G17*VLOOKUP($G$1,Table14[],5,FALSE)+$H17*VLOOKUP($H$1,Table14[],5,FALSE)+$I17*VLOOKUP($I$1,Table14[],5,FALSE)+$J17*VLOOKUP($J$1,Table14[],5,FALSE)+$K17*VLOOKUP($K$1,Table14[],5,FALSE)+$L17*VLOOKUP($L$1,Table14[],5,FALSE)+$M17*VLOOKUP($M$1,Table14[],5,FALSE)+$N17*VLOOKUP($N$1,Table14[],5,FALSE)+$O17*VLOOKUP($O$1,Table14[],5,FALSE)+$P17*VLOOKUP($P$1,Table14[],5,FALSE)+$Q17*VLOOKUP($Q$1,Table14[],5,FALSE)+$R17*VLOOKUP($R$1,Table14[],5,FALSE)</f>
        <v>0</v>
      </c>
    </row>
    <row r="18" spans="4:25" x14ac:dyDescent="0.25">
      <c r="D18" t="s">
        <v>118</v>
      </c>
      <c r="F18">
        <f>IF($D18&lt;&gt;"",VLOOKUP($D18,'City Overview'!$A$2:$AT$26,30,FALSE),0)</f>
        <v>0</v>
      </c>
      <c r="G18">
        <f>IF($D18&lt;&gt;"",VLOOKUP($D18,'City Overview'!$A$2:$AT$26,31,FALSE),0)</f>
        <v>0</v>
      </c>
      <c r="H18">
        <f>IF($D18&lt;&gt;"",VLOOKUP($D18,'City Overview'!$A$2:$AT$26,32,FALSE),0)</f>
        <v>0</v>
      </c>
      <c r="I18">
        <f>IF($D18&lt;&gt;"",VLOOKUP($D18,'City Overview'!$A$2:$AT$26,33,FALSE),0)</f>
        <v>0</v>
      </c>
      <c r="J18">
        <f>IF($D18&lt;&gt;"",VLOOKUP($D18,'City Overview'!$A$2:$AT$26,34,FALSE),0)</f>
        <v>0</v>
      </c>
      <c r="K18">
        <f>IF($D18&lt;&gt;"",VLOOKUP($D18,'City Overview'!$A$2:$AT$26,35,FALSE),0)</f>
        <v>0</v>
      </c>
      <c r="L18">
        <f>IF($D18&lt;&gt;"",VLOOKUP($D18,'City Overview'!$A$2:$AT$26,36,FALSE),0)</f>
        <v>0</v>
      </c>
      <c r="M18">
        <f>IF($D18&lt;&gt;"",VLOOKUP($D18,'City Overview'!$A$2:$AT$26,37,FALSE),0)</f>
        <v>0</v>
      </c>
      <c r="N18">
        <f>IF($D18&lt;&gt;"",VLOOKUP($D18,'City Overview'!$A$2:$AT$26,38,FALSE),0)</f>
        <v>0</v>
      </c>
      <c r="O18">
        <f>IF($D18&lt;&gt;"",VLOOKUP($D18,'City Overview'!$A$2:$AT$26,39,FALSE),0)</f>
        <v>0</v>
      </c>
      <c r="P18">
        <f>IF($D18&lt;&gt;"",VLOOKUP($D18,'City Overview'!$A$2:$AT$26,40,FALSE),0)</f>
        <v>0</v>
      </c>
      <c r="Q18">
        <f>IF($D18&lt;&gt;"",VLOOKUP($D18,'City Overview'!$A$2:$AT$26,41,FALSE),0)</f>
        <v>0</v>
      </c>
      <c r="R18">
        <f>IF($D18&lt;&gt;"",VLOOKUP($D18,'City Overview'!$A$2:$AT$26,42,FALSE),0)</f>
        <v>0</v>
      </c>
      <c r="S18">
        <f>IF($D18&lt;&gt;"",VLOOKUP($D18,'City Overview'!$A$2:$AT$26,43,FALSE),0)</f>
        <v>0</v>
      </c>
      <c r="T18">
        <f>IF($D18&lt;&gt;"",VLOOKUP($D18,'City Overview'!$A$2:$AT$26,44,FALSE),0)</f>
        <v>0</v>
      </c>
      <c r="U18">
        <f>IF($D18&lt;&gt;"",VLOOKUP($D18,'City Overview'!$A$2:$AT$26,45,FALSE),0)</f>
        <v>0</v>
      </c>
      <c r="V18">
        <f>IF($D18&lt;&gt;"",VLOOKUP($D18,'City Overview'!$A$2:$AT$26,46,FALSE),0)</f>
        <v>0</v>
      </c>
      <c r="Y18">
        <f>$F18*VLOOKUP($F$1,Table14[],5,FALSE)+$G18*VLOOKUP($G$1,Table14[],5,FALSE)+$H18*VLOOKUP($H$1,Table14[],5,FALSE)+$I18*VLOOKUP($I$1,Table14[],5,FALSE)+$J18*VLOOKUP($J$1,Table14[],5,FALSE)+$K18*VLOOKUP($K$1,Table14[],5,FALSE)+$L18*VLOOKUP($L$1,Table14[],5,FALSE)+$M18*VLOOKUP($M$1,Table14[],5,FALSE)+$N18*VLOOKUP($N$1,Table14[],5,FALSE)+$O18*VLOOKUP($O$1,Table14[],5,FALSE)+$P18*VLOOKUP($P$1,Table14[],5,FALSE)+$Q18*VLOOKUP($Q$1,Table14[],5,FALSE)+$R18*VLOOKUP($R$1,Table14[],5,FALSE)</f>
        <v>0</v>
      </c>
    </row>
    <row r="19" spans="4:25" x14ac:dyDescent="0.25">
      <c r="D19" t="s">
        <v>119</v>
      </c>
      <c r="F19">
        <f>IF($D19&lt;&gt;"",VLOOKUP($D19,'City Overview'!$A$2:$AT$26,30,FALSE),0)</f>
        <v>0</v>
      </c>
      <c r="G19">
        <f>IF($D19&lt;&gt;"",VLOOKUP($D19,'City Overview'!$A$2:$AT$26,31,FALSE),0)</f>
        <v>0</v>
      </c>
      <c r="H19">
        <f>IF($D19&lt;&gt;"",VLOOKUP($D19,'City Overview'!$A$2:$AT$26,32,FALSE),0)</f>
        <v>0</v>
      </c>
      <c r="I19">
        <f>IF($D19&lt;&gt;"",VLOOKUP($D19,'City Overview'!$A$2:$AT$26,33,FALSE),0)</f>
        <v>0</v>
      </c>
      <c r="J19">
        <f>IF($D19&lt;&gt;"",VLOOKUP($D19,'City Overview'!$A$2:$AT$26,34,FALSE),0)</f>
        <v>0</v>
      </c>
      <c r="K19">
        <f>IF($D19&lt;&gt;"",VLOOKUP($D19,'City Overview'!$A$2:$AT$26,35,FALSE),0)</f>
        <v>0</v>
      </c>
      <c r="L19">
        <f>IF($D19&lt;&gt;"",VLOOKUP($D19,'City Overview'!$A$2:$AT$26,36,FALSE),0)</f>
        <v>0</v>
      </c>
      <c r="M19">
        <f>IF($D19&lt;&gt;"",VLOOKUP($D19,'City Overview'!$A$2:$AT$26,37,FALSE),0)</f>
        <v>0</v>
      </c>
      <c r="N19">
        <f>IF($D19&lt;&gt;"",VLOOKUP($D19,'City Overview'!$A$2:$AT$26,38,FALSE),0)</f>
        <v>0</v>
      </c>
      <c r="O19">
        <f>IF($D19&lt;&gt;"",VLOOKUP($D19,'City Overview'!$A$2:$AT$26,39,FALSE),0)</f>
        <v>0</v>
      </c>
      <c r="P19">
        <f>IF($D19&lt;&gt;"",VLOOKUP($D19,'City Overview'!$A$2:$AT$26,40,FALSE),0)</f>
        <v>0</v>
      </c>
      <c r="Q19">
        <f>IF($D19&lt;&gt;"",VLOOKUP($D19,'City Overview'!$A$2:$AT$26,41,FALSE),0)</f>
        <v>0</v>
      </c>
      <c r="R19">
        <f>IF($D19&lt;&gt;"",VLOOKUP($D19,'City Overview'!$A$2:$AT$26,42,FALSE),0)</f>
        <v>0</v>
      </c>
      <c r="S19">
        <f>IF($D19&lt;&gt;"",VLOOKUP($D19,'City Overview'!$A$2:$AT$26,43,FALSE),0)</f>
        <v>0</v>
      </c>
      <c r="T19">
        <f>IF($D19&lt;&gt;"",VLOOKUP($D19,'City Overview'!$A$2:$AT$26,44,FALSE),0)</f>
        <v>0</v>
      </c>
      <c r="U19">
        <f>IF($D19&lt;&gt;"",VLOOKUP($D19,'City Overview'!$A$2:$AT$26,45,FALSE),0)</f>
        <v>0</v>
      </c>
      <c r="V19">
        <f>IF($D19&lt;&gt;"",VLOOKUP($D19,'City Overview'!$A$2:$AT$26,46,FALSE),0)</f>
        <v>0</v>
      </c>
      <c r="Y19">
        <f>$F19*VLOOKUP($F$1,Table14[],5,FALSE)+$G19*VLOOKUP($G$1,Table14[],5,FALSE)+$H19*VLOOKUP($H$1,Table14[],5,FALSE)+$I19*VLOOKUP($I$1,Table14[],5,FALSE)+$J19*VLOOKUP($J$1,Table14[],5,FALSE)+$K19*VLOOKUP($K$1,Table14[],5,FALSE)+$L19*VLOOKUP($L$1,Table14[],5,FALSE)+$M19*VLOOKUP($M$1,Table14[],5,FALSE)+$N19*VLOOKUP($N$1,Table14[],5,FALSE)+$O19*VLOOKUP($O$1,Table14[],5,FALSE)+$P19*VLOOKUP($P$1,Table14[],5,FALSE)+$Q19*VLOOKUP($Q$1,Table14[],5,FALSE)+$R19*VLOOKUP($R$1,Table14[],5,FALSE)</f>
        <v>0</v>
      </c>
    </row>
    <row r="20" spans="4:25" x14ac:dyDescent="0.25">
      <c r="D20" t="s">
        <v>120</v>
      </c>
      <c r="F20">
        <f>IF($D20&lt;&gt;"",VLOOKUP($D20,'City Overview'!$A$2:$AT$26,30,FALSE),0)</f>
        <v>0</v>
      </c>
      <c r="G20">
        <f>IF($D20&lt;&gt;"",VLOOKUP($D20,'City Overview'!$A$2:$AT$26,31,FALSE),0)</f>
        <v>0</v>
      </c>
      <c r="H20">
        <f>IF($D20&lt;&gt;"",VLOOKUP($D20,'City Overview'!$A$2:$AT$26,32,FALSE),0)</f>
        <v>0</v>
      </c>
      <c r="I20">
        <f>IF($D20&lt;&gt;"",VLOOKUP($D20,'City Overview'!$A$2:$AT$26,33,FALSE),0)</f>
        <v>0</v>
      </c>
      <c r="J20">
        <f>IF($D20&lt;&gt;"",VLOOKUP($D20,'City Overview'!$A$2:$AT$26,34,FALSE),0)</f>
        <v>0</v>
      </c>
      <c r="K20">
        <f>IF($D20&lt;&gt;"",VLOOKUP($D20,'City Overview'!$A$2:$AT$26,35,FALSE),0)</f>
        <v>0</v>
      </c>
      <c r="L20">
        <f>IF($D20&lt;&gt;"",VLOOKUP($D20,'City Overview'!$A$2:$AT$26,36,FALSE),0)</f>
        <v>0</v>
      </c>
      <c r="M20">
        <f>IF($D20&lt;&gt;"",VLOOKUP($D20,'City Overview'!$A$2:$AT$26,37,FALSE),0)</f>
        <v>0</v>
      </c>
      <c r="N20">
        <f>IF($D20&lt;&gt;"",VLOOKUP($D20,'City Overview'!$A$2:$AT$26,38,FALSE),0)</f>
        <v>0</v>
      </c>
      <c r="O20">
        <f>IF($D20&lt;&gt;"",VLOOKUP($D20,'City Overview'!$A$2:$AT$26,39,FALSE),0)</f>
        <v>0</v>
      </c>
      <c r="P20">
        <f>IF($D20&lt;&gt;"",VLOOKUP($D20,'City Overview'!$A$2:$AT$26,40,FALSE),0)</f>
        <v>0</v>
      </c>
      <c r="Q20">
        <f>IF($D20&lt;&gt;"",VLOOKUP($D20,'City Overview'!$A$2:$AT$26,41,FALSE),0)</f>
        <v>0</v>
      </c>
      <c r="R20">
        <f>IF($D20&lt;&gt;"",VLOOKUP($D20,'City Overview'!$A$2:$AT$26,42,FALSE),0)</f>
        <v>0</v>
      </c>
      <c r="S20">
        <f>IF($D20&lt;&gt;"",VLOOKUP($D20,'City Overview'!$A$2:$AT$26,43,FALSE),0)</f>
        <v>0</v>
      </c>
      <c r="T20">
        <f>IF($D20&lt;&gt;"",VLOOKUP($D20,'City Overview'!$A$2:$AT$26,44,FALSE),0)</f>
        <v>0</v>
      </c>
      <c r="U20">
        <f>IF($D20&lt;&gt;"",VLOOKUP($D20,'City Overview'!$A$2:$AT$26,45,FALSE),0)</f>
        <v>0</v>
      </c>
      <c r="V20">
        <f>IF($D20&lt;&gt;"",VLOOKUP($D20,'City Overview'!$A$2:$AT$26,46,FALSE),0)</f>
        <v>0</v>
      </c>
      <c r="Y20">
        <f>$F20*VLOOKUP($F$1,Table14[],5,FALSE)+$G20*VLOOKUP($G$1,Table14[],5,FALSE)+$H20*VLOOKUP($H$1,Table14[],5,FALSE)+$I20*VLOOKUP($I$1,Table14[],5,FALSE)+$J20*VLOOKUP($J$1,Table14[],5,FALSE)+$K20*VLOOKUP($K$1,Table14[],5,FALSE)+$L20*VLOOKUP($L$1,Table14[],5,FALSE)+$M20*VLOOKUP($M$1,Table14[],5,FALSE)+$N20*VLOOKUP($N$1,Table14[],5,FALSE)+$O20*VLOOKUP($O$1,Table14[],5,FALSE)+$P20*VLOOKUP($P$1,Table14[],5,FALSE)+$Q20*VLOOKUP($Q$1,Table14[],5,FALSE)+$R20*VLOOKUP($R$1,Table14[],5,FALSE)</f>
        <v>0</v>
      </c>
    </row>
    <row r="21" spans="4:25" x14ac:dyDescent="0.25">
      <c r="D21" t="s">
        <v>121</v>
      </c>
      <c r="F21">
        <f>IF($D21&lt;&gt;"",VLOOKUP($D21,'City Overview'!$A$2:$AT$26,30,FALSE),0)</f>
        <v>0</v>
      </c>
      <c r="G21">
        <f>IF($D21&lt;&gt;"",VLOOKUP($D21,'City Overview'!$A$2:$AT$26,31,FALSE),0)</f>
        <v>0</v>
      </c>
      <c r="H21">
        <f>IF($D21&lt;&gt;"",VLOOKUP($D21,'City Overview'!$A$2:$AT$26,32,FALSE),0)</f>
        <v>0</v>
      </c>
      <c r="I21">
        <f>IF($D21&lt;&gt;"",VLOOKUP($D21,'City Overview'!$A$2:$AT$26,33,FALSE),0)</f>
        <v>0</v>
      </c>
      <c r="J21">
        <f>IF($D21&lt;&gt;"",VLOOKUP($D21,'City Overview'!$A$2:$AT$26,34,FALSE),0)</f>
        <v>0</v>
      </c>
      <c r="K21">
        <f>IF($D21&lt;&gt;"",VLOOKUP($D21,'City Overview'!$A$2:$AT$26,35,FALSE),0)</f>
        <v>0</v>
      </c>
      <c r="L21">
        <f>IF($D21&lt;&gt;"",VLOOKUP($D21,'City Overview'!$A$2:$AT$26,36,FALSE),0)</f>
        <v>0</v>
      </c>
      <c r="M21">
        <f>IF($D21&lt;&gt;"",VLOOKUP($D21,'City Overview'!$A$2:$AT$26,37,FALSE),0)</f>
        <v>0</v>
      </c>
      <c r="N21">
        <f>IF($D21&lt;&gt;"",VLOOKUP($D21,'City Overview'!$A$2:$AT$26,38,FALSE),0)</f>
        <v>0</v>
      </c>
      <c r="O21">
        <f>IF($D21&lt;&gt;"",VLOOKUP($D21,'City Overview'!$A$2:$AT$26,39,FALSE),0)</f>
        <v>0</v>
      </c>
      <c r="P21">
        <f>IF($D21&lt;&gt;"",VLOOKUP($D21,'City Overview'!$A$2:$AT$26,40,FALSE),0)</f>
        <v>0</v>
      </c>
      <c r="Q21">
        <f>IF($D21&lt;&gt;"",VLOOKUP($D21,'City Overview'!$A$2:$AT$26,41,FALSE),0)</f>
        <v>0</v>
      </c>
      <c r="R21">
        <f>IF($D21&lt;&gt;"",VLOOKUP($D21,'City Overview'!$A$2:$AT$26,42,FALSE),0)</f>
        <v>0</v>
      </c>
      <c r="S21">
        <f>IF($D21&lt;&gt;"",VLOOKUP($D21,'City Overview'!$A$2:$AT$26,43,FALSE),0)</f>
        <v>0</v>
      </c>
      <c r="T21">
        <f>IF($D21&lt;&gt;"",VLOOKUP($D21,'City Overview'!$A$2:$AT$26,44,FALSE),0)</f>
        <v>0</v>
      </c>
      <c r="U21">
        <f>IF($D21&lt;&gt;"",VLOOKUP($D21,'City Overview'!$A$2:$AT$26,45,FALSE),0)</f>
        <v>0</v>
      </c>
      <c r="V21">
        <f>IF($D21&lt;&gt;"",VLOOKUP($D21,'City Overview'!$A$2:$AT$26,46,FALSE),0)</f>
        <v>0</v>
      </c>
      <c r="Y21">
        <f>$F21*VLOOKUP($F$1,Table14[],5,FALSE)+$G21*VLOOKUP($G$1,Table14[],5,FALSE)+$H21*VLOOKUP($H$1,Table14[],5,FALSE)+$I21*VLOOKUP($I$1,Table14[],5,FALSE)+$J21*VLOOKUP($J$1,Table14[],5,FALSE)+$K21*VLOOKUP($K$1,Table14[],5,FALSE)+$L21*VLOOKUP($L$1,Table14[],5,FALSE)+$M21*VLOOKUP($M$1,Table14[],5,FALSE)+$N21*VLOOKUP($N$1,Table14[],5,FALSE)+$O21*VLOOKUP($O$1,Table14[],5,FALSE)+$P21*VLOOKUP($P$1,Table14[],5,FALSE)+$Q21*VLOOKUP($Q$1,Table14[],5,FALSE)+$R21*VLOOKUP($R$1,Table14[],5,FALSE)</f>
        <v>0</v>
      </c>
    </row>
    <row r="22" spans="4:25" x14ac:dyDescent="0.25">
      <c r="D22" t="s">
        <v>122</v>
      </c>
      <c r="F22">
        <f>IF($D22&lt;&gt;"",VLOOKUP($D22,'City Overview'!$A$2:$AT$26,30,FALSE),0)</f>
        <v>0</v>
      </c>
      <c r="G22">
        <f>IF($D22&lt;&gt;"",VLOOKUP($D22,'City Overview'!$A$2:$AT$26,31,FALSE),0)</f>
        <v>0</v>
      </c>
      <c r="H22">
        <f>IF($D22&lt;&gt;"",VLOOKUP($D22,'City Overview'!$A$2:$AT$26,32,FALSE),0)</f>
        <v>0</v>
      </c>
      <c r="I22">
        <f>IF($D22&lt;&gt;"",VLOOKUP($D22,'City Overview'!$A$2:$AT$26,33,FALSE),0)</f>
        <v>0</v>
      </c>
      <c r="J22">
        <f>IF($D22&lt;&gt;"",VLOOKUP($D22,'City Overview'!$A$2:$AT$26,34,FALSE),0)</f>
        <v>0</v>
      </c>
      <c r="K22">
        <f>IF($D22&lt;&gt;"",VLOOKUP($D22,'City Overview'!$A$2:$AT$26,35,FALSE),0)</f>
        <v>0</v>
      </c>
      <c r="L22">
        <f>IF($D22&lt;&gt;"",VLOOKUP($D22,'City Overview'!$A$2:$AT$26,36,FALSE),0)</f>
        <v>0</v>
      </c>
      <c r="M22">
        <f>IF($D22&lt;&gt;"",VLOOKUP($D22,'City Overview'!$A$2:$AT$26,37,FALSE),0)</f>
        <v>0</v>
      </c>
      <c r="N22">
        <f>IF($D22&lt;&gt;"",VLOOKUP($D22,'City Overview'!$A$2:$AT$26,38,FALSE),0)</f>
        <v>0</v>
      </c>
      <c r="O22">
        <f>IF($D22&lt;&gt;"",VLOOKUP($D22,'City Overview'!$A$2:$AT$26,39,FALSE),0)</f>
        <v>0</v>
      </c>
      <c r="P22">
        <f>IF($D22&lt;&gt;"",VLOOKUP($D22,'City Overview'!$A$2:$AT$26,40,FALSE),0)</f>
        <v>0</v>
      </c>
      <c r="Q22">
        <f>IF($D22&lt;&gt;"",VLOOKUP($D22,'City Overview'!$A$2:$AT$26,41,FALSE),0)</f>
        <v>0</v>
      </c>
      <c r="R22">
        <f>IF($D22&lt;&gt;"",VLOOKUP($D22,'City Overview'!$A$2:$AT$26,42,FALSE),0)</f>
        <v>0</v>
      </c>
      <c r="S22">
        <f>IF($D22&lt;&gt;"",VLOOKUP($D22,'City Overview'!$A$2:$AT$26,43,FALSE),0)</f>
        <v>0</v>
      </c>
      <c r="T22">
        <f>IF($D22&lt;&gt;"",VLOOKUP($D22,'City Overview'!$A$2:$AT$26,44,FALSE),0)</f>
        <v>0</v>
      </c>
      <c r="U22">
        <f>IF($D22&lt;&gt;"",VLOOKUP($D22,'City Overview'!$A$2:$AT$26,45,FALSE),0)</f>
        <v>0</v>
      </c>
      <c r="V22">
        <f>IF($D22&lt;&gt;"",VLOOKUP($D22,'City Overview'!$A$2:$AT$26,46,FALSE),0)</f>
        <v>0</v>
      </c>
      <c r="Y22">
        <f>$F22*VLOOKUP($F$1,Table14[],5,FALSE)+$G22*VLOOKUP($G$1,Table14[],5,FALSE)+$H22*VLOOKUP($H$1,Table14[],5,FALSE)+$I22*VLOOKUP($I$1,Table14[],5,FALSE)+$J22*VLOOKUP($J$1,Table14[],5,FALSE)+$K22*VLOOKUP($K$1,Table14[],5,FALSE)+$L22*VLOOKUP($L$1,Table14[],5,FALSE)+$M22*VLOOKUP($M$1,Table14[],5,FALSE)+$N22*VLOOKUP($N$1,Table14[],5,FALSE)+$O22*VLOOKUP($O$1,Table14[],5,FALSE)+$P22*VLOOKUP($P$1,Table14[],5,FALSE)+$Q22*VLOOKUP($Q$1,Table14[],5,FALSE)+$R22*VLOOKUP($R$1,Table14[],5,FALSE)</f>
        <v>0</v>
      </c>
    </row>
    <row r="23" spans="4:25" x14ac:dyDescent="0.25">
      <c r="D23" t="s">
        <v>123</v>
      </c>
      <c r="F23">
        <f>IF($D23&lt;&gt;"",VLOOKUP($D23,'City Overview'!$A$2:$AT$26,30,FALSE),0)</f>
        <v>0</v>
      </c>
      <c r="G23">
        <f>IF($D23&lt;&gt;"",VLOOKUP($D23,'City Overview'!$A$2:$AT$26,31,FALSE),0)</f>
        <v>0</v>
      </c>
      <c r="H23">
        <f>IF($D23&lt;&gt;"",VLOOKUP($D23,'City Overview'!$A$2:$AT$26,32,FALSE),0)</f>
        <v>0</v>
      </c>
      <c r="I23">
        <f>IF($D23&lt;&gt;"",VLOOKUP($D23,'City Overview'!$A$2:$AT$26,33,FALSE),0)</f>
        <v>0</v>
      </c>
      <c r="J23">
        <f>IF($D23&lt;&gt;"",VLOOKUP($D23,'City Overview'!$A$2:$AT$26,34,FALSE),0)</f>
        <v>0</v>
      </c>
      <c r="K23">
        <f>IF($D23&lt;&gt;"",VLOOKUP($D23,'City Overview'!$A$2:$AT$26,35,FALSE),0)</f>
        <v>0</v>
      </c>
      <c r="L23">
        <f>IF($D23&lt;&gt;"",VLOOKUP($D23,'City Overview'!$A$2:$AT$26,36,FALSE),0)</f>
        <v>0</v>
      </c>
      <c r="M23">
        <f>IF($D23&lt;&gt;"",VLOOKUP($D23,'City Overview'!$A$2:$AT$26,37,FALSE),0)</f>
        <v>0</v>
      </c>
      <c r="N23">
        <f>IF($D23&lt;&gt;"",VLOOKUP($D23,'City Overview'!$A$2:$AT$26,38,FALSE),0)</f>
        <v>0</v>
      </c>
      <c r="O23">
        <f>IF($D23&lt;&gt;"",VLOOKUP($D23,'City Overview'!$A$2:$AT$26,39,FALSE),0)</f>
        <v>0</v>
      </c>
      <c r="P23">
        <f>IF($D23&lt;&gt;"",VLOOKUP($D23,'City Overview'!$A$2:$AT$26,40,FALSE),0)</f>
        <v>0</v>
      </c>
      <c r="Q23">
        <f>IF($D23&lt;&gt;"",VLOOKUP($D23,'City Overview'!$A$2:$AT$26,41,FALSE),0)</f>
        <v>0</v>
      </c>
      <c r="R23">
        <f>IF($D23&lt;&gt;"",VLOOKUP($D23,'City Overview'!$A$2:$AT$26,42,FALSE),0)</f>
        <v>0</v>
      </c>
      <c r="S23">
        <f>IF($D23&lt;&gt;"",VLOOKUP($D23,'City Overview'!$A$2:$AT$26,43,FALSE),0)</f>
        <v>0</v>
      </c>
      <c r="T23">
        <f>IF($D23&lt;&gt;"",VLOOKUP($D23,'City Overview'!$A$2:$AT$26,44,FALSE),0)</f>
        <v>0</v>
      </c>
      <c r="U23">
        <f>IF($D23&lt;&gt;"",VLOOKUP($D23,'City Overview'!$A$2:$AT$26,45,FALSE),0)</f>
        <v>0</v>
      </c>
      <c r="V23">
        <f>IF($D23&lt;&gt;"",VLOOKUP($D23,'City Overview'!$A$2:$AT$26,46,FALSE),0)</f>
        <v>0</v>
      </c>
      <c r="Y23">
        <f>$F23*VLOOKUP($F$1,Table14[],5,FALSE)+$G23*VLOOKUP($G$1,Table14[],5,FALSE)+$H23*VLOOKUP($H$1,Table14[],5,FALSE)+$I23*VLOOKUP($I$1,Table14[],5,FALSE)+$J23*VLOOKUP($J$1,Table14[],5,FALSE)+$K23*VLOOKUP($K$1,Table14[],5,FALSE)+$L23*VLOOKUP($L$1,Table14[],5,FALSE)+$M23*VLOOKUP($M$1,Table14[],5,FALSE)+$N23*VLOOKUP($N$1,Table14[],5,FALSE)+$O23*VLOOKUP($O$1,Table14[],5,FALSE)+$P23*VLOOKUP($P$1,Table14[],5,FALSE)+$Q23*VLOOKUP($Q$1,Table14[],5,FALSE)+$R23*VLOOKUP($R$1,Table14[],5,FALSE)</f>
        <v>0</v>
      </c>
    </row>
    <row r="24" spans="4:25" x14ac:dyDescent="0.25">
      <c r="D24" t="s">
        <v>124</v>
      </c>
      <c r="F24">
        <f>IF($D24&lt;&gt;"",VLOOKUP($D24,'City Overview'!$A$2:$AT$26,30,FALSE),0)</f>
        <v>0</v>
      </c>
      <c r="G24">
        <f>IF($D24&lt;&gt;"",VLOOKUP($D24,'City Overview'!$A$2:$AT$26,31,FALSE),0)</f>
        <v>0</v>
      </c>
      <c r="H24">
        <f>IF($D24&lt;&gt;"",VLOOKUP($D24,'City Overview'!$A$2:$AT$26,32,FALSE),0)</f>
        <v>0</v>
      </c>
      <c r="I24">
        <f>IF($D24&lt;&gt;"",VLOOKUP($D24,'City Overview'!$A$2:$AT$26,33,FALSE),0)</f>
        <v>0</v>
      </c>
      <c r="J24">
        <f>IF($D24&lt;&gt;"",VLOOKUP($D24,'City Overview'!$A$2:$AT$26,34,FALSE),0)</f>
        <v>0</v>
      </c>
      <c r="K24">
        <f>IF($D24&lt;&gt;"",VLOOKUP($D24,'City Overview'!$A$2:$AT$26,35,FALSE),0)</f>
        <v>0</v>
      </c>
      <c r="L24">
        <f>IF($D24&lt;&gt;"",VLOOKUP($D24,'City Overview'!$A$2:$AT$26,36,FALSE),0)</f>
        <v>0</v>
      </c>
      <c r="M24">
        <f>IF($D24&lt;&gt;"",VLOOKUP($D24,'City Overview'!$A$2:$AT$26,37,FALSE),0)</f>
        <v>0</v>
      </c>
      <c r="N24">
        <f>IF($D24&lt;&gt;"",VLOOKUP($D24,'City Overview'!$A$2:$AT$26,38,FALSE),0)</f>
        <v>0</v>
      </c>
      <c r="O24">
        <f>IF($D24&lt;&gt;"",VLOOKUP($D24,'City Overview'!$A$2:$AT$26,39,FALSE),0)</f>
        <v>0</v>
      </c>
      <c r="P24">
        <f>IF($D24&lt;&gt;"",VLOOKUP($D24,'City Overview'!$A$2:$AT$26,40,FALSE),0)</f>
        <v>0</v>
      </c>
      <c r="Q24">
        <f>IF($D24&lt;&gt;"",VLOOKUP($D24,'City Overview'!$A$2:$AT$26,41,FALSE),0)</f>
        <v>0</v>
      </c>
      <c r="R24">
        <f>IF($D24&lt;&gt;"",VLOOKUP($D24,'City Overview'!$A$2:$AT$26,42,FALSE),0)</f>
        <v>0</v>
      </c>
      <c r="S24">
        <f>IF($D24&lt;&gt;"",VLOOKUP($D24,'City Overview'!$A$2:$AT$26,43,FALSE),0)</f>
        <v>0</v>
      </c>
      <c r="T24">
        <f>IF($D24&lt;&gt;"",VLOOKUP($D24,'City Overview'!$A$2:$AT$26,44,FALSE),0)</f>
        <v>0</v>
      </c>
      <c r="U24">
        <f>IF($D24&lt;&gt;"",VLOOKUP($D24,'City Overview'!$A$2:$AT$26,45,FALSE),0)</f>
        <v>0</v>
      </c>
      <c r="V24">
        <f>IF($D24&lt;&gt;"",VLOOKUP($D24,'City Overview'!$A$2:$AT$26,46,FALSE),0)</f>
        <v>0</v>
      </c>
      <c r="Y24">
        <f>$F24*VLOOKUP($F$1,Table14[],5,FALSE)+$G24*VLOOKUP($G$1,Table14[],5,FALSE)+$H24*VLOOKUP($H$1,Table14[],5,FALSE)+$I24*VLOOKUP($I$1,Table14[],5,FALSE)+$J24*VLOOKUP($J$1,Table14[],5,FALSE)+$K24*VLOOKUP($K$1,Table14[],5,FALSE)+$L24*VLOOKUP($L$1,Table14[],5,FALSE)+$M24*VLOOKUP($M$1,Table14[],5,FALSE)+$N24*VLOOKUP($N$1,Table14[],5,FALSE)+$O24*VLOOKUP($O$1,Table14[],5,FALSE)+$P24*VLOOKUP($P$1,Table14[],5,FALSE)+$Q24*VLOOKUP($Q$1,Table14[],5,FALSE)+$R24*VLOOKUP($R$1,Table14[],5,FALSE)</f>
        <v>0</v>
      </c>
    </row>
    <row r="25" spans="4:25" x14ac:dyDescent="0.25">
      <c r="D25" t="s">
        <v>125</v>
      </c>
      <c r="F25">
        <f>IF($D25&lt;&gt;"",VLOOKUP($D25,'City Overview'!$A$2:$AT$26,30,FALSE),0)</f>
        <v>0</v>
      </c>
      <c r="G25">
        <f>IF($D25&lt;&gt;"",VLOOKUP($D25,'City Overview'!$A$2:$AT$26,31,FALSE),0)</f>
        <v>0</v>
      </c>
      <c r="H25">
        <f>IF($D25&lt;&gt;"",VLOOKUP($D25,'City Overview'!$A$2:$AT$26,32,FALSE),0)</f>
        <v>0</v>
      </c>
      <c r="I25">
        <f>IF($D25&lt;&gt;"",VLOOKUP($D25,'City Overview'!$A$2:$AT$26,33,FALSE),0)</f>
        <v>0</v>
      </c>
      <c r="J25">
        <f>IF($D25&lt;&gt;"",VLOOKUP($D25,'City Overview'!$A$2:$AT$26,34,FALSE),0)</f>
        <v>0</v>
      </c>
      <c r="K25">
        <f>IF($D25&lt;&gt;"",VLOOKUP($D25,'City Overview'!$A$2:$AT$26,35,FALSE),0)</f>
        <v>0</v>
      </c>
      <c r="L25">
        <f>IF($D25&lt;&gt;"",VLOOKUP($D25,'City Overview'!$A$2:$AT$26,36,FALSE),0)</f>
        <v>0</v>
      </c>
      <c r="M25">
        <f>IF($D25&lt;&gt;"",VLOOKUP($D25,'City Overview'!$A$2:$AT$26,37,FALSE),0)</f>
        <v>0</v>
      </c>
      <c r="N25">
        <f>IF($D25&lt;&gt;"",VLOOKUP($D25,'City Overview'!$A$2:$AT$26,38,FALSE),0)</f>
        <v>0</v>
      </c>
      <c r="O25">
        <f>IF($D25&lt;&gt;"",VLOOKUP($D25,'City Overview'!$A$2:$AT$26,39,FALSE),0)</f>
        <v>0</v>
      </c>
      <c r="P25">
        <f>IF($D25&lt;&gt;"",VLOOKUP($D25,'City Overview'!$A$2:$AT$26,40,FALSE),0)</f>
        <v>0</v>
      </c>
      <c r="Q25">
        <f>IF($D25&lt;&gt;"",VLOOKUP($D25,'City Overview'!$A$2:$AT$26,41,FALSE),0)</f>
        <v>0</v>
      </c>
      <c r="R25">
        <f>IF($D25&lt;&gt;"",VLOOKUP($D25,'City Overview'!$A$2:$AT$26,42,FALSE),0)</f>
        <v>0</v>
      </c>
      <c r="S25">
        <f>IF($D25&lt;&gt;"",VLOOKUP($D25,'City Overview'!$A$2:$AT$26,43,FALSE),0)</f>
        <v>0</v>
      </c>
      <c r="T25">
        <f>IF($D25&lt;&gt;"",VLOOKUP($D25,'City Overview'!$A$2:$AT$26,44,FALSE),0)</f>
        <v>0</v>
      </c>
      <c r="U25">
        <f>IF($D25&lt;&gt;"",VLOOKUP($D25,'City Overview'!$A$2:$AT$26,45,FALSE),0)</f>
        <v>0</v>
      </c>
      <c r="V25">
        <f>IF($D25&lt;&gt;"",VLOOKUP($D25,'City Overview'!$A$2:$AT$26,46,FALSE),0)</f>
        <v>0</v>
      </c>
      <c r="Y25">
        <f>$F25*VLOOKUP($F$1,Table14[],5,FALSE)+$G25*VLOOKUP($G$1,Table14[],5,FALSE)+$H25*VLOOKUP($H$1,Table14[],5,FALSE)+$I25*VLOOKUP($I$1,Table14[],5,FALSE)+$J25*VLOOKUP($J$1,Table14[],5,FALSE)+$K25*VLOOKUP($K$1,Table14[],5,FALSE)+$L25*VLOOKUP($L$1,Table14[],5,FALSE)+$M25*VLOOKUP($M$1,Table14[],5,FALSE)+$N25*VLOOKUP($N$1,Table14[],5,FALSE)+$O25*VLOOKUP($O$1,Table14[],5,FALSE)+$P25*VLOOKUP($P$1,Table14[],5,FALSE)+$Q25*VLOOKUP($Q$1,Table14[],5,FALSE)+$R25*VLOOKUP($R$1,Table14[],5,FALSE)</f>
        <v>0</v>
      </c>
    </row>
    <row r="26" spans="4:25" x14ac:dyDescent="0.25">
      <c r="D26" t="s">
        <v>126</v>
      </c>
      <c r="F26">
        <f>IF($D26&lt;&gt;"",VLOOKUP($D26,'City Overview'!$A$2:$AT$26,30,FALSE),0)</f>
        <v>0</v>
      </c>
      <c r="G26">
        <f>IF($D26&lt;&gt;"",VLOOKUP($D26,'City Overview'!$A$2:$AT$26,31,FALSE),0)</f>
        <v>0</v>
      </c>
      <c r="H26">
        <f>IF($D26&lt;&gt;"",VLOOKUP($D26,'City Overview'!$A$2:$AT$26,32,FALSE),0)</f>
        <v>0</v>
      </c>
      <c r="I26">
        <f>IF($D26&lt;&gt;"",VLOOKUP($D26,'City Overview'!$A$2:$AT$26,33,FALSE),0)</f>
        <v>0</v>
      </c>
      <c r="J26">
        <f>IF($D26&lt;&gt;"",VLOOKUP($D26,'City Overview'!$A$2:$AT$26,34,FALSE),0)</f>
        <v>0</v>
      </c>
      <c r="K26">
        <f>IF($D26&lt;&gt;"",VLOOKUP($D26,'City Overview'!$A$2:$AT$26,35,FALSE),0)</f>
        <v>0</v>
      </c>
      <c r="L26">
        <f>IF($D26&lt;&gt;"",VLOOKUP($D26,'City Overview'!$A$2:$AT$26,36,FALSE),0)</f>
        <v>0</v>
      </c>
      <c r="M26">
        <f>IF($D26&lt;&gt;"",VLOOKUP($D26,'City Overview'!$A$2:$AT$26,37,FALSE),0)</f>
        <v>0</v>
      </c>
      <c r="N26">
        <f>IF($D26&lt;&gt;"",VLOOKUP($D26,'City Overview'!$A$2:$AT$26,38,FALSE),0)</f>
        <v>0</v>
      </c>
      <c r="O26">
        <f>IF($D26&lt;&gt;"",VLOOKUP($D26,'City Overview'!$A$2:$AT$26,39,FALSE),0)</f>
        <v>0</v>
      </c>
      <c r="P26">
        <f>IF($D26&lt;&gt;"",VLOOKUP($D26,'City Overview'!$A$2:$AT$26,40,FALSE),0)</f>
        <v>0</v>
      </c>
      <c r="Q26">
        <f>IF($D26&lt;&gt;"",VLOOKUP($D26,'City Overview'!$A$2:$AT$26,41,FALSE),0)</f>
        <v>0</v>
      </c>
      <c r="R26">
        <f>IF($D26&lt;&gt;"",VLOOKUP($D26,'City Overview'!$A$2:$AT$26,42,FALSE),0)</f>
        <v>0</v>
      </c>
      <c r="S26">
        <f>IF($D26&lt;&gt;"",VLOOKUP($D26,'City Overview'!$A$2:$AT$26,43,FALSE),0)</f>
        <v>0</v>
      </c>
      <c r="T26">
        <f>IF($D26&lt;&gt;"",VLOOKUP($D26,'City Overview'!$A$2:$AT$26,44,FALSE),0)</f>
        <v>0</v>
      </c>
      <c r="U26">
        <f>IF($D26&lt;&gt;"",VLOOKUP($D26,'City Overview'!$A$2:$AT$26,45,FALSE),0)</f>
        <v>0</v>
      </c>
      <c r="V26">
        <f>IF($D26&lt;&gt;"",VLOOKUP($D26,'City Overview'!$A$2:$AT$26,46,FALSE),0)</f>
        <v>0</v>
      </c>
      <c r="Y26">
        <f>$F26*VLOOKUP($F$1,Table14[],5,FALSE)+$G26*VLOOKUP($G$1,Table14[],5,FALSE)+$H26*VLOOKUP($H$1,Table14[],5,FALSE)+$I26*VLOOKUP($I$1,Table14[],5,FALSE)+$J26*VLOOKUP($J$1,Table14[],5,FALSE)+$K26*VLOOKUP($K$1,Table14[],5,FALSE)+$L26*VLOOKUP($L$1,Table14[],5,FALSE)+$M26*VLOOKUP($M$1,Table14[],5,FALSE)+$N26*VLOOKUP($N$1,Table14[],5,FALSE)+$O26*VLOOKUP($O$1,Table14[],5,FALSE)+$P26*VLOOKUP($P$1,Table14[],5,FALSE)+$Q26*VLOOKUP($Q$1,Table14[],5,FALSE)+$R26*VLOOKUP($R$1,Table14[],5,FALSE)</f>
        <v>0</v>
      </c>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14:formula1>
            <xm:f>'Drop Down'!Y7:Y8</xm:f>
          </x14:formula1>
          <xm:sqref>A2:A11</xm:sqref>
        </x14:dataValidation>
        <x14:dataValidation type="list" allowBlank="1" showInputMessage="1" showErrorMessage="1">
          <x14:formula1>
            <xm:f>'Drop Down'!Y3:Y4</xm:f>
          </x14:formula1>
          <xm:sqref>C2:C11</xm:sqref>
        </x14:dataValidation>
        <x14:dataValidation type="list" allowBlank="1" showInputMessage="1" showErrorMessage="1">
          <x14:formula1>
            <xm:f>'Drop Down'!N9:N10</xm:f>
          </x14:formula1>
          <xm:sqref>B2:B26</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B1:V6"/>
  <sheetViews>
    <sheetView workbookViewId="0">
      <selection activeCell="K5" sqref="K5"/>
    </sheetView>
  </sheetViews>
  <sheetFormatPr defaultRowHeight="15" x14ac:dyDescent="0.25"/>
  <cols>
    <col min="2" max="2" width="0.85546875" customWidth="1"/>
    <col min="3" max="3" width="12" customWidth="1"/>
    <col min="4" max="4" width="0.85546875" customWidth="1"/>
    <col min="5" max="5" width="13.140625" customWidth="1"/>
    <col min="6" max="6" width="0.85546875" customWidth="1"/>
    <col min="7" max="7" width="10.7109375" customWidth="1"/>
    <col min="8" max="8" width="0.85546875" customWidth="1"/>
    <col min="9" max="9" width="10.7109375" customWidth="1"/>
    <col min="10" max="10" width="0.85546875" customWidth="1"/>
    <col min="11" max="11" width="10.7109375" customWidth="1"/>
    <col min="12" max="12" width="0.85546875" customWidth="1"/>
    <col min="14" max="22" width="0" hidden="1" customWidth="1"/>
  </cols>
  <sheetData>
    <row r="1" spans="2:22" ht="15.75" thickBot="1" x14ac:dyDescent="0.3"/>
    <row r="2" spans="2:22" ht="3" customHeight="1" x14ac:dyDescent="0.25">
      <c r="B2" s="9"/>
      <c r="C2" s="11"/>
      <c r="D2" s="11"/>
      <c r="E2" s="11"/>
      <c r="F2" s="11"/>
      <c r="G2" s="11"/>
      <c r="H2" s="11"/>
      <c r="I2" s="11"/>
      <c r="J2" s="11"/>
      <c r="K2" s="11"/>
      <c r="L2" s="12"/>
    </row>
    <row r="3" spans="2:22" x14ac:dyDescent="0.25">
      <c r="B3" s="15"/>
      <c r="C3" s="571" t="s">
        <v>1646</v>
      </c>
      <c r="D3" s="3"/>
      <c r="E3" s="571" t="s">
        <v>1647</v>
      </c>
      <c r="F3" s="3"/>
      <c r="G3" s="571" t="s">
        <v>1648</v>
      </c>
      <c r="H3" s="3"/>
      <c r="I3" s="571" t="s">
        <v>597</v>
      </c>
      <c r="J3" s="3"/>
      <c r="K3" s="571" t="s">
        <v>1649</v>
      </c>
      <c r="L3" s="14"/>
      <c r="N3" t="s">
        <v>1656</v>
      </c>
      <c r="P3" t="s">
        <v>1657</v>
      </c>
      <c r="R3" t="s">
        <v>1658</v>
      </c>
      <c r="T3" t="s">
        <v>1659</v>
      </c>
      <c r="V3" t="s">
        <v>50</v>
      </c>
    </row>
    <row r="4" spans="2:22" ht="3" customHeight="1" thickBot="1" x14ac:dyDescent="0.3">
      <c r="B4" s="15"/>
      <c r="C4" s="3"/>
      <c r="D4" s="3"/>
      <c r="E4" s="3"/>
      <c r="F4" s="3"/>
      <c r="G4" s="3"/>
      <c r="H4" s="3"/>
      <c r="I4" s="3"/>
      <c r="J4" s="3"/>
      <c r="K4" s="3"/>
      <c r="L4" s="14"/>
    </row>
    <row r="5" spans="2:22" ht="15.75" thickBot="1" x14ac:dyDescent="0.3">
      <c r="B5" s="15"/>
      <c r="C5" s="577" t="str">
        <f>Overall!R64</f>
        <v>Normal</v>
      </c>
      <c r="D5" s="3"/>
      <c r="E5" s="578">
        <f>INT(Overall!V4*VLOOKUP(Recruitment!C5,'Drop Down'!O107:V111,2,FALSE))</f>
        <v>50</v>
      </c>
      <c r="F5" s="3"/>
      <c r="G5" s="578">
        <f>INT(Overall!V4*VLOOKUP(Recruitment!C5,'Drop Down'!O107:V111,3,FALSE))</f>
        <v>5</v>
      </c>
      <c r="H5" s="3"/>
      <c r="I5" s="344">
        <f>'Military Overview'!F15</f>
        <v>0</v>
      </c>
      <c r="J5" s="3"/>
      <c r="K5" s="40"/>
      <c r="L5" s="14"/>
      <c r="N5">
        <f>E5</f>
        <v>50</v>
      </c>
      <c r="P5" s="579">
        <f>IF(Overall!V4&lt;&gt;0,(I5+K5)/Overall!V4,0)</f>
        <v>0</v>
      </c>
      <c r="R5" s="579">
        <f>VLOOKUP(C5,'Drop Down'!O107:V111,2,FALSE)</f>
        <v>0.1</v>
      </c>
      <c r="T5" s="579">
        <f>IF(P5&gt;R5,P5-R5,0)</f>
        <v>0</v>
      </c>
      <c r="V5">
        <f>-T5*100</f>
        <v>0</v>
      </c>
    </row>
    <row r="6" spans="2:22" ht="3" customHeight="1" thickBot="1" x14ac:dyDescent="0.3">
      <c r="B6" s="307"/>
      <c r="C6" s="2"/>
      <c r="D6" s="2"/>
      <c r="E6" s="2"/>
      <c r="F6" s="2"/>
      <c r="G6" s="2"/>
      <c r="H6" s="2"/>
      <c r="I6" s="2"/>
      <c r="J6" s="2"/>
      <c r="K6" s="2"/>
      <c r="L6" s="24"/>
    </row>
  </sheetData>
  <sheetProtection sheet="1" objects="1" scenarios="1" selectLockedCells="1"/>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AG91"/>
  <sheetViews>
    <sheetView workbookViewId="0">
      <selection activeCell="A79" sqref="A79:XFD92"/>
    </sheetView>
  </sheetViews>
  <sheetFormatPr defaultColWidth="9.140625" defaultRowHeight="15" x14ac:dyDescent="0.25"/>
  <cols>
    <col min="1" max="1" width="0.85546875" style="61" customWidth="1"/>
    <col min="2" max="2" width="6.42578125" style="61" customWidth="1"/>
    <col min="3" max="3" width="4.7109375" style="61" customWidth="1"/>
    <col min="4" max="7" width="4.7109375" style="64" customWidth="1"/>
    <col min="8" max="8" width="6.7109375" style="64" customWidth="1"/>
    <col min="9" max="9" width="5.7109375" style="64" customWidth="1"/>
    <col min="10" max="10" width="4.42578125" style="64" customWidth="1"/>
    <col min="11" max="11" width="0.85546875" style="64" customWidth="1"/>
    <col min="12" max="12" width="0.85546875" style="61" customWidth="1"/>
    <col min="13" max="13" width="6.42578125" style="61" customWidth="1"/>
    <col min="14" max="14" width="4.7109375" style="61" customWidth="1"/>
    <col min="15" max="18" width="4.7109375" style="64" customWidth="1"/>
    <col min="19" max="19" width="6.7109375" style="64" customWidth="1"/>
    <col min="20" max="20" width="5.7109375" style="64" customWidth="1"/>
    <col min="21" max="21" width="4.42578125" style="64" customWidth="1"/>
    <col min="22" max="22" width="0.85546875" style="64" customWidth="1"/>
    <col min="23" max="23" width="0.85546875" style="61" customWidth="1"/>
    <col min="24" max="24" width="6.42578125" style="61" customWidth="1"/>
    <col min="25" max="25" width="4.7109375" style="61" customWidth="1"/>
    <col min="26" max="29" width="4.7109375" style="64" customWidth="1"/>
    <col min="30" max="30" width="6.7109375" style="64" customWidth="1"/>
    <col min="31" max="31" width="5.7109375" style="64" customWidth="1"/>
    <col min="32" max="32" width="4.42578125" style="64" customWidth="1"/>
    <col min="33" max="33" width="0.85546875" style="64" customWidth="1"/>
    <col min="34" max="16384" width="9.140625" style="61"/>
  </cols>
  <sheetData>
    <row r="1" spans="1:33" ht="5.0999999999999996" customHeight="1" x14ac:dyDescent="0.25">
      <c r="A1" s="271"/>
      <c r="B1" s="272"/>
      <c r="C1" s="272"/>
      <c r="D1" s="272"/>
      <c r="E1" s="272"/>
      <c r="F1" s="272"/>
      <c r="G1" s="272"/>
      <c r="H1" s="272"/>
      <c r="I1" s="272"/>
      <c r="J1" s="272"/>
      <c r="K1" s="273"/>
      <c r="L1" s="271"/>
      <c r="M1" s="272"/>
      <c r="N1" s="272"/>
      <c r="O1" s="272"/>
      <c r="P1" s="272"/>
      <c r="Q1" s="272"/>
      <c r="R1" s="272"/>
      <c r="S1" s="272"/>
      <c r="T1" s="272"/>
      <c r="U1" s="272"/>
      <c r="V1" s="273"/>
      <c r="W1" s="271"/>
      <c r="X1" s="272"/>
      <c r="Y1" s="272"/>
      <c r="Z1" s="272"/>
      <c r="AA1" s="272"/>
      <c r="AB1" s="272"/>
      <c r="AC1" s="272"/>
      <c r="AD1" s="272"/>
      <c r="AE1" s="272"/>
      <c r="AF1" s="272"/>
      <c r="AG1" s="273"/>
    </row>
    <row r="2" spans="1:33" x14ac:dyDescent="0.25">
      <c r="A2" s="274"/>
      <c r="B2" s="776" t="str">
        <f>IF('Army 1'!$F$2&lt;&gt;0,'Army 1'!$F$2,"")</f>
        <v/>
      </c>
      <c r="C2" s="777"/>
      <c r="D2" s="777"/>
      <c r="E2" s="777"/>
      <c r="F2" s="777"/>
      <c r="G2" s="777"/>
      <c r="H2" s="777"/>
      <c r="I2" s="788" t="str">
        <f>IF('Army 1'!$P$2="n/a","",CONCATENATE("ACR ",'Army 1'!$P$2))</f>
        <v/>
      </c>
      <c r="J2" s="788"/>
      <c r="K2" s="275"/>
      <c r="L2" s="259"/>
      <c r="M2" s="777" t="str">
        <f>IF('Army 2'!$F$2&lt;&gt;0,'Army 2'!$F$2,"")</f>
        <v/>
      </c>
      <c r="N2" s="777"/>
      <c r="O2" s="777"/>
      <c r="P2" s="777"/>
      <c r="Q2" s="777"/>
      <c r="R2" s="777"/>
      <c r="S2" s="777"/>
      <c r="T2" s="788" t="str">
        <f>IF('Army 2'!$P$2="n/a","",CONCATENATE("ACR ",'Army 2'!$P$2))</f>
        <v/>
      </c>
      <c r="U2" s="788"/>
      <c r="V2" s="275"/>
      <c r="W2" s="274"/>
      <c r="X2" s="777" t="str">
        <f>IF('Army 3'!$F$2&lt;&gt;0,'Army 3'!$F$2,"")</f>
        <v/>
      </c>
      <c r="Y2" s="777"/>
      <c r="Z2" s="777"/>
      <c r="AA2" s="777"/>
      <c r="AB2" s="777"/>
      <c r="AC2" s="777"/>
      <c r="AD2" s="777"/>
      <c r="AE2" s="788" t="str">
        <f>IF('Army 3'!$P$2="n/a","",CONCATENATE("ACR ",'Army 3'!$P$2))</f>
        <v/>
      </c>
      <c r="AF2" s="788"/>
      <c r="AG2" s="275"/>
    </row>
    <row r="3" spans="1:33" x14ac:dyDescent="0.25">
      <c r="A3" s="276"/>
      <c r="B3" s="790" t="str">
        <f>IF('Army 1'!$F$4&lt;&gt;0,IF('Army 1'!$F$16&lt;&gt;0,CONCATENATE('Army 1'!$F$4," army of ",'Army 1'!$F$16),""),"")</f>
        <v/>
      </c>
      <c r="C3" s="789"/>
      <c r="D3" s="789"/>
      <c r="E3" s="789"/>
      <c r="F3" s="789"/>
      <c r="G3" s="789"/>
      <c r="H3" s="789"/>
      <c r="I3" s="789"/>
      <c r="J3" s="789"/>
      <c r="K3" s="277"/>
      <c r="L3" s="276"/>
      <c r="M3" s="789" t="str">
        <f>IF('Army 2'!$F$4&lt;&gt;0,IF('Army 2'!$F$16&lt;&gt;0,CONCATENATE('Army 2'!$F$4," army of ",'Army 2'!$F$16),""),"")</f>
        <v/>
      </c>
      <c r="N3" s="789"/>
      <c r="O3" s="789"/>
      <c r="P3" s="789"/>
      <c r="Q3" s="789"/>
      <c r="R3" s="789"/>
      <c r="S3" s="789"/>
      <c r="T3" s="789"/>
      <c r="U3" s="789"/>
      <c r="V3" s="277"/>
      <c r="W3" s="276"/>
      <c r="X3" s="789" t="str">
        <f>IF('Army 3'!$F$4&lt;&gt;0,IF('Army 3'!$F$16&lt;&gt;0,CONCATENATE('Army 3'!$F$4," army of ",'Army 3'!$F$16),""),"")</f>
        <v/>
      </c>
      <c r="Y3" s="789"/>
      <c r="Z3" s="789"/>
      <c r="AA3" s="789"/>
      <c r="AB3" s="789"/>
      <c r="AC3" s="789"/>
      <c r="AD3" s="789"/>
      <c r="AE3" s="789"/>
      <c r="AF3" s="789"/>
      <c r="AG3" s="277"/>
    </row>
    <row r="4" spans="1:33" x14ac:dyDescent="0.25">
      <c r="A4" s="276"/>
      <c r="B4" s="774" t="s">
        <v>217</v>
      </c>
      <c r="C4" s="775"/>
      <c r="D4" s="775"/>
      <c r="E4" s="775"/>
      <c r="F4" s="775"/>
      <c r="G4" s="775"/>
      <c r="H4" s="775"/>
      <c r="I4" s="775"/>
      <c r="J4" s="775"/>
      <c r="K4" s="278"/>
      <c r="L4" s="276"/>
      <c r="M4" s="775" t="s">
        <v>217</v>
      </c>
      <c r="N4" s="775"/>
      <c r="O4" s="775"/>
      <c r="P4" s="775"/>
      <c r="Q4" s="775"/>
      <c r="R4" s="775"/>
      <c r="S4" s="775"/>
      <c r="T4" s="775"/>
      <c r="U4" s="775"/>
      <c r="V4" s="278"/>
      <c r="W4" s="276"/>
      <c r="X4" s="775" t="s">
        <v>217</v>
      </c>
      <c r="Y4" s="775"/>
      <c r="Z4" s="775"/>
      <c r="AA4" s="775"/>
      <c r="AB4" s="775"/>
      <c r="AC4" s="775"/>
      <c r="AD4" s="775"/>
      <c r="AE4" s="775"/>
      <c r="AF4" s="775"/>
      <c r="AG4" s="278"/>
    </row>
    <row r="5" spans="1:33" ht="3" customHeight="1" x14ac:dyDescent="0.25">
      <c r="A5" s="276"/>
      <c r="B5" s="352"/>
      <c r="C5" s="280"/>
      <c r="D5" s="280"/>
      <c r="E5" s="280"/>
      <c r="F5" s="280"/>
      <c r="G5" s="280"/>
      <c r="H5" s="280"/>
      <c r="I5" s="280"/>
      <c r="J5" s="280"/>
      <c r="K5" s="278"/>
      <c r="L5" s="276"/>
      <c r="M5" s="279"/>
      <c r="N5" s="280"/>
      <c r="O5" s="280"/>
      <c r="P5" s="280"/>
      <c r="Q5" s="280"/>
      <c r="R5" s="280"/>
      <c r="S5" s="280"/>
      <c r="T5" s="280"/>
      <c r="U5" s="280"/>
      <c r="V5" s="278"/>
      <c r="W5" s="276"/>
      <c r="X5" s="279"/>
      <c r="Y5" s="280"/>
      <c r="Z5" s="280"/>
      <c r="AA5" s="280"/>
      <c r="AB5" s="280"/>
      <c r="AC5" s="280"/>
      <c r="AD5" s="280"/>
      <c r="AE5" s="280"/>
      <c r="AF5" s="280"/>
      <c r="AG5" s="278"/>
    </row>
    <row r="6" spans="1:33" x14ac:dyDescent="0.25">
      <c r="A6" s="276"/>
      <c r="B6" s="353" t="s">
        <v>589</v>
      </c>
      <c r="C6" s="290" t="str">
        <f>IF('Army 1'!$F$8&lt;&gt;"n/a",'Army 1'!$F$8,"")</f>
        <v/>
      </c>
      <c r="D6" s="281" t="s">
        <v>218</v>
      </c>
      <c r="E6" s="290" t="str">
        <f>IF('Army 1'!$F$12&lt;&gt;"n/a",'Army 1'!$F$12,"")</f>
        <v/>
      </c>
      <c r="F6" s="281" t="s">
        <v>219</v>
      </c>
      <c r="G6" s="792" t="str">
        <f>IF('Army 1'!$F$10&lt;&gt;"n/a",'Army 1'!$F$10,"")</f>
        <v/>
      </c>
      <c r="H6" s="792"/>
      <c r="I6" s="792"/>
      <c r="J6" s="792"/>
      <c r="K6" s="282"/>
      <c r="L6" s="276"/>
      <c r="M6" s="281" t="s">
        <v>589</v>
      </c>
      <c r="N6" s="290" t="str">
        <f>IF('Army 2'!$F$8&lt;&gt;"n/a",'Army 2'!$F$8,"")</f>
        <v/>
      </c>
      <c r="O6" s="281" t="s">
        <v>218</v>
      </c>
      <c r="P6" s="290" t="str">
        <f>IF('Army 2'!$F$12&lt;&gt;"n/a",'Army 2'!$F$12,"")</f>
        <v/>
      </c>
      <c r="Q6" s="281" t="s">
        <v>219</v>
      </c>
      <c r="R6" s="792" t="str">
        <f>IF('Army 2'!$F$10&lt;&gt;"n/a",'Army 2'!$F$10,"")</f>
        <v/>
      </c>
      <c r="S6" s="792"/>
      <c r="T6" s="792"/>
      <c r="U6" s="792"/>
      <c r="V6" s="282"/>
      <c r="W6" s="276"/>
      <c r="X6" s="281" t="s">
        <v>589</v>
      </c>
      <c r="Y6" s="290" t="str">
        <f>IF('Army 3'!$F$8&lt;&gt;"n/a",'Army 3'!$F$8,"")</f>
        <v/>
      </c>
      <c r="Z6" s="281" t="s">
        <v>218</v>
      </c>
      <c r="AA6" s="290" t="str">
        <f>IF('Army 3'!$F$12&lt;&gt;"n/a",'Army 3'!$F$12,"")</f>
        <v/>
      </c>
      <c r="AB6" s="281" t="s">
        <v>219</v>
      </c>
      <c r="AC6" s="792" t="str">
        <f>IF('Army 3'!$F$10&lt;&gt;"n/a",'Army 3'!$F$10,"")</f>
        <v/>
      </c>
      <c r="AD6" s="792"/>
      <c r="AE6" s="792"/>
      <c r="AF6" s="792"/>
      <c r="AG6" s="282"/>
    </row>
    <row r="7" spans="1:33" x14ac:dyDescent="0.25">
      <c r="A7" s="276"/>
      <c r="B7" s="774" t="s">
        <v>220</v>
      </c>
      <c r="C7" s="775"/>
      <c r="D7" s="775"/>
      <c r="E7" s="775"/>
      <c r="F7" s="775"/>
      <c r="G7" s="775"/>
      <c r="H7" s="775"/>
      <c r="I7" s="775"/>
      <c r="J7" s="775"/>
      <c r="K7" s="278"/>
      <c r="L7" s="276"/>
      <c r="M7" s="775" t="s">
        <v>220</v>
      </c>
      <c r="N7" s="775"/>
      <c r="O7" s="775"/>
      <c r="P7" s="775"/>
      <c r="Q7" s="775"/>
      <c r="R7" s="775"/>
      <c r="S7" s="775"/>
      <c r="T7" s="775"/>
      <c r="U7" s="775"/>
      <c r="V7" s="278"/>
      <c r="W7" s="276"/>
      <c r="X7" s="775" t="s">
        <v>220</v>
      </c>
      <c r="Y7" s="775"/>
      <c r="Z7" s="775"/>
      <c r="AA7" s="775"/>
      <c r="AB7" s="775"/>
      <c r="AC7" s="775"/>
      <c r="AD7" s="775"/>
      <c r="AE7" s="775"/>
      <c r="AF7" s="775"/>
      <c r="AG7" s="278"/>
    </row>
    <row r="8" spans="1:33" ht="3" customHeight="1" x14ac:dyDescent="0.25">
      <c r="A8" s="276"/>
      <c r="B8" s="352"/>
      <c r="C8" s="280"/>
      <c r="D8" s="280"/>
      <c r="E8" s="280"/>
      <c r="F8" s="280"/>
      <c r="G8" s="280"/>
      <c r="H8" s="280"/>
      <c r="I8" s="280"/>
      <c r="J8" s="280"/>
      <c r="K8" s="278"/>
      <c r="L8" s="276"/>
      <c r="M8" s="279"/>
      <c r="N8" s="280"/>
      <c r="O8" s="280"/>
      <c r="P8" s="280"/>
      <c r="Q8" s="280"/>
      <c r="R8" s="280"/>
      <c r="S8" s="280"/>
      <c r="T8" s="280"/>
      <c r="U8" s="280"/>
      <c r="V8" s="278"/>
      <c r="W8" s="276"/>
      <c r="X8" s="279"/>
      <c r="Y8" s="280"/>
      <c r="Z8" s="280"/>
      <c r="AA8" s="280"/>
      <c r="AB8" s="280"/>
      <c r="AC8" s="280"/>
      <c r="AD8" s="280"/>
      <c r="AE8" s="280"/>
      <c r="AF8" s="280"/>
      <c r="AG8" s="278"/>
    </row>
    <row r="9" spans="1:33" x14ac:dyDescent="0.25">
      <c r="A9" s="276"/>
      <c r="B9" s="353" t="s">
        <v>157</v>
      </c>
      <c r="C9" s="290" t="str">
        <f>IF('Army 1'!$P$2&lt;&gt;"n/a",'Army 1'!$N$8,"")</f>
        <v/>
      </c>
      <c r="D9" s="283"/>
      <c r="E9" s="793" t="s">
        <v>160</v>
      </c>
      <c r="F9" s="793"/>
      <c r="G9" s="290" t="str">
        <f>IF('Army 1'!$P$2&lt;&gt;"n/a",'Army 1'!$N$12,"")</f>
        <v/>
      </c>
      <c r="H9" s="793" t="s">
        <v>61</v>
      </c>
      <c r="I9" s="793"/>
      <c r="J9" s="290" t="str">
        <f>IF('Army 1'!$N$10&lt;&gt;"n/a",'Army 1'!$N$10,"")</f>
        <v/>
      </c>
      <c r="K9" s="284"/>
      <c r="L9" s="276"/>
      <c r="M9" s="281" t="s">
        <v>157</v>
      </c>
      <c r="N9" s="290" t="str">
        <f>IF('Army 2'!$P$2&lt;&gt;"n/a",'Army 2'!$N$8,"")</f>
        <v/>
      </c>
      <c r="O9" s="290"/>
      <c r="P9" s="793" t="s">
        <v>160</v>
      </c>
      <c r="Q9" s="793"/>
      <c r="R9" s="290" t="str">
        <f>IF('Army 2'!$P$2&lt;&gt;"n/a",'Army 2'!$N$12,"")</f>
        <v/>
      </c>
      <c r="S9" s="793" t="s">
        <v>61</v>
      </c>
      <c r="T9" s="793"/>
      <c r="U9" s="290" t="str">
        <f>IF('Army 2'!$N$10&lt;&gt;"n/a",'Army 2'!$N$10,"")</f>
        <v/>
      </c>
      <c r="V9" s="284"/>
      <c r="W9" s="276"/>
      <c r="X9" s="281" t="s">
        <v>157</v>
      </c>
      <c r="Y9" s="290" t="str">
        <f>IF('Army 3'!$P$2&lt;&gt;"n/a",'Army 3'!$N$8,"")</f>
        <v/>
      </c>
      <c r="Z9" s="290"/>
      <c r="AA9" s="793" t="s">
        <v>160</v>
      </c>
      <c r="AB9" s="793"/>
      <c r="AC9" s="290" t="str">
        <f>IF('Army 3'!$P$2&lt;&gt;"n/a",'Army 3'!$N$12,"")</f>
        <v/>
      </c>
      <c r="AD9" s="793" t="s">
        <v>61</v>
      </c>
      <c r="AE9" s="793"/>
      <c r="AF9" s="290" t="str">
        <f>IF('Army 3'!$N$10&lt;&gt;"n/a",'Army 3'!$N$10,"")</f>
        <v/>
      </c>
      <c r="AG9" s="284"/>
    </row>
    <row r="10" spans="1:33" x14ac:dyDescent="0.25">
      <c r="A10" s="276"/>
      <c r="B10" s="774" t="s">
        <v>591</v>
      </c>
      <c r="C10" s="775"/>
      <c r="D10" s="775"/>
      <c r="E10" s="775"/>
      <c r="F10" s="775"/>
      <c r="G10" s="775"/>
      <c r="H10" s="775"/>
      <c r="I10" s="775"/>
      <c r="J10" s="775"/>
      <c r="K10" s="284"/>
      <c r="L10" s="276"/>
      <c r="M10" s="775" t="s">
        <v>591</v>
      </c>
      <c r="N10" s="775"/>
      <c r="O10" s="775"/>
      <c r="P10" s="775"/>
      <c r="Q10" s="775"/>
      <c r="R10" s="775"/>
      <c r="S10" s="775"/>
      <c r="T10" s="775"/>
      <c r="U10" s="775"/>
      <c r="V10" s="284"/>
      <c r="W10" s="276"/>
      <c r="X10" s="775" t="s">
        <v>591</v>
      </c>
      <c r="Y10" s="775"/>
      <c r="Z10" s="775"/>
      <c r="AA10" s="775"/>
      <c r="AB10" s="775"/>
      <c r="AC10" s="775"/>
      <c r="AD10" s="775"/>
      <c r="AE10" s="775"/>
      <c r="AF10" s="775"/>
      <c r="AG10" s="284"/>
    </row>
    <row r="11" spans="1:33" ht="15" customHeight="1" x14ac:dyDescent="0.25">
      <c r="A11" s="276"/>
      <c r="B11" s="782" t="str">
        <f>IF('Army 1'!$V$36&lt;&gt;0,'Army 1'!$V$36,"")</f>
        <v/>
      </c>
      <c r="C11" s="783"/>
      <c r="D11" s="783"/>
      <c r="E11" s="783"/>
      <c r="F11" s="783"/>
      <c r="G11" s="783"/>
      <c r="H11" s="783"/>
      <c r="I11" s="783"/>
      <c r="J11" s="783"/>
      <c r="K11" s="284"/>
      <c r="L11" s="276"/>
      <c r="M11" s="783" t="str">
        <f>IF('Army 2'!$V$36&lt;&gt;0,'Army 2'!$V$36,"")</f>
        <v/>
      </c>
      <c r="N11" s="783"/>
      <c r="O11" s="783"/>
      <c r="P11" s="783"/>
      <c r="Q11" s="783"/>
      <c r="R11" s="783"/>
      <c r="S11" s="783"/>
      <c r="T11" s="783"/>
      <c r="U11" s="783"/>
      <c r="V11" s="284"/>
      <c r="W11" s="276"/>
      <c r="X11" s="783" t="str">
        <f>IF('Army 3'!$V$36&lt;&gt;0,'Army 3'!$V$36,"")</f>
        <v/>
      </c>
      <c r="Y11" s="783"/>
      <c r="Z11" s="783"/>
      <c r="AA11" s="783"/>
      <c r="AB11" s="783"/>
      <c r="AC11" s="783"/>
      <c r="AD11" s="783"/>
      <c r="AE11" s="783"/>
      <c r="AF11" s="783"/>
      <c r="AG11" s="284"/>
    </row>
    <row r="12" spans="1:33" x14ac:dyDescent="0.25">
      <c r="A12" s="276"/>
      <c r="B12" s="784"/>
      <c r="C12" s="785"/>
      <c r="D12" s="785"/>
      <c r="E12" s="785"/>
      <c r="F12" s="785"/>
      <c r="G12" s="785"/>
      <c r="H12" s="785"/>
      <c r="I12" s="785"/>
      <c r="J12" s="785"/>
      <c r="K12" s="284"/>
      <c r="L12" s="276"/>
      <c r="M12" s="785"/>
      <c r="N12" s="785"/>
      <c r="O12" s="785"/>
      <c r="P12" s="785"/>
      <c r="Q12" s="785"/>
      <c r="R12" s="785"/>
      <c r="S12" s="785"/>
      <c r="T12" s="785"/>
      <c r="U12" s="785"/>
      <c r="V12" s="284"/>
      <c r="W12" s="276"/>
      <c r="X12" s="785"/>
      <c r="Y12" s="785"/>
      <c r="Z12" s="785"/>
      <c r="AA12" s="785"/>
      <c r="AB12" s="785"/>
      <c r="AC12" s="785"/>
      <c r="AD12" s="785"/>
      <c r="AE12" s="785"/>
      <c r="AF12" s="785"/>
      <c r="AG12" s="284"/>
    </row>
    <row r="13" spans="1:33" x14ac:dyDescent="0.25">
      <c r="A13" s="276"/>
      <c r="B13" s="774" t="s">
        <v>592</v>
      </c>
      <c r="C13" s="775"/>
      <c r="D13" s="775"/>
      <c r="E13" s="775"/>
      <c r="F13" s="775"/>
      <c r="G13" s="775"/>
      <c r="H13" s="775"/>
      <c r="I13" s="775"/>
      <c r="J13" s="775"/>
      <c r="K13" s="284"/>
      <c r="L13" s="276"/>
      <c r="M13" s="775" t="s">
        <v>592</v>
      </c>
      <c r="N13" s="775"/>
      <c r="O13" s="775"/>
      <c r="P13" s="775"/>
      <c r="Q13" s="775"/>
      <c r="R13" s="775"/>
      <c r="S13" s="775"/>
      <c r="T13" s="775"/>
      <c r="U13" s="775"/>
      <c r="V13" s="284"/>
      <c r="W13" s="276"/>
      <c r="X13" s="775" t="s">
        <v>592</v>
      </c>
      <c r="Y13" s="775"/>
      <c r="Z13" s="775"/>
      <c r="AA13" s="775"/>
      <c r="AB13" s="775"/>
      <c r="AC13" s="775"/>
      <c r="AD13" s="775"/>
      <c r="AE13" s="775"/>
      <c r="AF13" s="775"/>
      <c r="AG13" s="284"/>
    </row>
    <row r="14" spans="1:33" ht="15" customHeight="1" x14ac:dyDescent="0.25">
      <c r="A14" s="276"/>
      <c r="B14" s="782" t="str">
        <f>IF('Army 1'!$V$38&lt;&gt;0,'Army 1'!$V$38,"")</f>
        <v/>
      </c>
      <c r="C14" s="783"/>
      <c r="D14" s="783"/>
      <c r="E14" s="783"/>
      <c r="F14" s="783"/>
      <c r="G14" s="783"/>
      <c r="H14" s="783"/>
      <c r="I14" s="783"/>
      <c r="J14" s="783"/>
      <c r="K14" s="284"/>
      <c r="L14" s="276"/>
      <c r="M14" s="783" t="str">
        <f>IF('Army 2'!$V$38&lt;&gt;0,'Army 2'!$V$38,"")</f>
        <v/>
      </c>
      <c r="N14" s="783"/>
      <c r="O14" s="783"/>
      <c r="P14" s="783"/>
      <c r="Q14" s="783"/>
      <c r="R14" s="783"/>
      <c r="S14" s="783"/>
      <c r="T14" s="783"/>
      <c r="U14" s="783"/>
      <c r="V14" s="284"/>
      <c r="W14" s="276"/>
      <c r="X14" s="783" t="str">
        <f>IF('Army 3'!$V$38&lt;&gt;0,'Army 3'!$V$38,"")</f>
        <v/>
      </c>
      <c r="Y14" s="783"/>
      <c r="Z14" s="783"/>
      <c r="AA14" s="783"/>
      <c r="AB14" s="783"/>
      <c r="AC14" s="783"/>
      <c r="AD14" s="783"/>
      <c r="AE14" s="783"/>
      <c r="AF14" s="783"/>
      <c r="AG14" s="284"/>
    </row>
    <row r="15" spans="1:33" x14ac:dyDescent="0.25">
      <c r="A15" s="276"/>
      <c r="B15" s="784"/>
      <c r="C15" s="785"/>
      <c r="D15" s="785"/>
      <c r="E15" s="785"/>
      <c r="F15" s="785"/>
      <c r="G15" s="785"/>
      <c r="H15" s="785"/>
      <c r="I15" s="785"/>
      <c r="J15" s="785"/>
      <c r="K15" s="284"/>
      <c r="L15" s="276"/>
      <c r="M15" s="785"/>
      <c r="N15" s="785"/>
      <c r="O15" s="785"/>
      <c r="P15" s="785"/>
      <c r="Q15" s="785"/>
      <c r="R15" s="785"/>
      <c r="S15" s="785"/>
      <c r="T15" s="785"/>
      <c r="U15" s="785"/>
      <c r="V15" s="284"/>
      <c r="W15" s="276"/>
      <c r="X15" s="785"/>
      <c r="Y15" s="785"/>
      <c r="Z15" s="785"/>
      <c r="AA15" s="785"/>
      <c r="AB15" s="785"/>
      <c r="AC15" s="785"/>
      <c r="AD15" s="785"/>
      <c r="AE15" s="785"/>
      <c r="AF15" s="785"/>
      <c r="AG15" s="284"/>
    </row>
    <row r="16" spans="1:33" x14ac:dyDescent="0.25">
      <c r="A16" s="276"/>
      <c r="B16" s="774" t="s">
        <v>593</v>
      </c>
      <c r="C16" s="775"/>
      <c r="D16" s="775"/>
      <c r="E16" s="775"/>
      <c r="F16" s="775"/>
      <c r="G16" s="775"/>
      <c r="H16" s="775"/>
      <c r="I16" s="775"/>
      <c r="J16" s="775"/>
      <c r="K16" s="284"/>
      <c r="L16" s="276"/>
      <c r="M16" s="775" t="s">
        <v>593</v>
      </c>
      <c r="N16" s="775"/>
      <c r="O16" s="775"/>
      <c r="P16" s="775"/>
      <c r="Q16" s="775"/>
      <c r="R16" s="775"/>
      <c r="S16" s="775"/>
      <c r="T16" s="775"/>
      <c r="U16" s="775"/>
      <c r="V16" s="284"/>
      <c r="W16" s="276"/>
      <c r="X16" s="775" t="s">
        <v>593</v>
      </c>
      <c r="Y16" s="775"/>
      <c r="Z16" s="775"/>
      <c r="AA16" s="775"/>
      <c r="AB16" s="775"/>
      <c r="AC16" s="775"/>
      <c r="AD16" s="775"/>
      <c r="AE16" s="775"/>
      <c r="AF16" s="775"/>
      <c r="AG16" s="284"/>
    </row>
    <row r="17" spans="1:33" ht="15" customHeight="1" x14ac:dyDescent="0.25">
      <c r="A17" s="276"/>
      <c r="B17" s="782" t="str">
        <f>IF('Army 1'!$V$48&lt;&gt;0,'Army 1'!$V$48,"")</f>
        <v/>
      </c>
      <c r="C17" s="783"/>
      <c r="D17" s="783"/>
      <c r="E17" s="783"/>
      <c r="F17" s="783"/>
      <c r="G17" s="783"/>
      <c r="H17" s="783"/>
      <c r="I17" s="783"/>
      <c r="J17" s="783"/>
      <c r="K17" s="284"/>
      <c r="L17" s="276"/>
      <c r="M17" s="783" t="str">
        <f>IF('Army 2'!$V$48&lt;&gt;0,'Army 2'!$V$48,"")</f>
        <v/>
      </c>
      <c r="N17" s="783"/>
      <c r="O17" s="783"/>
      <c r="P17" s="783"/>
      <c r="Q17" s="783"/>
      <c r="R17" s="783"/>
      <c r="S17" s="783"/>
      <c r="T17" s="783"/>
      <c r="U17" s="783"/>
      <c r="V17" s="284"/>
      <c r="W17" s="276"/>
      <c r="X17" s="783" t="str">
        <f>IF('Army 3'!$V$48&lt;&gt;0,'Army 3'!$V$48,"")</f>
        <v/>
      </c>
      <c r="Y17" s="783"/>
      <c r="Z17" s="783"/>
      <c r="AA17" s="783"/>
      <c r="AB17" s="783"/>
      <c r="AC17" s="783"/>
      <c r="AD17" s="783"/>
      <c r="AE17" s="783"/>
      <c r="AF17" s="783"/>
      <c r="AG17" s="284"/>
    </row>
    <row r="18" spans="1:33" x14ac:dyDescent="0.25">
      <c r="A18" s="276"/>
      <c r="B18" s="784"/>
      <c r="C18" s="785"/>
      <c r="D18" s="785"/>
      <c r="E18" s="785"/>
      <c r="F18" s="785"/>
      <c r="G18" s="785"/>
      <c r="H18" s="785"/>
      <c r="I18" s="785"/>
      <c r="J18" s="785"/>
      <c r="K18" s="284"/>
      <c r="L18" s="276"/>
      <c r="M18" s="785"/>
      <c r="N18" s="785"/>
      <c r="O18" s="785"/>
      <c r="P18" s="785"/>
      <c r="Q18" s="785"/>
      <c r="R18" s="785"/>
      <c r="S18" s="785"/>
      <c r="T18" s="785"/>
      <c r="U18" s="785"/>
      <c r="V18" s="284"/>
      <c r="W18" s="276"/>
      <c r="X18" s="785"/>
      <c r="Y18" s="785"/>
      <c r="Z18" s="785"/>
      <c r="AA18" s="785"/>
      <c r="AB18" s="785"/>
      <c r="AC18" s="785"/>
      <c r="AD18" s="785"/>
      <c r="AE18" s="785"/>
      <c r="AF18" s="785"/>
      <c r="AG18" s="284"/>
    </row>
    <row r="19" spans="1:33" x14ac:dyDescent="0.25">
      <c r="A19" s="276"/>
      <c r="B19" s="791" t="s">
        <v>468</v>
      </c>
      <c r="C19" s="786"/>
      <c r="D19" s="786"/>
      <c r="E19" s="787" t="str">
        <f>IF('Army 1'!$D$22&lt;&gt;0,'Army 1'!$D$22,"")</f>
        <v/>
      </c>
      <c r="F19" s="787"/>
      <c r="G19" s="787"/>
      <c r="H19" s="787"/>
      <c r="I19" s="281" t="s">
        <v>590</v>
      </c>
      <c r="J19" s="285" t="str">
        <f>IF('Army 1'!$D$22&lt;&gt;0,'Army 1'!$H$24,"")</f>
        <v/>
      </c>
      <c r="K19" s="284"/>
      <c r="L19" s="276"/>
      <c r="M19" s="786" t="s">
        <v>468</v>
      </c>
      <c r="N19" s="786"/>
      <c r="O19" s="786"/>
      <c r="P19" s="787" t="str">
        <f>IF('Army 2'!$D$22&lt;&gt;0,'Army 2'!$D$22,"")</f>
        <v/>
      </c>
      <c r="Q19" s="787"/>
      <c r="R19" s="787"/>
      <c r="S19" s="787"/>
      <c r="T19" s="281" t="s">
        <v>590</v>
      </c>
      <c r="U19" s="285" t="str">
        <f>IF('Army 2'!$D$22&lt;&gt;0,'Army 2'!$H$24,"")</f>
        <v/>
      </c>
      <c r="V19" s="284"/>
      <c r="W19" s="276"/>
      <c r="X19" s="786" t="s">
        <v>468</v>
      </c>
      <c r="Y19" s="786"/>
      <c r="Z19" s="786"/>
      <c r="AA19" s="787" t="str">
        <f>IF('Army 3'!$D$22&lt;&gt;0,'Army 3'!$D$22,"")</f>
        <v/>
      </c>
      <c r="AB19" s="787"/>
      <c r="AC19" s="787"/>
      <c r="AD19" s="787"/>
      <c r="AE19" s="281" t="s">
        <v>590</v>
      </c>
      <c r="AF19" s="285" t="str">
        <f>IF('Army 3'!$D$22&lt;&gt;0,'Army 3'!$H$24,"")</f>
        <v/>
      </c>
      <c r="AG19" s="284"/>
    </row>
    <row r="20" spans="1:33" x14ac:dyDescent="0.25">
      <c r="A20" s="276"/>
      <c r="B20" s="774" t="s">
        <v>594</v>
      </c>
      <c r="C20" s="775"/>
      <c r="D20" s="775"/>
      <c r="E20" s="775"/>
      <c r="F20" s="775"/>
      <c r="G20" s="775"/>
      <c r="H20" s="775"/>
      <c r="I20" s="775"/>
      <c r="J20" s="775"/>
      <c r="K20" s="284"/>
      <c r="L20" s="276"/>
      <c r="M20" s="775" t="s">
        <v>594</v>
      </c>
      <c r="N20" s="775"/>
      <c r="O20" s="775"/>
      <c r="P20" s="775"/>
      <c r="Q20" s="775"/>
      <c r="R20" s="775"/>
      <c r="S20" s="775"/>
      <c r="T20" s="775"/>
      <c r="U20" s="775"/>
      <c r="V20" s="284"/>
      <c r="W20" s="276"/>
      <c r="X20" s="775" t="s">
        <v>594</v>
      </c>
      <c r="Y20" s="775"/>
      <c r="Z20" s="775"/>
      <c r="AA20" s="775"/>
      <c r="AB20" s="775"/>
      <c r="AC20" s="775"/>
      <c r="AD20" s="775"/>
      <c r="AE20" s="775"/>
      <c r="AF20" s="775"/>
      <c r="AG20" s="284"/>
    </row>
    <row r="21" spans="1:33" ht="15" customHeight="1" x14ac:dyDescent="0.25">
      <c r="A21" s="276"/>
      <c r="B21" s="782" t="str">
        <f>IF('Army 1'!$V$22&lt;&gt;0,'Army 1'!$V$22,"")</f>
        <v/>
      </c>
      <c r="C21" s="783"/>
      <c r="D21" s="783"/>
      <c r="E21" s="783"/>
      <c r="F21" s="783"/>
      <c r="G21" s="783"/>
      <c r="H21" s="783"/>
      <c r="I21" s="783"/>
      <c r="J21" s="783"/>
      <c r="K21" s="284"/>
      <c r="L21" s="276"/>
      <c r="M21" s="783" t="str">
        <f>IF('Army 2'!$V$22&lt;&gt;0,'Army 2'!$V$22,"")</f>
        <v/>
      </c>
      <c r="N21" s="783"/>
      <c r="O21" s="783"/>
      <c r="P21" s="783"/>
      <c r="Q21" s="783"/>
      <c r="R21" s="783"/>
      <c r="S21" s="783"/>
      <c r="T21" s="783"/>
      <c r="U21" s="783"/>
      <c r="V21" s="284"/>
      <c r="W21" s="276"/>
      <c r="X21" s="783" t="str">
        <f>IF('Army 3'!$V$22&lt;&gt;0,'Army 3'!$V$22,"")</f>
        <v/>
      </c>
      <c r="Y21" s="783"/>
      <c r="Z21" s="783"/>
      <c r="AA21" s="783"/>
      <c r="AB21" s="783"/>
      <c r="AC21" s="783"/>
      <c r="AD21" s="783"/>
      <c r="AE21" s="783"/>
      <c r="AF21" s="783"/>
      <c r="AG21" s="284"/>
    </row>
    <row r="22" spans="1:33" x14ac:dyDescent="0.25">
      <c r="A22" s="276"/>
      <c r="B22" s="784"/>
      <c r="C22" s="785"/>
      <c r="D22" s="785"/>
      <c r="E22" s="785"/>
      <c r="F22" s="785"/>
      <c r="G22" s="785"/>
      <c r="H22" s="785"/>
      <c r="I22" s="785"/>
      <c r="J22" s="785"/>
      <c r="K22" s="284"/>
      <c r="L22" s="276"/>
      <c r="M22" s="785"/>
      <c r="N22" s="785"/>
      <c r="O22" s="785"/>
      <c r="P22" s="785"/>
      <c r="Q22" s="785"/>
      <c r="R22" s="785"/>
      <c r="S22" s="785"/>
      <c r="T22" s="785"/>
      <c r="U22" s="785"/>
      <c r="V22" s="284"/>
      <c r="W22" s="276"/>
      <c r="X22" s="785"/>
      <c r="Y22" s="785"/>
      <c r="Z22" s="785"/>
      <c r="AA22" s="785"/>
      <c r="AB22" s="785"/>
      <c r="AC22" s="785"/>
      <c r="AD22" s="785"/>
      <c r="AE22" s="785"/>
      <c r="AF22" s="785"/>
      <c r="AG22" s="284"/>
    </row>
    <row r="23" spans="1:33" x14ac:dyDescent="0.25">
      <c r="A23" s="276"/>
      <c r="B23" s="774" t="s">
        <v>595</v>
      </c>
      <c r="C23" s="775"/>
      <c r="D23" s="775"/>
      <c r="E23" s="775"/>
      <c r="F23" s="775"/>
      <c r="G23" s="775"/>
      <c r="H23" s="775"/>
      <c r="I23" s="775"/>
      <c r="J23" s="775"/>
      <c r="K23" s="284"/>
      <c r="L23" s="276"/>
      <c r="M23" s="775" t="s">
        <v>595</v>
      </c>
      <c r="N23" s="775"/>
      <c r="O23" s="775"/>
      <c r="P23" s="775"/>
      <c r="Q23" s="775"/>
      <c r="R23" s="775"/>
      <c r="S23" s="775"/>
      <c r="T23" s="775"/>
      <c r="U23" s="775"/>
      <c r="V23" s="284"/>
      <c r="W23" s="276"/>
      <c r="X23" s="775" t="s">
        <v>595</v>
      </c>
      <c r="Y23" s="775"/>
      <c r="Z23" s="775"/>
      <c r="AA23" s="775"/>
      <c r="AB23" s="775"/>
      <c r="AC23" s="775"/>
      <c r="AD23" s="775"/>
      <c r="AE23" s="775"/>
      <c r="AF23" s="775"/>
      <c r="AG23" s="284"/>
    </row>
    <row r="24" spans="1:33" x14ac:dyDescent="0.25">
      <c r="A24" s="276"/>
      <c r="B24" s="778" t="str">
        <f>IF('Army 1'!$J$50&lt;&gt;0,'Army 1'!$J$50,"")</f>
        <v/>
      </c>
      <c r="C24" s="779"/>
      <c r="D24" s="779"/>
      <c r="E24" s="779"/>
      <c r="F24" s="779"/>
      <c r="G24" s="779"/>
      <c r="H24" s="779"/>
      <c r="I24" s="779"/>
      <c r="J24" s="779"/>
      <c r="K24" s="284"/>
      <c r="L24" s="276"/>
      <c r="M24" s="779" t="str">
        <f>IF('Army 2'!$J$50&lt;&gt;0,'Army 2'!$J$50,"")</f>
        <v/>
      </c>
      <c r="N24" s="779"/>
      <c r="O24" s="779"/>
      <c r="P24" s="779"/>
      <c r="Q24" s="779"/>
      <c r="R24" s="779"/>
      <c r="S24" s="779"/>
      <c r="T24" s="779"/>
      <c r="U24" s="779"/>
      <c r="V24" s="284"/>
      <c r="W24" s="276"/>
      <c r="X24" s="779" t="str">
        <f>IF('Army 3'!$J$50&lt;&gt;0,'Army 3'!$J$50,"")</f>
        <v/>
      </c>
      <c r="Y24" s="779"/>
      <c r="Z24" s="779"/>
      <c r="AA24" s="779"/>
      <c r="AB24" s="779"/>
      <c r="AC24" s="779"/>
      <c r="AD24" s="779"/>
      <c r="AE24" s="779"/>
      <c r="AF24" s="779"/>
      <c r="AG24" s="284"/>
    </row>
    <row r="25" spans="1:33" x14ac:dyDescent="0.25">
      <c r="A25" s="276"/>
      <c r="B25" s="780"/>
      <c r="C25" s="781"/>
      <c r="D25" s="781"/>
      <c r="E25" s="781"/>
      <c r="F25" s="781"/>
      <c r="G25" s="781"/>
      <c r="H25" s="781"/>
      <c r="I25" s="781"/>
      <c r="J25" s="781"/>
      <c r="K25" s="284"/>
      <c r="L25" s="276"/>
      <c r="M25" s="781"/>
      <c r="N25" s="781"/>
      <c r="O25" s="781"/>
      <c r="P25" s="781"/>
      <c r="Q25" s="781"/>
      <c r="R25" s="781"/>
      <c r="S25" s="781"/>
      <c r="T25" s="781"/>
      <c r="U25" s="781"/>
      <c r="V25" s="284"/>
      <c r="W25" s="276"/>
      <c r="X25" s="781"/>
      <c r="Y25" s="781"/>
      <c r="Z25" s="781"/>
      <c r="AA25" s="781"/>
      <c r="AB25" s="781"/>
      <c r="AC25" s="781"/>
      <c r="AD25" s="781"/>
      <c r="AE25" s="781"/>
      <c r="AF25" s="781"/>
      <c r="AG25" s="284"/>
    </row>
    <row r="26" spans="1:33" ht="5.0999999999999996" customHeight="1" x14ac:dyDescent="0.25">
      <c r="A26" s="286"/>
      <c r="B26" s="286"/>
      <c r="C26" s="287"/>
      <c r="D26" s="287"/>
      <c r="E26" s="287"/>
      <c r="F26" s="287"/>
      <c r="G26" s="287"/>
      <c r="H26" s="287"/>
      <c r="I26" s="287"/>
      <c r="J26" s="287"/>
      <c r="K26" s="288"/>
      <c r="L26" s="286"/>
      <c r="M26" s="287"/>
      <c r="N26" s="287"/>
      <c r="O26" s="287"/>
      <c r="P26" s="287"/>
      <c r="Q26" s="287"/>
      <c r="R26" s="287"/>
      <c r="S26" s="287"/>
      <c r="T26" s="287"/>
      <c r="U26" s="287"/>
      <c r="V26" s="288"/>
      <c r="W26" s="286"/>
      <c r="X26" s="287"/>
      <c r="Y26" s="287"/>
      <c r="Z26" s="287"/>
      <c r="AA26" s="287"/>
      <c r="AB26" s="287"/>
      <c r="AC26" s="287"/>
      <c r="AD26" s="287"/>
      <c r="AE26" s="287"/>
      <c r="AF26" s="287"/>
      <c r="AG26" s="288"/>
    </row>
    <row r="27" spans="1:33" ht="5.0999999999999996" customHeight="1" x14ac:dyDescent="0.25">
      <c r="A27" s="271"/>
      <c r="B27" s="271"/>
      <c r="C27" s="272"/>
      <c r="D27" s="272"/>
      <c r="E27" s="272"/>
      <c r="F27" s="272"/>
      <c r="G27" s="272"/>
      <c r="H27" s="272"/>
      <c r="I27" s="272"/>
      <c r="J27" s="272"/>
      <c r="K27" s="273"/>
      <c r="L27" s="271"/>
      <c r="M27" s="272"/>
      <c r="N27" s="272"/>
      <c r="O27" s="272"/>
      <c r="P27" s="272"/>
      <c r="Q27" s="272"/>
      <c r="R27" s="272"/>
      <c r="S27" s="272"/>
      <c r="T27" s="272"/>
      <c r="U27" s="272"/>
      <c r="V27" s="273"/>
      <c r="W27" s="271"/>
      <c r="X27" s="272"/>
      <c r="Y27" s="272"/>
      <c r="Z27" s="272"/>
      <c r="AA27" s="272"/>
      <c r="AB27" s="272"/>
      <c r="AC27" s="272"/>
      <c r="AD27" s="272"/>
      <c r="AE27" s="272"/>
      <c r="AF27" s="272"/>
      <c r="AG27" s="273"/>
    </row>
    <row r="28" spans="1:33" x14ac:dyDescent="0.25">
      <c r="A28" s="274"/>
      <c r="B28" s="776" t="str">
        <f>IF('Army 4'!$F$2&lt;&gt;0,'Army 4'!$F$2,"")</f>
        <v/>
      </c>
      <c r="C28" s="777"/>
      <c r="D28" s="777"/>
      <c r="E28" s="777"/>
      <c r="F28" s="777"/>
      <c r="G28" s="777"/>
      <c r="H28" s="777"/>
      <c r="I28" s="788" t="str">
        <f>IF('Army 4'!$P$2="n/a","",CONCATENATE("ACR ",'Army 4'!$P$2))</f>
        <v/>
      </c>
      <c r="J28" s="788"/>
      <c r="K28" s="275"/>
      <c r="L28" s="274"/>
      <c r="M28" s="777" t="str">
        <f>IF('Army 5'!$F$2&lt;&gt;0,'Army 5'!$F$2,"")</f>
        <v/>
      </c>
      <c r="N28" s="777"/>
      <c r="O28" s="777"/>
      <c r="P28" s="777"/>
      <c r="Q28" s="777"/>
      <c r="R28" s="777"/>
      <c r="S28" s="777"/>
      <c r="T28" s="788" t="str">
        <f>IF('Army 5'!$P$2="n/a","",CONCATENATE("ACR ",'Army 5'!$P$2))</f>
        <v/>
      </c>
      <c r="U28" s="788"/>
      <c r="V28" s="275"/>
      <c r="W28" s="274"/>
      <c r="X28" s="777" t="str">
        <f>IF('Army 6'!$F$2&lt;&gt;0,'Army 6'!$F$2,"")</f>
        <v/>
      </c>
      <c r="Y28" s="777"/>
      <c r="Z28" s="777"/>
      <c r="AA28" s="777"/>
      <c r="AB28" s="777"/>
      <c r="AC28" s="777"/>
      <c r="AD28" s="777"/>
      <c r="AE28" s="788" t="str">
        <f>IF('Army 6'!$P$2="n/a","",CONCATENATE("ACR ",'Army 6'!$P$2))</f>
        <v/>
      </c>
      <c r="AF28" s="788"/>
      <c r="AG28" s="275"/>
    </row>
    <row r="29" spans="1:33" x14ac:dyDescent="0.25">
      <c r="A29" s="276"/>
      <c r="B29" s="790" t="str">
        <f>IF('Army 4'!$F$4&lt;&gt;0,IF('Army 4'!$F$16&lt;&gt;0,CONCATENATE('Army 4'!$F$4," army of ",'Army 4'!$F$16),""),"")</f>
        <v/>
      </c>
      <c r="C29" s="789"/>
      <c r="D29" s="789"/>
      <c r="E29" s="789"/>
      <c r="F29" s="789"/>
      <c r="G29" s="789"/>
      <c r="H29" s="789"/>
      <c r="I29" s="789"/>
      <c r="J29" s="789"/>
      <c r="K29" s="277"/>
      <c r="L29" s="276"/>
      <c r="M29" s="789" t="str">
        <f>IF('Army 5'!$F$4&lt;&gt;0,IF('Army 5'!$F$16&lt;&gt;0,CONCATENATE('Army 5'!$F$4," army of ",'Army 5'!$F$16),""),"")</f>
        <v/>
      </c>
      <c r="N29" s="789"/>
      <c r="O29" s="789"/>
      <c r="P29" s="789"/>
      <c r="Q29" s="789"/>
      <c r="R29" s="789"/>
      <c r="S29" s="789"/>
      <c r="T29" s="789"/>
      <c r="U29" s="789"/>
      <c r="V29" s="277"/>
      <c r="W29" s="276"/>
      <c r="X29" s="789" t="str">
        <f>IF('Army 6'!$F$4&lt;&gt;0,IF('Army 6'!$F$16&lt;&gt;0,CONCATENATE('Army 6'!$F$4," army of ",'Army 6'!$F$16),""),"")</f>
        <v/>
      </c>
      <c r="Y29" s="789"/>
      <c r="Z29" s="789"/>
      <c r="AA29" s="789"/>
      <c r="AB29" s="789"/>
      <c r="AC29" s="789"/>
      <c r="AD29" s="789"/>
      <c r="AE29" s="789"/>
      <c r="AF29" s="789"/>
      <c r="AG29" s="277"/>
    </row>
    <row r="30" spans="1:33" x14ac:dyDescent="0.25">
      <c r="A30" s="276"/>
      <c r="B30" s="774" t="s">
        <v>217</v>
      </c>
      <c r="C30" s="775"/>
      <c r="D30" s="775"/>
      <c r="E30" s="775"/>
      <c r="F30" s="775"/>
      <c r="G30" s="775"/>
      <c r="H30" s="775"/>
      <c r="I30" s="775"/>
      <c r="J30" s="775"/>
      <c r="K30" s="278"/>
      <c r="L30" s="276"/>
      <c r="M30" s="775" t="s">
        <v>217</v>
      </c>
      <c r="N30" s="775"/>
      <c r="O30" s="775"/>
      <c r="P30" s="775"/>
      <c r="Q30" s="775"/>
      <c r="R30" s="775"/>
      <c r="S30" s="775"/>
      <c r="T30" s="775"/>
      <c r="U30" s="775"/>
      <c r="V30" s="278"/>
      <c r="W30" s="276"/>
      <c r="X30" s="775" t="s">
        <v>217</v>
      </c>
      <c r="Y30" s="775"/>
      <c r="Z30" s="775"/>
      <c r="AA30" s="775"/>
      <c r="AB30" s="775"/>
      <c r="AC30" s="775"/>
      <c r="AD30" s="775"/>
      <c r="AE30" s="775"/>
      <c r="AF30" s="775"/>
      <c r="AG30" s="278"/>
    </row>
    <row r="31" spans="1:33" ht="3" customHeight="1" x14ac:dyDescent="0.25">
      <c r="A31" s="276"/>
      <c r="B31" s="352"/>
      <c r="C31" s="280"/>
      <c r="D31" s="280"/>
      <c r="E31" s="280"/>
      <c r="F31" s="280"/>
      <c r="G31" s="280"/>
      <c r="H31" s="280"/>
      <c r="I31" s="280"/>
      <c r="J31" s="280"/>
      <c r="K31" s="278"/>
      <c r="L31" s="276"/>
      <c r="M31" s="279"/>
      <c r="N31" s="280"/>
      <c r="O31" s="280"/>
      <c r="P31" s="280"/>
      <c r="Q31" s="280"/>
      <c r="R31" s="280"/>
      <c r="S31" s="280"/>
      <c r="T31" s="280"/>
      <c r="U31" s="280"/>
      <c r="V31" s="278"/>
      <c r="W31" s="276"/>
      <c r="X31" s="279"/>
      <c r="Y31" s="280"/>
      <c r="Z31" s="280"/>
      <c r="AA31" s="280"/>
      <c r="AB31" s="280"/>
      <c r="AC31" s="280"/>
      <c r="AD31" s="280"/>
      <c r="AE31" s="280"/>
      <c r="AF31" s="280"/>
      <c r="AG31" s="278"/>
    </row>
    <row r="32" spans="1:33" x14ac:dyDescent="0.25">
      <c r="A32" s="276"/>
      <c r="B32" s="354" t="s">
        <v>589</v>
      </c>
      <c r="C32" s="290" t="str">
        <f>IF('Army 4'!$F$8&lt;&gt;"n/a",'Army 4'!$F$8,"")</f>
        <v/>
      </c>
      <c r="D32" s="281" t="s">
        <v>218</v>
      </c>
      <c r="E32" s="290" t="str">
        <f>IF('Army 4'!$F$12&lt;&gt;"n/a",'Army 4'!$F$12,"")</f>
        <v/>
      </c>
      <c r="F32" s="281" t="s">
        <v>219</v>
      </c>
      <c r="G32" s="792" t="str">
        <f>IF('Army 4'!$F$10&lt;&gt;"n/a",'Army 4'!$F$10,"")</f>
        <v/>
      </c>
      <c r="H32" s="792"/>
      <c r="I32" s="792"/>
      <c r="J32" s="792"/>
      <c r="K32" s="282"/>
      <c r="L32" s="276"/>
      <c r="M32" s="291" t="s">
        <v>589</v>
      </c>
      <c r="N32" s="290" t="str">
        <f>IF('Army 5'!$F$8&lt;&gt;"n/a",'Army 5'!$F$8,"")</f>
        <v/>
      </c>
      <c r="O32" s="281" t="s">
        <v>218</v>
      </c>
      <c r="P32" s="290" t="str">
        <f>IF('Army 5'!$F$12&lt;&gt;"n/a",'Army 5'!$F$12,"")</f>
        <v/>
      </c>
      <c r="Q32" s="281" t="s">
        <v>219</v>
      </c>
      <c r="R32" s="792" t="str">
        <f>IF('Army 5'!$F$10&lt;&gt;"n/a",'Army 5'!$F$10,"")</f>
        <v/>
      </c>
      <c r="S32" s="792"/>
      <c r="T32" s="792"/>
      <c r="U32" s="792"/>
      <c r="V32" s="282"/>
      <c r="W32" s="276"/>
      <c r="X32" s="281" t="s">
        <v>589</v>
      </c>
      <c r="Y32" s="290" t="str">
        <f>IF('Army 6'!$F$8&lt;&gt;"n/a",'Army 6'!$F$8,"")</f>
        <v/>
      </c>
      <c r="Z32" s="281" t="s">
        <v>218</v>
      </c>
      <c r="AA32" s="290" t="str">
        <f>IF('Army 6'!$F$12&lt;&gt;"n/a",'Army 6'!$F$12,"")</f>
        <v/>
      </c>
      <c r="AB32" s="281" t="s">
        <v>219</v>
      </c>
      <c r="AC32" s="792" t="str">
        <f>IF('Army 6'!$F$10&lt;&gt;"n/a",'Army 6'!$F$10,"")</f>
        <v/>
      </c>
      <c r="AD32" s="792"/>
      <c r="AE32" s="792"/>
      <c r="AF32" s="792"/>
      <c r="AG32" s="282"/>
    </row>
    <row r="33" spans="1:33" x14ac:dyDescent="0.25">
      <c r="A33" s="276"/>
      <c r="B33" s="774" t="s">
        <v>220</v>
      </c>
      <c r="C33" s="775"/>
      <c r="D33" s="775"/>
      <c r="E33" s="775"/>
      <c r="F33" s="775"/>
      <c r="G33" s="775"/>
      <c r="H33" s="775"/>
      <c r="I33" s="775"/>
      <c r="J33" s="775"/>
      <c r="K33" s="284"/>
      <c r="L33" s="276"/>
      <c r="M33" s="775" t="s">
        <v>220</v>
      </c>
      <c r="N33" s="775"/>
      <c r="O33" s="775"/>
      <c r="P33" s="775"/>
      <c r="Q33" s="775"/>
      <c r="R33" s="775"/>
      <c r="S33" s="775"/>
      <c r="T33" s="775"/>
      <c r="U33" s="775"/>
      <c r="V33" s="284"/>
      <c r="W33" s="276"/>
      <c r="X33" s="775" t="s">
        <v>220</v>
      </c>
      <c r="Y33" s="775"/>
      <c r="Z33" s="775"/>
      <c r="AA33" s="775"/>
      <c r="AB33" s="775"/>
      <c r="AC33" s="775"/>
      <c r="AD33" s="775"/>
      <c r="AE33" s="775"/>
      <c r="AF33" s="775"/>
      <c r="AG33" s="284"/>
    </row>
    <row r="34" spans="1:33" ht="3" customHeight="1" x14ac:dyDescent="0.25">
      <c r="A34" s="276"/>
      <c r="B34" s="352"/>
      <c r="C34" s="280"/>
      <c r="D34" s="280"/>
      <c r="E34" s="280"/>
      <c r="F34" s="280"/>
      <c r="G34" s="280"/>
      <c r="H34" s="280"/>
      <c r="I34" s="280"/>
      <c r="J34" s="280"/>
      <c r="K34" s="284"/>
      <c r="L34" s="276"/>
      <c r="M34" s="279"/>
      <c r="N34" s="280"/>
      <c r="O34" s="280"/>
      <c r="P34" s="280"/>
      <c r="Q34" s="280"/>
      <c r="R34" s="280"/>
      <c r="S34" s="280"/>
      <c r="T34" s="280"/>
      <c r="U34" s="280"/>
      <c r="V34" s="284"/>
      <c r="W34" s="276"/>
      <c r="X34" s="279"/>
      <c r="Y34" s="280"/>
      <c r="Z34" s="280"/>
      <c r="AA34" s="280"/>
      <c r="AB34" s="280"/>
      <c r="AC34" s="280"/>
      <c r="AD34" s="280"/>
      <c r="AE34" s="280"/>
      <c r="AF34" s="280"/>
      <c r="AG34" s="284"/>
    </row>
    <row r="35" spans="1:33" x14ac:dyDescent="0.25">
      <c r="A35" s="276"/>
      <c r="B35" s="353" t="s">
        <v>157</v>
      </c>
      <c r="C35" s="290" t="str">
        <f>IF('Army 4'!$P$2&lt;&gt;"n/a",'Army 4'!$N$8,"")</f>
        <v/>
      </c>
      <c r="D35" s="290"/>
      <c r="E35" s="793" t="s">
        <v>160</v>
      </c>
      <c r="F35" s="793"/>
      <c r="G35" s="290" t="str">
        <f>IF('Army 4'!$P$2&lt;&gt;"n/a",'Army 4'!$N$12,"")</f>
        <v/>
      </c>
      <c r="H35" s="793" t="s">
        <v>61</v>
      </c>
      <c r="I35" s="793"/>
      <c r="J35" s="290" t="str">
        <f>IF('Army 4'!$N$10&lt;&gt;"n/a",'Army 4'!$N$10,"")</f>
        <v/>
      </c>
      <c r="K35" s="284"/>
      <c r="L35" s="276"/>
      <c r="M35" s="281" t="s">
        <v>157</v>
      </c>
      <c r="N35" s="290" t="str">
        <f>IF('Army 5'!$P$2&lt;&gt;"n/a",'Army 5'!$N$8,"")</f>
        <v/>
      </c>
      <c r="O35" s="290"/>
      <c r="P35" s="793" t="s">
        <v>160</v>
      </c>
      <c r="Q35" s="793"/>
      <c r="R35" s="290" t="str">
        <f>IF('Army 5'!$P$2&lt;&gt;"n/a",'Army 5'!$N$12,"")</f>
        <v/>
      </c>
      <c r="S35" s="793" t="s">
        <v>61</v>
      </c>
      <c r="T35" s="793"/>
      <c r="U35" s="290" t="str">
        <f>IF('Army 5'!$N$10&lt;&gt;"n/a",'Army 5'!$N$10,"")</f>
        <v/>
      </c>
      <c r="V35" s="284"/>
      <c r="W35" s="276"/>
      <c r="X35" s="281" t="s">
        <v>157</v>
      </c>
      <c r="Y35" s="290" t="str">
        <f>IF('Army 6'!$P$2&lt;&gt;"n/a",'Army 6'!$N$8,"")</f>
        <v/>
      </c>
      <c r="Z35" s="290"/>
      <c r="AA35" s="793" t="s">
        <v>160</v>
      </c>
      <c r="AB35" s="793"/>
      <c r="AC35" s="290" t="str">
        <f>IF('Army 6'!$P$2&lt;&gt;"n/a",'Army 6'!$N$12,"")</f>
        <v/>
      </c>
      <c r="AD35" s="793" t="s">
        <v>61</v>
      </c>
      <c r="AE35" s="793"/>
      <c r="AF35" s="290" t="str">
        <f>IF('Army 6'!$N$10&lt;&gt;"n/a",'Army 6'!$N$10,"")</f>
        <v/>
      </c>
      <c r="AG35" s="284"/>
    </row>
    <row r="36" spans="1:33" x14ac:dyDescent="0.25">
      <c r="A36" s="276"/>
      <c r="B36" s="774" t="s">
        <v>591</v>
      </c>
      <c r="C36" s="775"/>
      <c r="D36" s="775"/>
      <c r="E36" s="775"/>
      <c r="F36" s="775"/>
      <c r="G36" s="775"/>
      <c r="H36" s="775"/>
      <c r="I36" s="775"/>
      <c r="J36" s="775"/>
      <c r="K36" s="284"/>
      <c r="L36" s="276"/>
      <c r="M36" s="775" t="s">
        <v>591</v>
      </c>
      <c r="N36" s="775"/>
      <c r="O36" s="775"/>
      <c r="P36" s="775"/>
      <c r="Q36" s="775"/>
      <c r="R36" s="775"/>
      <c r="S36" s="775"/>
      <c r="T36" s="775"/>
      <c r="U36" s="775"/>
      <c r="V36" s="284"/>
      <c r="W36" s="276"/>
      <c r="X36" s="775" t="s">
        <v>591</v>
      </c>
      <c r="Y36" s="775"/>
      <c r="Z36" s="775"/>
      <c r="AA36" s="775"/>
      <c r="AB36" s="775"/>
      <c r="AC36" s="775"/>
      <c r="AD36" s="775"/>
      <c r="AE36" s="775"/>
      <c r="AF36" s="775"/>
      <c r="AG36" s="284"/>
    </row>
    <row r="37" spans="1:33" x14ac:dyDescent="0.25">
      <c r="A37" s="276"/>
      <c r="B37" s="782" t="str">
        <f>IF('Army 4'!$V$36&lt;&gt;0,'Army 4'!$V$36,"")</f>
        <v/>
      </c>
      <c r="C37" s="783"/>
      <c r="D37" s="783"/>
      <c r="E37" s="783"/>
      <c r="F37" s="783"/>
      <c r="G37" s="783"/>
      <c r="H37" s="783"/>
      <c r="I37" s="783"/>
      <c r="J37" s="783"/>
      <c r="K37" s="284"/>
      <c r="L37" s="276"/>
      <c r="M37" s="783" t="str">
        <f>IF('Army 5'!$V$36&lt;&gt;0,'Army 5'!$V$36,"")</f>
        <v/>
      </c>
      <c r="N37" s="783"/>
      <c r="O37" s="783"/>
      <c r="P37" s="783"/>
      <c r="Q37" s="783"/>
      <c r="R37" s="783"/>
      <c r="S37" s="783"/>
      <c r="T37" s="783"/>
      <c r="U37" s="783"/>
      <c r="V37" s="284"/>
      <c r="W37" s="276"/>
      <c r="X37" s="783" t="str">
        <f>IF('Army 6'!$V$36&lt;&gt;0,'Army 6'!$V$36,"")</f>
        <v/>
      </c>
      <c r="Y37" s="783"/>
      <c r="Z37" s="783"/>
      <c r="AA37" s="783"/>
      <c r="AB37" s="783"/>
      <c r="AC37" s="783"/>
      <c r="AD37" s="783"/>
      <c r="AE37" s="783"/>
      <c r="AF37" s="783"/>
      <c r="AG37" s="284"/>
    </row>
    <row r="38" spans="1:33" x14ac:dyDescent="0.25">
      <c r="A38" s="276"/>
      <c r="B38" s="784"/>
      <c r="C38" s="785"/>
      <c r="D38" s="785"/>
      <c r="E38" s="785"/>
      <c r="F38" s="785"/>
      <c r="G38" s="785"/>
      <c r="H38" s="785"/>
      <c r="I38" s="785"/>
      <c r="J38" s="785"/>
      <c r="K38" s="284"/>
      <c r="L38" s="276"/>
      <c r="M38" s="785"/>
      <c r="N38" s="785"/>
      <c r="O38" s="785"/>
      <c r="P38" s="785"/>
      <c r="Q38" s="785"/>
      <c r="R38" s="785"/>
      <c r="S38" s="785"/>
      <c r="T38" s="785"/>
      <c r="U38" s="785"/>
      <c r="V38" s="284"/>
      <c r="W38" s="276"/>
      <c r="X38" s="785"/>
      <c r="Y38" s="785"/>
      <c r="Z38" s="785"/>
      <c r="AA38" s="785"/>
      <c r="AB38" s="785"/>
      <c r="AC38" s="785"/>
      <c r="AD38" s="785"/>
      <c r="AE38" s="785"/>
      <c r="AF38" s="785"/>
      <c r="AG38" s="284"/>
    </row>
    <row r="39" spans="1:33" x14ac:dyDescent="0.25">
      <c r="A39" s="276"/>
      <c r="B39" s="774" t="s">
        <v>592</v>
      </c>
      <c r="C39" s="775"/>
      <c r="D39" s="775"/>
      <c r="E39" s="775"/>
      <c r="F39" s="775"/>
      <c r="G39" s="775"/>
      <c r="H39" s="775"/>
      <c r="I39" s="775"/>
      <c r="J39" s="775"/>
      <c r="K39" s="284"/>
      <c r="L39" s="276"/>
      <c r="M39" s="775" t="s">
        <v>592</v>
      </c>
      <c r="N39" s="775"/>
      <c r="O39" s="775"/>
      <c r="P39" s="775"/>
      <c r="Q39" s="775"/>
      <c r="R39" s="775"/>
      <c r="S39" s="775"/>
      <c r="T39" s="775"/>
      <c r="U39" s="775"/>
      <c r="V39" s="284"/>
      <c r="W39" s="276"/>
      <c r="X39" s="775" t="s">
        <v>592</v>
      </c>
      <c r="Y39" s="775"/>
      <c r="Z39" s="775"/>
      <c r="AA39" s="775"/>
      <c r="AB39" s="775"/>
      <c r="AC39" s="775"/>
      <c r="AD39" s="775"/>
      <c r="AE39" s="775"/>
      <c r="AF39" s="775"/>
      <c r="AG39" s="284"/>
    </row>
    <row r="40" spans="1:33" x14ac:dyDescent="0.25">
      <c r="A40" s="276"/>
      <c r="B40" s="782" t="str">
        <f>IF('Army 4'!$V$38&lt;&gt;0,'Army 4'!$V$38,"")</f>
        <v/>
      </c>
      <c r="C40" s="783"/>
      <c r="D40" s="783"/>
      <c r="E40" s="783"/>
      <c r="F40" s="783"/>
      <c r="G40" s="783"/>
      <c r="H40" s="783"/>
      <c r="I40" s="783"/>
      <c r="J40" s="783"/>
      <c r="K40" s="284"/>
      <c r="L40" s="276"/>
      <c r="M40" s="783" t="str">
        <f>IF('Army 5'!$V$38&lt;&gt;0,'Army 5'!$V$38,"")</f>
        <v/>
      </c>
      <c r="N40" s="783"/>
      <c r="O40" s="783"/>
      <c r="P40" s="783"/>
      <c r="Q40" s="783"/>
      <c r="R40" s="783"/>
      <c r="S40" s="783"/>
      <c r="T40" s="783"/>
      <c r="U40" s="783"/>
      <c r="V40" s="284"/>
      <c r="W40" s="276"/>
      <c r="X40" s="783" t="str">
        <f>IF('Army 6'!$V$38&lt;&gt;0,'Army 6'!$V$38,"")</f>
        <v/>
      </c>
      <c r="Y40" s="783"/>
      <c r="Z40" s="783"/>
      <c r="AA40" s="783"/>
      <c r="AB40" s="783"/>
      <c r="AC40" s="783"/>
      <c r="AD40" s="783"/>
      <c r="AE40" s="783"/>
      <c r="AF40" s="783"/>
      <c r="AG40" s="284"/>
    </row>
    <row r="41" spans="1:33" x14ac:dyDescent="0.25">
      <c r="A41" s="276"/>
      <c r="B41" s="784"/>
      <c r="C41" s="785"/>
      <c r="D41" s="785"/>
      <c r="E41" s="785"/>
      <c r="F41" s="785"/>
      <c r="G41" s="785"/>
      <c r="H41" s="785"/>
      <c r="I41" s="785"/>
      <c r="J41" s="785"/>
      <c r="K41" s="284"/>
      <c r="L41" s="276"/>
      <c r="M41" s="785"/>
      <c r="N41" s="785"/>
      <c r="O41" s="785"/>
      <c r="P41" s="785"/>
      <c r="Q41" s="785"/>
      <c r="R41" s="785"/>
      <c r="S41" s="785"/>
      <c r="T41" s="785"/>
      <c r="U41" s="785"/>
      <c r="V41" s="284"/>
      <c r="W41" s="276"/>
      <c r="X41" s="785"/>
      <c r="Y41" s="785"/>
      <c r="Z41" s="785"/>
      <c r="AA41" s="785"/>
      <c r="AB41" s="785"/>
      <c r="AC41" s="785"/>
      <c r="AD41" s="785"/>
      <c r="AE41" s="785"/>
      <c r="AF41" s="785"/>
      <c r="AG41" s="284"/>
    </row>
    <row r="42" spans="1:33" x14ac:dyDescent="0.25">
      <c r="A42" s="276"/>
      <c r="B42" s="774" t="s">
        <v>593</v>
      </c>
      <c r="C42" s="775"/>
      <c r="D42" s="775"/>
      <c r="E42" s="775"/>
      <c r="F42" s="775"/>
      <c r="G42" s="775"/>
      <c r="H42" s="775"/>
      <c r="I42" s="775"/>
      <c r="J42" s="775"/>
      <c r="K42" s="284"/>
      <c r="L42" s="276"/>
      <c r="M42" s="775" t="s">
        <v>593</v>
      </c>
      <c r="N42" s="775"/>
      <c r="O42" s="775"/>
      <c r="P42" s="775"/>
      <c r="Q42" s="775"/>
      <c r="R42" s="775"/>
      <c r="S42" s="775"/>
      <c r="T42" s="775"/>
      <c r="U42" s="775"/>
      <c r="V42" s="284"/>
      <c r="W42" s="276"/>
      <c r="X42" s="775" t="s">
        <v>593</v>
      </c>
      <c r="Y42" s="775"/>
      <c r="Z42" s="775"/>
      <c r="AA42" s="775"/>
      <c r="AB42" s="775"/>
      <c r="AC42" s="775"/>
      <c r="AD42" s="775"/>
      <c r="AE42" s="775"/>
      <c r="AF42" s="775"/>
      <c r="AG42" s="284"/>
    </row>
    <row r="43" spans="1:33" x14ac:dyDescent="0.25">
      <c r="A43" s="276"/>
      <c r="B43" s="782" t="str">
        <f>IF('Army 4'!$V$48&lt;&gt;0,'Army 4'!$V$48,"")</f>
        <v/>
      </c>
      <c r="C43" s="783"/>
      <c r="D43" s="783"/>
      <c r="E43" s="783"/>
      <c r="F43" s="783"/>
      <c r="G43" s="783"/>
      <c r="H43" s="783"/>
      <c r="I43" s="783"/>
      <c r="J43" s="783"/>
      <c r="K43" s="284"/>
      <c r="L43" s="276"/>
      <c r="M43" s="783" t="str">
        <f>IF('Army 5'!$V$48&lt;&gt;0,'Army 5'!$V$48,"")</f>
        <v/>
      </c>
      <c r="N43" s="783"/>
      <c r="O43" s="783"/>
      <c r="P43" s="783"/>
      <c r="Q43" s="783"/>
      <c r="R43" s="783"/>
      <c r="S43" s="783"/>
      <c r="T43" s="783"/>
      <c r="U43" s="783"/>
      <c r="V43" s="284"/>
      <c r="W43" s="276"/>
      <c r="X43" s="783" t="str">
        <f>IF('Army 6'!$V$48&lt;&gt;0,'Army 6'!$V$48,"")</f>
        <v/>
      </c>
      <c r="Y43" s="783"/>
      <c r="Z43" s="783"/>
      <c r="AA43" s="783"/>
      <c r="AB43" s="783"/>
      <c r="AC43" s="783"/>
      <c r="AD43" s="783"/>
      <c r="AE43" s="783"/>
      <c r="AF43" s="783"/>
      <c r="AG43" s="284"/>
    </row>
    <row r="44" spans="1:33" x14ac:dyDescent="0.25">
      <c r="A44" s="276"/>
      <c r="B44" s="784"/>
      <c r="C44" s="785"/>
      <c r="D44" s="785"/>
      <c r="E44" s="785"/>
      <c r="F44" s="785"/>
      <c r="G44" s="785"/>
      <c r="H44" s="785"/>
      <c r="I44" s="785"/>
      <c r="J44" s="785"/>
      <c r="K44" s="284"/>
      <c r="L44" s="276"/>
      <c r="M44" s="785"/>
      <c r="N44" s="785"/>
      <c r="O44" s="785"/>
      <c r="P44" s="785"/>
      <c r="Q44" s="785"/>
      <c r="R44" s="785"/>
      <c r="S44" s="785"/>
      <c r="T44" s="785"/>
      <c r="U44" s="785"/>
      <c r="V44" s="284"/>
      <c r="W44" s="276"/>
      <c r="X44" s="785"/>
      <c r="Y44" s="785"/>
      <c r="Z44" s="785"/>
      <c r="AA44" s="785"/>
      <c r="AB44" s="785"/>
      <c r="AC44" s="785"/>
      <c r="AD44" s="785"/>
      <c r="AE44" s="785"/>
      <c r="AF44" s="785"/>
      <c r="AG44" s="284"/>
    </row>
    <row r="45" spans="1:33" x14ac:dyDescent="0.25">
      <c r="A45" s="276"/>
      <c r="B45" s="791" t="s">
        <v>468</v>
      </c>
      <c r="C45" s="786"/>
      <c r="D45" s="786"/>
      <c r="E45" s="787" t="str">
        <f>IF('Army 4'!$D$22&lt;&gt;0,'Army 4'!$D$22,"")</f>
        <v/>
      </c>
      <c r="F45" s="787"/>
      <c r="G45" s="787"/>
      <c r="H45" s="787"/>
      <c r="I45" s="281" t="s">
        <v>590</v>
      </c>
      <c r="J45" s="285" t="str">
        <f>IF('Army 4'!$D$22&lt;&gt;0,'Army 4'!$H$24,"")</f>
        <v/>
      </c>
      <c r="K45" s="284"/>
      <c r="L45" s="276"/>
      <c r="M45" s="786" t="s">
        <v>468</v>
      </c>
      <c r="N45" s="786"/>
      <c r="O45" s="786"/>
      <c r="P45" s="787" t="str">
        <f>IF('Army 5'!$D$22&lt;&gt;0,'Army 5'!$D$22,"")</f>
        <v/>
      </c>
      <c r="Q45" s="787"/>
      <c r="R45" s="787"/>
      <c r="S45" s="787"/>
      <c r="T45" s="281" t="s">
        <v>590</v>
      </c>
      <c r="U45" s="285" t="str">
        <f>IF('Army 5'!$D$22&lt;&gt;0,'Army 5'!$H$24,"")</f>
        <v/>
      </c>
      <c r="V45" s="284"/>
      <c r="W45" s="276"/>
      <c r="X45" s="786" t="s">
        <v>468</v>
      </c>
      <c r="Y45" s="786"/>
      <c r="Z45" s="786"/>
      <c r="AA45" s="787" t="str">
        <f>IF('Army 6'!$D$22&lt;&gt;0,'Army 6'!$D$22,"")</f>
        <v/>
      </c>
      <c r="AB45" s="787"/>
      <c r="AC45" s="787"/>
      <c r="AD45" s="787"/>
      <c r="AE45" s="281" t="s">
        <v>590</v>
      </c>
      <c r="AF45" s="285" t="str">
        <f>IF('Army 6'!$D$22&lt;&gt;0,'Army 6'!$H$24,"")</f>
        <v/>
      </c>
      <c r="AG45" s="284"/>
    </row>
    <row r="46" spans="1:33" x14ac:dyDescent="0.25">
      <c r="A46" s="276"/>
      <c r="B46" s="774" t="s">
        <v>594</v>
      </c>
      <c r="C46" s="775"/>
      <c r="D46" s="775"/>
      <c r="E46" s="775"/>
      <c r="F46" s="775"/>
      <c r="G46" s="775"/>
      <c r="H46" s="775"/>
      <c r="I46" s="775"/>
      <c r="J46" s="775"/>
      <c r="K46" s="284"/>
      <c r="L46" s="276"/>
      <c r="M46" s="775" t="s">
        <v>594</v>
      </c>
      <c r="N46" s="775"/>
      <c r="O46" s="775"/>
      <c r="P46" s="775"/>
      <c r="Q46" s="775"/>
      <c r="R46" s="775"/>
      <c r="S46" s="775"/>
      <c r="T46" s="775"/>
      <c r="U46" s="775"/>
      <c r="V46" s="284"/>
      <c r="W46" s="276"/>
      <c r="X46" s="775" t="s">
        <v>594</v>
      </c>
      <c r="Y46" s="775"/>
      <c r="Z46" s="775"/>
      <c r="AA46" s="775"/>
      <c r="AB46" s="775"/>
      <c r="AC46" s="775"/>
      <c r="AD46" s="775"/>
      <c r="AE46" s="775"/>
      <c r="AF46" s="775"/>
      <c r="AG46" s="284"/>
    </row>
    <row r="47" spans="1:33" x14ac:dyDescent="0.25">
      <c r="A47" s="276"/>
      <c r="B47" s="782" t="str">
        <f>IF('Army 4'!$V$22&lt;&gt;0,'Army 4'!$V$22,"")</f>
        <v/>
      </c>
      <c r="C47" s="783"/>
      <c r="D47" s="783"/>
      <c r="E47" s="783"/>
      <c r="F47" s="783"/>
      <c r="G47" s="783"/>
      <c r="H47" s="783"/>
      <c r="I47" s="783"/>
      <c r="J47" s="783"/>
      <c r="K47" s="284"/>
      <c r="L47" s="276"/>
      <c r="M47" s="783" t="str">
        <f>IF('Army 5'!$V$22&lt;&gt;0,'Army 5'!$V$22,"")</f>
        <v/>
      </c>
      <c r="N47" s="783"/>
      <c r="O47" s="783"/>
      <c r="P47" s="783"/>
      <c r="Q47" s="783"/>
      <c r="R47" s="783"/>
      <c r="S47" s="783"/>
      <c r="T47" s="783"/>
      <c r="U47" s="783"/>
      <c r="V47" s="284"/>
      <c r="W47" s="276"/>
      <c r="X47" s="783" t="str">
        <f>IF('Army 6'!$V$22&lt;&gt;0,'Army 6'!$V$22,"")</f>
        <v/>
      </c>
      <c r="Y47" s="783"/>
      <c r="Z47" s="783"/>
      <c r="AA47" s="783"/>
      <c r="AB47" s="783"/>
      <c r="AC47" s="783"/>
      <c r="AD47" s="783"/>
      <c r="AE47" s="783"/>
      <c r="AF47" s="783"/>
      <c r="AG47" s="284"/>
    </row>
    <row r="48" spans="1:33" x14ac:dyDescent="0.25">
      <c r="A48" s="276"/>
      <c r="B48" s="784"/>
      <c r="C48" s="785"/>
      <c r="D48" s="785"/>
      <c r="E48" s="785"/>
      <c r="F48" s="785"/>
      <c r="G48" s="785"/>
      <c r="H48" s="785"/>
      <c r="I48" s="785"/>
      <c r="J48" s="785"/>
      <c r="K48" s="284"/>
      <c r="L48" s="276"/>
      <c r="M48" s="785"/>
      <c r="N48" s="785"/>
      <c r="O48" s="785"/>
      <c r="P48" s="785"/>
      <c r="Q48" s="785"/>
      <c r="R48" s="785"/>
      <c r="S48" s="785"/>
      <c r="T48" s="785"/>
      <c r="U48" s="785"/>
      <c r="V48" s="284"/>
      <c r="W48" s="276"/>
      <c r="X48" s="785"/>
      <c r="Y48" s="785"/>
      <c r="Z48" s="785"/>
      <c r="AA48" s="785"/>
      <c r="AB48" s="785"/>
      <c r="AC48" s="785"/>
      <c r="AD48" s="785"/>
      <c r="AE48" s="785"/>
      <c r="AF48" s="785"/>
      <c r="AG48" s="284"/>
    </row>
    <row r="49" spans="1:33" ht="15" customHeight="1" x14ac:dyDescent="0.25">
      <c r="A49" s="276"/>
      <c r="B49" s="774" t="s">
        <v>595</v>
      </c>
      <c r="C49" s="775"/>
      <c r="D49" s="775"/>
      <c r="E49" s="775"/>
      <c r="F49" s="775"/>
      <c r="G49" s="775"/>
      <c r="H49" s="775"/>
      <c r="I49" s="775"/>
      <c r="J49" s="775"/>
      <c r="K49" s="284"/>
      <c r="L49" s="276"/>
      <c r="M49" s="775" t="s">
        <v>595</v>
      </c>
      <c r="N49" s="775"/>
      <c r="O49" s="775"/>
      <c r="P49" s="775"/>
      <c r="Q49" s="775"/>
      <c r="R49" s="775"/>
      <c r="S49" s="775"/>
      <c r="T49" s="775"/>
      <c r="U49" s="775"/>
      <c r="V49" s="284"/>
      <c r="W49" s="276"/>
      <c r="X49" s="775" t="s">
        <v>595</v>
      </c>
      <c r="Y49" s="775"/>
      <c r="Z49" s="775"/>
      <c r="AA49" s="775"/>
      <c r="AB49" s="775"/>
      <c r="AC49" s="775"/>
      <c r="AD49" s="775"/>
      <c r="AE49" s="775"/>
      <c r="AF49" s="775"/>
      <c r="AG49" s="284"/>
    </row>
    <row r="50" spans="1:33" x14ac:dyDescent="0.25">
      <c r="A50" s="276"/>
      <c r="B50" s="778" t="str">
        <f>IF('Army 4'!$J$50&lt;&gt;0,'Army 4'!$J$50,"")</f>
        <v/>
      </c>
      <c r="C50" s="779"/>
      <c r="D50" s="779"/>
      <c r="E50" s="779"/>
      <c r="F50" s="779"/>
      <c r="G50" s="779"/>
      <c r="H50" s="779"/>
      <c r="I50" s="779"/>
      <c r="J50" s="779"/>
      <c r="K50" s="284"/>
      <c r="L50" s="276"/>
      <c r="M50" s="779" t="str">
        <f>IF('Army 5'!$J$50&lt;&gt;0,'Army 5'!$J$50,"")</f>
        <v/>
      </c>
      <c r="N50" s="779"/>
      <c r="O50" s="779"/>
      <c r="P50" s="779"/>
      <c r="Q50" s="779"/>
      <c r="R50" s="779"/>
      <c r="S50" s="779"/>
      <c r="T50" s="779"/>
      <c r="U50" s="779"/>
      <c r="V50" s="284"/>
      <c r="W50" s="276"/>
      <c r="X50" s="779" t="str">
        <f>IF('Army 6'!$J$50&lt;&gt;0,'Army 6'!$J$50,"")</f>
        <v/>
      </c>
      <c r="Y50" s="779"/>
      <c r="Z50" s="779"/>
      <c r="AA50" s="779"/>
      <c r="AB50" s="779"/>
      <c r="AC50" s="779"/>
      <c r="AD50" s="779"/>
      <c r="AE50" s="779"/>
      <c r="AF50" s="779"/>
      <c r="AG50" s="284"/>
    </row>
    <row r="51" spans="1:33" x14ac:dyDescent="0.25">
      <c r="A51" s="276"/>
      <c r="B51" s="780"/>
      <c r="C51" s="781"/>
      <c r="D51" s="781"/>
      <c r="E51" s="781"/>
      <c r="F51" s="781"/>
      <c r="G51" s="781"/>
      <c r="H51" s="781"/>
      <c r="I51" s="781"/>
      <c r="J51" s="781"/>
      <c r="K51" s="278"/>
      <c r="L51" s="276"/>
      <c r="M51" s="781"/>
      <c r="N51" s="781"/>
      <c r="O51" s="781"/>
      <c r="P51" s="781"/>
      <c r="Q51" s="781"/>
      <c r="R51" s="781"/>
      <c r="S51" s="781"/>
      <c r="T51" s="781"/>
      <c r="U51" s="781"/>
      <c r="V51" s="278"/>
      <c r="W51" s="276"/>
      <c r="X51" s="781"/>
      <c r="Y51" s="781"/>
      <c r="Z51" s="781"/>
      <c r="AA51" s="781"/>
      <c r="AB51" s="781"/>
      <c r="AC51" s="781"/>
      <c r="AD51" s="781"/>
      <c r="AE51" s="781"/>
      <c r="AF51" s="781"/>
      <c r="AG51" s="278"/>
    </row>
    <row r="52" spans="1:33" ht="5.0999999999999996" customHeight="1" x14ac:dyDescent="0.25">
      <c r="A52" s="286"/>
      <c r="B52" s="286"/>
      <c r="C52" s="287"/>
      <c r="D52" s="287"/>
      <c r="E52" s="287"/>
      <c r="F52" s="287"/>
      <c r="G52" s="287"/>
      <c r="H52" s="287"/>
      <c r="I52" s="287"/>
      <c r="J52" s="287"/>
      <c r="K52" s="288"/>
      <c r="L52" s="286"/>
      <c r="M52" s="287"/>
      <c r="N52" s="287"/>
      <c r="O52" s="287"/>
      <c r="P52" s="287"/>
      <c r="Q52" s="287"/>
      <c r="R52" s="287"/>
      <c r="S52" s="287"/>
      <c r="T52" s="287"/>
      <c r="U52" s="287"/>
      <c r="V52" s="288"/>
      <c r="W52" s="286"/>
      <c r="X52" s="287"/>
      <c r="Y52" s="287"/>
      <c r="Z52" s="287"/>
      <c r="AA52" s="287"/>
      <c r="AB52" s="287"/>
      <c r="AC52" s="287"/>
      <c r="AD52" s="287"/>
      <c r="AE52" s="287"/>
      <c r="AF52" s="287"/>
      <c r="AG52" s="288"/>
    </row>
    <row r="53" spans="1:33" ht="5.0999999999999996" customHeight="1" x14ac:dyDescent="0.25">
      <c r="A53" s="271"/>
      <c r="B53" s="271"/>
      <c r="C53" s="272"/>
      <c r="D53" s="272"/>
      <c r="E53" s="272"/>
      <c r="F53" s="272"/>
      <c r="G53" s="272"/>
      <c r="H53" s="272"/>
      <c r="I53" s="272"/>
      <c r="J53" s="272"/>
      <c r="K53" s="273"/>
      <c r="L53" s="271"/>
      <c r="M53" s="272"/>
      <c r="N53" s="272"/>
      <c r="O53" s="272"/>
      <c r="P53" s="272"/>
      <c r="Q53" s="272"/>
      <c r="R53" s="272"/>
      <c r="S53" s="272"/>
      <c r="T53" s="272"/>
      <c r="U53" s="272"/>
      <c r="V53" s="273"/>
      <c r="W53" s="271"/>
      <c r="X53" s="272"/>
      <c r="Y53" s="272"/>
      <c r="Z53" s="272"/>
      <c r="AA53" s="272"/>
      <c r="AB53" s="272"/>
      <c r="AC53" s="272"/>
      <c r="AD53" s="272"/>
      <c r="AE53" s="272"/>
      <c r="AF53" s="272"/>
      <c r="AG53" s="273"/>
    </row>
    <row r="54" spans="1:33" x14ac:dyDescent="0.25">
      <c r="A54" s="274"/>
      <c r="B54" s="776" t="str">
        <f>IF('Army 7'!$F$2&lt;&gt;0,'Army 7'!$F$2,"")</f>
        <v/>
      </c>
      <c r="C54" s="777"/>
      <c r="D54" s="777"/>
      <c r="E54" s="777"/>
      <c r="F54" s="777"/>
      <c r="G54" s="777"/>
      <c r="H54" s="777"/>
      <c r="I54" s="788" t="str">
        <f>IF('Army 7'!$P$2="n/a","",CONCATENATE("ACR ",'Army 7'!$P$2))</f>
        <v/>
      </c>
      <c r="J54" s="788"/>
      <c r="K54" s="275"/>
      <c r="L54" s="274"/>
      <c r="M54" s="777" t="str">
        <f>IF('Army 8'!$F$2&lt;&gt;0,'Army 8'!$F$2,"")</f>
        <v/>
      </c>
      <c r="N54" s="777"/>
      <c r="O54" s="777"/>
      <c r="P54" s="777"/>
      <c r="Q54" s="777"/>
      <c r="R54" s="777"/>
      <c r="S54" s="777"/>
      <c r="T54" s="788" t="str">
        <f>IF('Army 8'!$P$2="n/a","",CONCATENATE("ACR ",'Army 8'!$P$2))</f>
        <v/>
      </c>
      <c r="U54" s="788"/>
      <c r="V54" s="275"/>
      <c r="W54" s="274"/>
      <c r="X54" s="777" t="str">
        <f>IF('Army 9'!$F$2&lt;&gt;0,'Army 9'!$F$2,"")</f>
        <v/>
      </c>
      <c r="Y54" s="777"/>
      <c r="Z54" s="777"/>
      <c r="AA54" s="777"/>
      <c r="AB54" s="777"/>
      <c r="AC54" s="777"/>
      <c r="AD54" s="777"/>
      <c r="AE54" s="788" t="str">
        <f>IF('Army 9'!$P$2="n/a","",CONCATENATE("ACR ",'Army 9'!$P$2))</f>
        <v/>
      </c>
      <c r="AF54" s="788"/>
      <c r="AG54" s="275"/>
    </row>
    <row r="55" spans="1:33" x14ac:dyDescent="0.25">
      <c r="A55" s="276"/>
      <c r="B55" s="790" t="str">
        <f>IF('Army 7'!$F$4&lt;&gt;0,IF('Army 7'!$F$16&lt;&gt;0,CONCATENATE('Army 7'!$F$4," army of ",'Army 7'!$F$16),""),"")</f>
        <v/>
      </c>
      <c r="C55" s="789"/>
      <c r="D55" s="789"/>
      <c r="E55" s="789"/>
      <c r="F55" s="789"/>
      <c r="G55" s="789"/>
      <c r="H55" s="789"/>
      <c r="I55" s="789"/>
      <c r="J55" s="789"/>
      <c r="K55" s="277"/>
      <c r="L55" s="276"/>
      <c r="M55" s="789" t="str">
        <f>IF('Army 8'!$F$4&lt;&gt;0,IF('Army 8'!$F$16&lt;&gt;0,CONCATENATE('Army 8'!$F$4," army of ",'Army 8'!$F$16),""),"")</f>
        <v/>
      </c>
      <c r="N55" s="789"/>
      <c r="O55" s="789"/>
      <c r="P55" s="789"/>
      <c r="Q55" s="789"/>
      <c r="R55" s="789"/>
      <c r="S55" s="789"/>
      <c r="T55" s="789"/>
      <c r="U55" s="789"/>
      <c r="V55" s="277"/>
      <c r="W55" s="276"/>
      <c r="X55" s="789" t="str">
        <f>IF('Army 9'!$F$4&lt;&gt;0,IF('Army 9'!$F$16&lt;&gt;0,CONCATENATE('Army 9'!$F$4," army of ",'Army 9'!$F$16),""),"")</f>
        <v/>
      </c>
      <c r="Y55" s="789"/>
      <c r="Z55" s="789"/>
      <c r="AA55" s="789"/>
      <c r="AB55" s="789"/>
      <c r="AC55" s="789"/>
      <c r="AD55" s="789"/>
      <c r="AE55" s="789"/>
      <c r="AF55" s="789"/>
      <c r="AG55" s="277"/>
    </row>
    <row r="56" spans="1:33" x14ac:dyDescent="0.25">
      <c r="A56" s="276"/>
      <c r="B56" s="774" t="s">
        <v>217</v>
      </c>
      <c r="C56" s="775"/>
      <c r="D56" s="775"/>
      <c r="E56" s="775"/>
      <c r="F56" s="775"/>
      <c r="G56" s="775"/>
      <c r="H56" s="775"/>
      <c r="I56" s="775"/>
      <c r="J56" s="775"/>
      <c r="K56" s="278"/>
      <c r="L56" s="276"/>
      <c r="M56" s="775" t="s">
        <v>217</v>
      </c>
      <c r="N56" s="775"/>
      <c r="O56" s="775"/>
      <c r="P56" s="775"/>
      <c r="Q56" s="775"/>
      <c r="R56" s="775"/>
      <c r="S56" s="775"/>
      <c r="T56" s="775"/>
      <c r="U56" s="775"/>
      <c r="V56" s="278"/>
      <c r="W56" s="276"/>
      <c r="X56" s="775" t="s">
        <v>217</v>
      </c>
      <c r="Y56" s="775"/>
      <c r="Z56" s="775"/>
      <c r="AA56" s="775"/>
      <c r="AB56" s="775"/>
      <c r="AC56" s="775"/>
      <c r="AD56" s="775"/>
      <c r="AE56" s="775"/>
      <c r="AF56" s="775"/>
      <c r="AG56" s="278"/>
    </row>
    <row r="57" spans="1:33" ht="3" customHeight="1" x14ac:dyDescent="0.25">
      <c r="A57" s="276"/>
      <c r="B57" s="352"/>
      <c r="C57" s="280"/>
      <c r="D57" s="280"/>
      <c r="E57" s="280"/>
      <c r="F57" s="280"/>
      <c r="G57" s="280"/>
      <c r="H57" s="280"/>
      <c r="I57" s="280"/>
      <c r="J57" s="280"/>
      <c r="K57" s="278"/>
      <c r="L57" s="276"/>
      <c r="M57" s="279"/>
      <c r="N57" s="280"/>
      <c r="O57" s="280"/>
      <c r="P57" s="280"/>
      <c r="Q57" s="280"/>
      <c r="R57" s="280"/>
      <c r="S57" s="280"/>
      <c r="T57" s="280"/>
      <c r="U57" s="280"/>
      <c r="V57" s="278"/>
      <c r="W57" s="276"/>
      <c r="X57" s="279"/>
      <c r="Y57" s="280"/>
      <c r="Z57" s="280"/>
      <c r="AA57" s="280"/>
      <c r="AB57" s="280"/>
      <c r="AC57" s="280"/>
      <c r="AD57" s="280"/>
      <c r="AE57" s="280"/>
      <c r="AF57" s="280"/>
      <c r="AG57" s="278"/>
    </row>
    <row r="58" spans="1:33" x14ac:dyDescent="0.25">
      <c r="A58" s="276"/>
      <c r="B58" s="353" t="s">
        <v>589</v>
      </c>
      <c r="C58" s="290" t="str">
        <f>IF('Army 7'!$F$8&lt;&gt;"n/a",'Army 7'!$F$8,"")</f>
        <v/>
      </c>
      <c r="D58" s="281" t="s">
        <v>218</v>
      </c>
      <c r="E58" s="290" t="str">
        <f>IF('Army 7'!$F$12&lt;&gt;"n/a",'Army 7'!$F$12,"")</f>
        <v/>
      </c>
      <c r="F58" s="281" t="s">
        <v>219</v>
      </c>
      <c r="G58" s="792" t="str">
        <f>IF('Army 7'!$F$10&lt;&gt;"n/a",'Army 7'!$F$10,"")</f>
        <v/>
      </c>
      <c r="H58" s="792"/>
      <c r="I58" s="792"/>
      <c r="J58" s="792"/>
      <c r="K58" s="278"/>
      <c r="L58" s="276"/>
      <c r="M58" s="281" t="s">
        <v>589</v>
      </c>
      <c r="N58" s="290" t="str">
        <f>IF('Army 8'!$F$8&lt;&gt;"n/a",'Army 8'!$F$8,"")</f>
        <v/>
      </c>
      <c r="O58" s="281" t="s">
        <v>218</v>
      </c>
      <c r="P58" s="290" t="str">
        <f>IF('Army 8'!$F$12&lt;&gt;"n/a",'Army 8'!$F$12,"")</f>
        <v/>
      </c>
      <c r="Q58" s="281" t="s">
        <v>219</v>
      </c>
      <c r="R58" s="792" t="str">
        <f>IF('Army 8'!$F$10&lt;&gt;"n/a",'Army 8'!$F$10,"")</f>
        <v/>
      </c>
      <c r="S58" s="792"/>
      <c r="T58" s="792"/>
      <c r="U58" s="792"/>
      <c r="V58" s="278"/>
      <c r="W58" s="276"/>
      <c r="X58" s="291" t="s">
        <v>589</v>
      </c>
      <c r="Y58" s="290" t="str">
        <f>IF('Army 9'!$F$8&lt;&gt;"n/a",'Army 9'!$F$8,"")</f>
        <v/>
      </c>
      <c r="Z58" s="281" t="s">
        <v>218</v>
      </c>
      <c r="AA58" s="290" t="str">
        <f>IF('Army 9'!$F$12&lt;&gt;"n/a",'Army 9'!$F$12,"")</f>
        <v/>
      </c>
      <c r="AB58" s="281" t="s">
        <v>219</v>
      </c>
      <c r="AC58" s="792" t="str">
        <f>IF('Army 9'!$F$10&lt;&gt;"n/a",'Army 9'!$F$10,"")</f>
        <v/>
      </c>
      <c r="AD58" s="792"/>
      <c r="AE58" s="792"/>
      <c r="AF58" s="792"/>
      <c r="AG58" s="278"/>
    </row>
    <row r="59" spans="1:33" x14ac:dyDescent="0.25">
      <c r="A59" s="276"/>
      <c r="B59" s="774" t="s">
        <v>220</v>
      </c>
      <c r="C59" s="775"/>
      <c r="D59" s="775"/>
      <c r="E59" s="775"/>
      <c r="F59" s="775"/>
      <c r="G59" s="775"/>
      <c r="H59" s="775"/>
      <c r="I59" s="775"/>
      <c r="J59" s="775"/>
      <c r="K59" s="278"/>
      <c r="L59" s="276"/>
      <c r="M59" s="775" t="s">
        <v>220</v>
      </c>
      <c r="N59" s="775"/>
      <c r="O59" s="775"/>
      <c r="P59" s="775"/>
      <c r="Q59" s="775"/>
      <c r="R59" s="775"/>
      <c r="S59" s="775"/>
      <c r="T59" s="775"/>
      <c r="U59" s="775"/>
      <c r="V59" s="278"/>
      <c r="W59" s="276"/>
      <c r="X59" s="775" t="s">
        <v>220</v>
      </c>
      <c r="Y59" s="775"/>
      <c r="Z59" s="775"/>
      <c r="AA59" s="775"/>
      <c r="AB59" s="775"/>
      <c r="AC59" s="775"/>
      <c r="AD59" s="775"/>
      <c r="AE59" s="775"/>
      <c r="AF59" s="775"/>
      <c r="AG59" s="278"/>
    </row>
    <row r="60" spans="1:33" ht="3" customHeight="1" x14ac:dyDescent="0.25">
      <c r="A60" s="276"/>
      <c r="B60" s="352"/>
      <c r="C60" s="280"/>
      <c r="D60" s="280"/>
      <c r="E60" s="280"/>
      <c r="F60" s="280"/>
      <c r="G60" s="280"/>
      <c r="H60" s="280"/>
      <c r="I60" s="280"/>
      <c r="J60" s="280"/>
      <c r="K60" s="278"/>
      <c r="L60" s="276"/>
      <c r="M60" s="279"/>
      <c r="N60" s="280"/>
      <c r="O60" s="280"/>
      <c r="P60" s="280"/>
      <c r="Q60" s="280"/>
      <c r="R60" s="280"/>
      <c r="S60" s="280"/>
      <c r="T60" s="280"/>
      <c r="U60" s="280"/>
      <c r="V60" s="278"/>
      <c r="W60" s="276"/>
      <c r="X60" s="279"/>
      <c r="Y60" s="280"/>
      <c r="Z60" s="280"/>
      <c r="AA60" s="280"/>
      <c r="AB60" s="280"/>
      <c r="AC60" s="280"/>
      <c r="AD60" s="280"/>
      <c r="AE60" s="280"/>
      <c r="AF60" s="280"/>
      <c r="AG60" s="278"/>
    </row>
    <row r="61" spans="1:33" x14ac:dyDescent="0.25">
      <c r="A61" s="276"/>
      <c r="B61" s="353" t="s">
        <v>157</v>
      </c>
      <c r="C61" s="290" t="str">
        <f>IF('Army 7'!$P$2&lt;&gt;"n/a",'Army 7'!$N$8,"")</f>
        <v/>
      </c>
      <c r="D61" s="290"/>
      <c r="E61" s="793" t="s">
        <v>160</v>
      </c>
      <c r="F61" s="793"/>
      <c r="G61" s="290" t="str">
        <f>IF('Army 7'!$P$2&lt;&gt;"n/a",'Army 7'!$N$12,"")</f>
        <v/>
      </c>
      <c r="H61" s="793" t="s">
        <v>61</v>
      </c>
      <c r="I61" s="793"/>
      <c r="J61" s="290" t="str">
        <f>IF('Army 7'!$N$10&lt;&gt;"n/a",'Army 7'!$N$10,"")</f>
        <v/>
      </c>
      <c r="K61" s="278"/>
      <c r="L61" s="276"/>
      <c r="M61" s="281" t="s">
        <v>157</v>
      </c>
      <c r="N61" s="290" t="str">
        <f>IF('Army 8'!$P$2&lt;&gt;"n/a",'Army 8'!$N$8,"")</f>
        <v/>
      </c>
      <c r="O61" s="290"/>
      <c r="P61" s="793" t="s">
        <v>160</v>
      </c>
      <c r="Q61" s="793"/>
      <c r="R61" s="290" t="str">
        <f>IF('Army 8'!$P$2&lt;&gt;"n/a",'Army 8'!$N$12,"")</f>
        <v/>
      </c>
      <c r="S61" s="793" t="s">
        <v>61</v>
      </c>
      <c r="T61" s="793"/>
      <c r="U61" s="290" t="str">
        <f>IF('Army 8'!$N$10&lt;&gt;"n/a",'Army 8'!$N$10,"")</f>
        <v/>
      </c>
      <c r="V61" s="278"/>
      <c r="W61" s="276"/>
      <c r="X61" s="281" t="s">
        <v>157</v>
      </c>
      <c r="Y61" s="290" t="str">
        <f>IF('Army 9'!$P$2&lt;&gt;"n/a",'Army 9'!$N$8,"")</f>
        <v/>
      </c>
      <c r="Z61" s="290"/>
      <c r="AA61" s="793" t="s">
        <v>160</v>
      </c>
      <c r="AB61" s="793"/>
      <c r="AC61" s="290" t="str">
        <f>IF('Army 9'!$P$2&lt;&gt;"n/a",'Army 9'!$N$12,"")</f>
        <v/>
      </c>
      <c r="AD61" s="793" t="s">
        <v>61</v>
      </c>
      <c r="AE61" s="793"/>
      <c r="AF61" s="290" t="str">
        <f>IF('Army 9'!$N$10&lt;&gt;"n/a",'Army 9'!$N$10,"")</f>
        <v/>
      </c>
      <c r="AG61" s="278"/>
    </row>
    <row r="62" spans="1:33" x14ac:dyDescent="0.25">
      <c r="A62" s="276"/>
      <c r="B62" s="774" t="s">
        <v>591</v>
      </c>
      <c r="C62" s="775"/>
      <c r="D62" s="775"/>
      <c r="E62" s="775"/>
      <c r="F62" s="775"/>
      <c r="G62" s="775"/>
      <c r="H62" s="775"/>
      <c r="I62" s="775"/>
      <c r="J62" s="775"/>
      <c r="K62" s="278"/>
      <c r="L62" s="276"/>
      <c r="M62" s="775" t="s">
        <v>591</v>
      </c>
      <c r="N62" s="775"/>
      <c r="O62" s="775"/>
      <c r="P62" s="775"/>
      <c r="Q62" s="775"/>
      <c r="R62" s="775"/>
      <c r="S62" s="775"/>
      <c r="T62" s="775"/>
      <c r="U62" s="775"/>
      <c r="V62" s="278"/>
      <c r="W62" s="276"/>
      <c r="X62" s="775" t="s">
        <v>591</v>
      </c>
      <c r="Y62" s="775"/>
      <c r="Z62" s="775"/>
      <c r="AA62" s="775"/>
      <c r="AB62" s="775"/>
      <c r="AC62" s="775"/>
      <c r="AD62" s="775"/>
      <c r="AE62" s="775"/>
      <c r="AF62" s="775"/>
      <c r="AG62" s="278"/>
    </row>
    <row r="63" spans="1:33" x14ac:dyDescent="0.25">
      <c r="A63" s="276"/>
      <c r="B63" s="782" t="str">
        <f>IF('Army 7'!$V$36&lt;&gt;0,'Army 7'!$V$36,"")</f>
        <v/>
      </c>
      <c r="C63" s="783"/>
      <c r="D63" s="783"/>
      <c r="E63" s="783"/>
      <c r="F63" s="783"/>
      <c r="G63" s="783"/>
      <c r="H63" s="783"/>
      <c r="I63" s="783"/>
      <c r="J63" s="783"/>
      <c r="K63" s="278"/>
      <c r="L63" s="276"/>
      <c r="M63" s="783" t="str">
        <f>IF('Army 8'!$V$36&lt;&gt;0,'Army 8'!$V$36,"")</f>
        <v/>
      </c>
      <c r="N63" s="783"/>
      <c r="O63" s="783"/>
      <c r="P63" s="783"/>
      <c r="Q63" s="783"/>
      <c r="R63" s="783"/>
      <c r="S63" s="783"/>
      <c r="T63" s="783"/>
      <c r="U63" s="783"/>
      <c r="V63" s="278"/>
      <c r="W63" s="276"/>
      <c r="X63" s="783" t="str">
        <f>IF('Army 9'!$V$36&lt;&gt;0,'Army 9'!$V$36,"")</f>
        <v/>
      </c>
      <c r="Y63" s="783"/>
      <c r="Z63" s="783"/>
      <c r="AA63" s="783"/>
      <c r="AB63" s="783"/>
      <c r="AC63" s="783"/>
      <c r="AD63" s="783"/>
      <c r="AE63" s="783"/>
      <c r="AF63" s="783"/>
      <c r="AG63" s="278"/>
    </row>
    <row r="64" spans="1:33" x14ac:dyDescent="0.25">
      <c r="A64" s="276"/>
      <c r="B64" s="784"/>
      <c r="C64" s="785"/>
      <c r="D64" s="785"/>
      <c r="E64" s="785"/>
      <c r="F64" s="785"/>
      <c r="G64" s="785"/>
      <c r="H64" s="785"/>
      <c r="I64" s="785"/>
      <c r="J64" s="785"/>
      <c r="K64" s="278"/>
      <c r="L64" s="276"/>
      <c r="M64" s="785"/>
      <c r="N64" s="785"/>
      <c r="O64" s="785"/>
      <c r="P64" s="785"/>
      <c r="Q64" s="785"/>
      <c r="R64" s="785"/>
      <c r="S64" s="785"/>
      <c r="T64" s="785"/>
      <c r="U64" s="785"/>
      <c r="V64" s="278"/>
      <c r="W64" s="276"/>
      <c r="X64" s="785"/>
      <c r="Y64" s="785"/>
      <c r="Z64" s="785"/>
      <c r="AA64" s="785"/>
      <c r="AB64" s="785"/>
      <c r="AC64" s="785"/>
      <c r="AD64" s="785"/>
      <c r="AE64" s="785"/>
      <c r="AF64" s="785"/>
      <c r="AG64" s="278"/>
    </row>
    <row r="65" spans="1:33" x14ac:dyDescent="0.25">
      <c r="A65" s="276"/>
      <c r="B65" s="774" t="s">
        <v>592</v>
      </c>
      <c r="C65" s="775"/>
      <c r="D65" s="775"/>
      <c r="E65" s="775"/>
      <c r="F65" s="775"/>
      <c r="G65" s="775"/>
      <c r="H65" s="775"/>
      <c r="I65" s="775"/>
      <c r="J65" s="775"/>
      <c r="K65" s="278"/>
      <c r="L65" s="276"/>
      <c r="M65" s="775" t="s">
        <v>592</v>
      </c>
      <c r="N65" s="775"/>
      <c r="O65" s="775"/>
      <c r="P65" s="775"/>
      <c r="Q65" s="775"/>
      <c r="R65" s="775"/>
      <c r="S65" s="775"/>
      <c r="T65" s="775"/>
      <c r="U65" s="775"/>
      <c r="V65" s="278"/>
      <c r="W65" s="276"/>
      <c r="X65" s="775" t="s">
        <v>592</v>
      </c>
      <c r="Y65" s="775"/>
      <c r="Z65" s="775"/>
      <c r="AA65" s="775"/>
      <c r="AB65" s="775"/>
      <c r="AC65" s="775"/>
      <c r="AD65" s="775"/>
      <c r="AE65" s="775"/>
      <c r="AF65" s="775"/>
      <c r="AG65" s="278"/>
    </row>
    <row r="66" spans="1:33" x14ac:dyDescent="0.25">
      <c r="A66" s="276"/>
      <c r="B66" s="782" t="str">
        <f>IF('Army 7'!$V$38&lt;&gt;0,'Army 7'!$V$38,"")</f>
        <v/>
      </c>
      <c r="C66" s="783"/>
      <c r="D66" s="783"/>
      <c r="E66" s="783"/>
      <c r="F66" s="783"/>
      <c r="G66" s="783"/>
      <c r="H66" s="783"/>
      <c r="I66" s="783"/>
      <c r="J66" s="783"/>
      <c r="K66" s="278"/>
      <c r="L66" s="276"/>
      <c r="M66" s="783" t="str">
        <f>IF('Army 8'!$V$38&lt;&gt;0,'Army 8'!$V$38,"")</f>
        <v/>
      </c>
      <c r="N66" s="783"/>
      <c r="O66" s="783"/>
      <c r="P66" s="783"/>
      <c r="Q66" s="783"/>
      <c r="R66" s="783"/>
      <c r="S66" s="783"/>
      <c r="T66" s="783"/>
      <c r="U66" s="783"/>
      <c r="V66" s="278"/>
      <c r="W66" s="276"/>
      <c r="X66" s="783" t="str">
        <f>IF('Army 9'!$V$38&lt;&gt;0,'Army 9'!$V$38,"")</f>
        <v/>
      </c>
      <c r="Y66" s="783"/>
      <c r="Z66" s="783"/>
      <c r="AA66" s="783"/>
      <c r="AB66" s="783"/>
      <c r="AC66" s="783"/>
      <c r="AD66" s="783"/>
      <c r="AE66" s="783"/>
      <c r="AF66" s="783"/>
      <c r="AG66" s="278"/>
    </row>
    <row r="67" spans="1:33" x14ac:dyDescent="0.25">
      <c r="A67" s="276"/>
      <c r="B67" s="784"/>
      <c r="C67" s="785"/>
      <c r="D67" s="785"/>
      <c r="E67" s="785"/>
      <c r="F67" s="785"/>
      <c r="G67" s="785"/>
      <c r="H67" s="785"/>
      <c r="I67" s="785"/>
      <c r="J67" s="785"/>
      <c r="K67" s="278"/>
      <c r="L67" s="276"/>
      <c r="M67" s="785"/>
      <c r="N67" s="785"/>
      <c r="O67" s="785"/>
      <c r="P67" s="785"/>
      <c r="Q67" s="785"/>
      <c r="R67" s="785"/>
      <c r="S67" s="785"/>
      <c r="T67" s="785"/>
      <c r="U67" s="785"/>
      <c r="V67" s="278"/>
      <c r="W67" s="276"/>
      <c r="X67" s="785"/>
      <c r="Y67" s="785"/>
      <c r="Z67" s="785"/>
      <c r="AA67" s="785"/>
      <c r="AB67" s="785"/>
      <c r="AC67" s="785"/>
      <c r="AD67" s="785"/>
      <c r="AE67" s="785"/>
      <c r="AF67" s="785"/>
      <c r="AG67" s="278"/>
    </row>
    <row r="68" spans="1:33" x14ac:dyDescent="0.25">
      <c r="A68" s="276"/>
      <c r="B68" s="774" t="s">
        <v>593</v>
      </c>
      <c r="C68" s="775"/>
      <c r="D68" s="775"/>
      <c r="E68" s="775"/>
      <c r="F68" s="775"/>
      <c r="G68" s="775"/>
      <c r="H68" s="775"/>
      <c r="I68" s="775"/>
      <c r="J68" s="775"/>
      <c r="K68" s="278"/>
      <c r="L68" s="276"/>
      <c r="M68" s="775" t="s">
        <v>593</v>
      </c>
      <c r="N68" s="775"/>
      <c r="O68" s="775"/>
      <c r="P68" s="775"/>
      <c r="Q68" s="775"/>
      <c r="R68" s="775"/>
      <c r="S68" s="775"/>
      <c r="T68" s="775"/>
      <c r="U68" s="775"/>
      <c r="V68" s="278"/>
      <c r="W68" s="276"/>
      <c r="X68" s="775" t="s">
        <v>593</v>
      </c>
      <c r="Y68" s="775"/>
      <c r="Z68" s="775"/>
      <c r="AA68" s="775"/>
      <c r="AB68" s="775"/>
      <c r="AC68" s="775"/>
      <c r="AD68" s="775"/>
      <c r="AE68" s="775"/>
      <c r="AF68" s="775"/>
      <c r="AG68" s="278"/>
    </row>
    <row r="69" spans="1:33" x14ac:dyDescent="0.25">
      <c r="A69" s="276"/>
      <c r="B69" s="782" t="str">
        <f>IF('Army 7'!$V$48&lt;&gt;0,'Army 7'!$V$48,"")</f>
        <v/>
      </c>
      <c r="C69" s="783"/>
      <c r="D69" s="783"/>
      <c r="E69" s="783"/>
      <c r="F69" s="783"/>
      <c r="G69" s="783"/>
      <c r="H69" s="783"/>
      <c r="I69" s="783"/>
      <c r="J69" s="783"/>
      <c r="K69" s="278"/>
      <c r="L69" s="276"/>
      <c r="M69" s="783" t="str">
        <f>IF('Army 8'!$V$48&lt;&gt;0,'Army 8'!$V$48,"")</f>
        <v/>
      </c>
      <c r="N69" s="783"/>
      <c r="O69" s="783"/>
      <c r="P69" s="783"/>
      <c r="Q69" s="783"/>
      <c r="R69" s="783"/>
      <c r="S69" s="783"/>
      <c r="T69" s="783"/>
      <c r="U69" s="783"/>
      <c r="V69" s="278"/>
      <c r="W69" s="276"/>
      <c r="X69" s="783" t="str">
        <f>IF('Army 9'!$V$48&lt;&gt;0,'Army 9'!$V$48,"")</f>
        <v/>
      </c>
      <c r="Y69" s="783"/>
      <c r="Z69" s="783"/>
      <c r="AA69" s="783"/>
      <c r="AB69" s="783"/>
      <c r="AC69" s="783"/>
      <c r="AD69" s="783"/>
      <c r="AE69" s="783"/>
      <c r="AF69" s="783"/>
      <c r="AG69" s="278"/>
    </row>
    <row r="70" spans="1:33" x14ac:dyDescent="0.25">
      <c r="A70" s="276"/>
      <c r="B70" s="784"/>
      <c r="C70" s="785"/>
      <c r="D70" s="785"/>
      <c r="E70" s="785"/>
      <c r="F70" s="785"/>
      <c r="G70" s="785"/>
      <c r="H70" s="785"/>
      <c r="I70" s="785"/>
      <c r="J70" s="785"/>
      <c r="K70" s="278"/>
      <c r="L70" s="276"/>
      <c r="M70" s="785"/>
      <c r="N70" s="785"/>
      <c r="O70" s="785"/>
      <c r="P70" s="785"/>
      <c r="Q70" s="785"/>
      <c r="R70" s="785"/>
      <c r="S70" s="785"/>
      <c r="T70" s="785"/>
      <c r="U70" s="785"/>
      <c r="V70" s="278"/>
      <c r="W70" s="276"/>
      <c r="X70" s="785"/>
      <c r="Y70" s="785"/>
      <c r="Z70" s="785"/>
      <c r="AA70" s="785"/>
      <c r="AB70" s="785"/>
      <c r="AC70" s="785"/>
      <c r="AD70" s="785"/>
      <c r="AE70" s="785"/>
      <c r="AF70" s="785"/>
      <c r="AG70" s="278"/>
    </row>
    <row r="71" spans="1:33" x14ac:dyDescent="0.25">
      <c r="A71" s="276"/>
      <c r="B71" s="791" t="s">
        <v>468</v>
      </c>
      <c r="C71" s="786"/>
      <c r="D71" s="786"/>
      <c r="E71" s="787" t="str">
        <f>IF('Army 7'!$D$22&lt;&gt;0,'Army 7'!$D$22,"")</f>
        <v/>
      </c>
      <c r="F71" s="787"/>
      <c r="G71" s="787"/>
      <c r="H71" s="787"/>
      <c r="I71" s="281" t="s">
        <v>590</v>
      </c>
      <c r="J71" s="285" t="str">
        <f>IF('Army 7'!$D$22&lt;&gt;0,'Army 7'!$H$24,"")</f>
        <v/>
      </c>
      <c r="K71" s="278"/>
      <c r="L71" s="276"/>
      <c r="M71" s="786" t="s">
        <v>468</v>
      </c>
      <c r="N71" s="786"/>
      <c r="O71" s="786"/>
      <c r="P71" s="787" t="str">
        <f>IF('Army 8'!$D$22&lt;&gt;0,'Army 8'!$D$22,"")</f>
        <v/>
      </c>
      <c r="Q71" s="787"/>
      <c r="R71" s="787"/>
      <c r="S71" s="787"/>
      <c r="T71" s="281" t="s">
        <v>590</v>
      </c>
      <c r="U71" s="285" t="str">
        <f>IF('Army 8'!$D$22&lt;&gt;0,'Army 8'!$H$24,"")</f>
        <v/>
      </c>
      <c r="V71" s="278"/>
      <c r="W71" s="276"/>
      <c r="X71" s="786" t="s">
        <v>468</v>
      </c>
      <c r="Y71" s="786"/>
      <c r="Z71" s="786"/>
      <c r="AA71" s="787" t="str">
        <f>IF('Army 9'!$D$22&lt;&gt;0,'Army 9'!$D$22,"")</f>
        <v/>
      </c>
      <c r="AB71" s="787"/>
      <c r="AC71" s="787"/>
      <c r="AD71" s="787"/>
      <c r="AE71" s="281" t="s">
        <v>590</v>
      </c>
      <c r="AF71" s="285" t="str">
        <f>IF('Army 9'!$D$22&lt;&gt;0,'Army 9'!$H$24,"")</f>
        <v/>
      </c>
      <c r="AG71" s="278"/>
    </row>
    <row r="72" spans="1:33" x14ac:dyDescent="0.25">
      <c r="A72" s="276"/>
      <c r="B72" s="774" t="s">
        <v>594</v>
      </c>
      <c r="C72" s="775"/>
      <c r="D72" s="775"/>
      <c r="E72" s="775"/>
      <c r="F72" s="775"/>
      <c r="G72" s="775"/>
      <c r="H72" s="775"/>
      <c r="I72" s="775"/>
      <c r="J72" s="775"/>
      <c r="K72" s="282"/>
      <c r="L72" s="276"/>
      <c r="M72" s="775" t="s">
        <v>594</v>
      </c>
      <c r="N72" s="775"/>
      <c r="O72" s="775"/>
      <c r="P72" s="775"/>
      <c r="Q72" s="775"/>
      <c r="R72" s="775"/>
      <c r="S72" s="775"/>
      <c r="T72" s="775"/>
      <c r="U72" s="775"/>
      <c r="V72" s="282"/>
      <c r="W72" s="276"/>
      <c r="X72" s="775" t="s">
        <v>594</v>
      </c>
      <c r="Y72" s="775"/>
      <c r="Z72" s="775"/>
      <c r="AA72" s="775"/>
      <c r="AB72" s="775"/>
      <c r="AC72" s="775"/>
      <c r="AD72" s="775"/>
      <c r="AE72" s="775"/>
      <c r="AF72" s="775"/>
      <c r="AG72" s="282"/>
    </row>
    <row r="73" spans="1:33" x14ac:dyDescent="0.25">
      <c r="A73" s="276"/>
      <c r="B73" s="782" t="str">
        <f>IF('Army 7'!$V$22&lt;&gt;0,'Army 7'!$V$22,"")</f>
        <v/>
      </c>
      <c r="C73" s="783"/>
      <c r="D73" s="783"/>
      <c r="E73" s="783"/>
      <c r="F73" s="783"/>
      <c r="G73" s="783"/>
      <c r="H73" s="783"/>
      <c r="I73" s="783"/>
      <c r="J73" s="783"/>
      <c r="K73" s="284"/>
      <c r="L73" s="276"/>
      <c r="M73" s="783" t="str">
        <f>IF('Army 8'!$V$22&lt;&gt;0,'Army 8'!$V$22,"")</f>
        <v/>
      </c>
      <c r="N73" s="783"/>
      <c r="O73" s="783"/>
      <c r="P73" s="783"/>
      <c r="Q73" s="783"/>
      <c r="R73" s="783"/>
      <c r="S73" s="783"/>
      <c r="T73" s="783"/>
      <c r="U73" s="783"/>
      <c r="V73" s="284"/>
      <c r="W73" s="276"/>
      <c r="X73" s="783" t="str">
        <f>IF('Army 9'!$V$22&lt;&gt;0,'Army 9'!$V$22,"")</f>
        <v/>
      </c>
      <c r="Y73" s="783"/>
      <c r="Z73" s="783"/>
      <c r="AA73" s="783"/>
      <c r="AB73" s="783"/>
      <c r="AC73" s="783"/>
      <c r="AD73" s="783"/>
      <c r="AE73" s="783"/>
      <c r="AF73" s="783"/>
      <c r="AG73" s="284"/>
    </row>
    <row r="74" spans="1:33" x14ac:dyDescent="0.25">
      <c r="A74" s="276"/>
      <c r="B74" s="784"/>
      <c r="C74" s="785"/>
      <c r="D74" s="785"/>
      <c r="E74" s="785"/>
      <c r="F74" s="785"/>
      <c r="G74" s="785"/>
      <c r="H74" s="785"/>
      <c r="I74" s="785"/>
      <c r="J74" s="785"/>
      <c r="K74" s="284"/>
      <c r="L74" s="276"/>
      <c r="M74" s="785"/>
      <c r="N74" s="785"/>
      <c r="O74" s="785"/>
      <c r="P74" s="785"/>
      <c r="Q74" s="785"/>
      <c r="R74" s="785"/>
      <c r="S74" s="785"/>
      <c r="T74" s="785"/>
      <c r="U74" s="785"/>
      <c r="V74" s="284"/>
      <c r="W74" s="276"/>
      <c r="X74" s="785"/>
      <c r="Y74" s="785"/>
      <c r="Z74" s="785"/>
      <c r="AA74" s="785"/>
      <c r="AB74" s="785"/>
      <c r="AC74" s="785"/>
      <c r="AD74" s="785"/>
      <c r="AE74" s="785"/>
      <c r="AF74" s="785"/>
      <c r="AG74" s="284"/>
    </row>
    <row r="75" spans="1:33" x14ac:dyDescent="0.25">
      <c r="A75" s="276"/>
      <c r="B75" s="774" t="s">
        <v>595</v>
      </c>
      <c r="C75" s="775"/>
      <c r="D75" s="775"/>
      <c r="E75" s="775"/>
      <c r="F75" s="775"/>
      <c r="G75" s="775"/>
      <c r="H75" s="775"/>
      <c r="I75" s="775"/>
      <c r="J75" s="775"/>
      <c r="K75" s="284"/>
      <c r="L75" s="276"/>
      <c r="M75" s="775" t="s">
        <v>595</v>
      </c>
      <c r="N75" s="775"/>
      <c r="O75" s="775"/>
      <c r="P75" s="775"/>
      <c r="Q75" s="775"/>
      <c r="R75" s="775"/>
      <c r="S75" s="775"/>
      <c r="T75" s="775"/>
      <c r="U75" s="775"/>
      <c r="V75" s="284"/>
      <c r="W75" s="276"/>
      <c r="X75" s="775" t="s">
        <v>595</v>
      </c>
      <c r="Y75" s="775"/>
      <c r="Z75" s="775"/>
      <c r="AA75" s="775"/>
      <c r="AB75" s="775"/>
      <c r="AC75" s="775"/>
      <c r="AD75" s="775"/>
      <c r="AE75" s="775"/>
      <c r="AF75" s="775"/>
      <c r="AG75" s="284"/>
    </row>
    <row r="76" spans="1:33" x14ac:dyDescent="0.25">
      <c r="A76" s="276"/>
      <c r="B76" s="778" t="str">
        <f>IF('Army 7'!$J$50&lt;&gt;0,'Army 7'!$J$50,"")</f>
        <v/>
      </c>
      <c r="C76" s="779"/>
      <c r="D76" s="779"/>
      <c r="E76" s="779"/>
      <c r="F76" s="779"/>
      <c r="G76" s="779"/>
      <c r="H76" s="779"/>
      <c r="I76" s="779"/>
      <c r="J76" s="779"/>
      <c r="K76" s="284"/>
      <c r="L76" s="276"/>
      <c r="M76" s="779" t="str">
        <f>IF('Army 8'!$J$50&lt;&gt;0,'Army 8'!$J$50,"")</f>
        <v/>
      </c>
      <c r="N76" s="779"/>
      <c r="O76" s="779"/>
      <c r="P76" s="779"/>
      <c r="Q76" s="779"/>
      <c r="R76" s="779"/>
      <c r="S76" s="779"/>
      <c r="T76" s="779"/>
      <c r="U76" s="779"/>
      <c r="V76" s="284"/>
      <c r="W76" s="276"/>
      <c r="X76" s="779" t="str">
        <f>IF('Army 9'!$J$50&lt;&gt;0,'Army 9'!$J$50,"")</f>
        <v/>
      </c>
      <c r="Y76" s="779"/>
      <c r="Z76" s="779"/>
      <c r="AA76" s="779"/>
      <c r="AB76" s="779"/>
      <c r="AC76" s="779"/>
      <c r="AD76" s="779"/>
      <c r="AE76" s="779"/>
      <c r="AF76" s="779"/>
      <c r="AG76" s="284"/>
    </row>
    <row r="77" spans="1:33" x14ac:dyDescent="0.25">
      <c r="A77" s="276"/>
      <c r="B77" s="780"/>
      <c r="C77" s="781"/>
      <c r="D77" s="781"/>
      <c r="E77" s="781"/>
      <c r="F77" s="781"/>
      <c r="G77" s="781"/>
      <c r="H77" s="781"/>
      <c r="I77" s="781"/>
      <c r="J77" s="781"/>
      <c r="K77" s="284"/>
      <c r="L77" s="276"/>
      <c r="M77" s="781"/>
      <c r="N77" s="781"/>
      <c r="O77" s="781"/>
      <c r="P77" s="781"/>
      <c r="Q77" s="781"/>
      <c r="R77" s="781"/>
      <c r="S77" s="781"/>
      <c r="T77" s="781"/>
      <c r="U77" s="781"/>
      <c r="V77" s="284"/>
      <c r="W77" s="276"/>
      <c r="X77" s="781"/>
      <c r="Y77" s="781"/>
      <c r="Z77" s="781"/>
      <c r="AA77" s="781"/>
      <c r="AB77" s="781"/>
      <c r="AC77" s="781"/>
      <c r="AD77" s="781"/>
      <c r="AE77" s="781"/>
      <c r="AF77" s="781"/>
      <c r="AG77" s="284"/>
    </row>
    <row r="78" spans="1:33" ht="5.0999999999999996" customHeight="1" x14ac:dyDescent="0.25">
      <c r="A78" s="286"/>
      <c r="B78" s="286"/>
      <c r="C78" s="287"/>
      <c r="D78" s="287"/>
      <c r="E78" s="287"/>
      <c r="F78" s="287"/>
      <c r="G78" s="287"/>
      <c r="H78" s="287"/>
      <c r="I78" s="287"/>
      <c r="J78" s="287"/>
      <c r="K78" s="288"/>
      <c r="L78" s="286"/>
      <c r="M78" s="287"/>
      <c r="N78" s="287"/>
      <c r="O78" s="287"/>
      <c r="P78" s="287"/>
      <c r="Q78" s="287"/>
      <c r="R78" s="287"/>
      <c r="S78" s="287"/>
      <c r="T78" s="287"/>
      <c r="U78" s="287"/>
      <c r="V78" s="288"/>
      <c r="W78" s="286"/>
      <c r="X78" s="287"/>
      <c r="Y78" s="287"/>
      <c r="Z78" s="287"/>
      <c r="AA78" s="287"/>
      <c r="AB78" s="287"/>
      <c r="AC78" s="287"/>
      <c r="AD78" s="287"/>
      <c r="AE78" s="287"/>
      <c r="AF78" s="287"/>
      <c r="AG78" s="288"/>
    </row>
    <row r="79" spans="1:33" ht="3" customHeight="1" x14ac:dyDescent="0.25"/>
    <row r="80" spans="1:33" ht="15.75" hidden="1" customHeight="1" thickBot="1" x14ac:dyDescent="0.3">
      <c r="B80" s="772" t="s">
        <v>221</v>
      </c>
      <c r="C80" s="772"/>
      <c r="D80" s="772"/>
      <c r="E80" s="772"/>
      <c r="F80" s="772"/>
      <c r="G80" s="773"/>
      <c r="I80" s="192">
        <f>C91</f>
        <v>0</v>
      </c>
    </row>
    <row r="81" spans="2:21" ht="15" hidden="1" customHeight="1" x14ac:dyDescent="0.25">
      <c r="B81" s="263" t="s">
        <v>596</v>
      </c>
      <c r="C81" s="794" t="s">
        <v>61</v>
      </c>
      <c r="D81" s="794"/>
      <c r="E81" s="794"/>
      <c r="F81"/>
      <c r="G81"/>
      <c r="H81"/>
      <c r="I81"/>
    </row>
    <row r="82" spans="2:21" ht="15" hidden="1" customHeight="1" x14ac:dyDescent="0.25">
      <c r="B82" s="145">
        <v>1</v>
      </c>
      <c r="C82" s="795">
        <f>IF('Army 1'!$P$4="Yes",IF('Army 1'!$N$10&lt;&gt;"n/a",'Army 1'!$N$10,0),0)</f>
        <v>0</v>
      </c>
      <c r="D82" s="795"/>
      <c r="E82" s="795"/>
      <c r="F82"/>
      <c r="G82"/>
      <c r="H82"/>
      <c r="I82"/>
    </row>
    <row r="83" spans="2:21" ht="15" hidden="1" customHeight="1" x14ac:dyDescent="0.25">
      <c r="B83" s="145">
        <v>2</v>
      </c>
      <c r="C83" s="795">
        <f>IF('Army 2'!$P$4="Yes",IF('Army 2'!$N$10&lt;&gt;"n/a",'Army 2'!$N$10,0),0)</f>
        <v>0</v>
      </c>
      <c r="D83" s="795"/>
      <c r="E83" s="795"/>
      <c r="F83"/>
      <c r="G83"/>
      <c r="H83"/>
      <c r="I83"/>
      <c r="M83"/>
      <c r="N83"/>
      <c r="O83"/>
      <c r="P83"/>
      <c r="Q83"/>
      <c r="R83"/>
      <c r="S83"/>
      <c r="T83"/>
      <c r="U83"/>
    </row>
    <row r="84" spans="2:21" ht="15" hidden="1" customHeight="1" x14ac:dyDescent="0.25">
      <c r="B84" s="145">
        <v>3</v>
      </c>
      <c r="C84" s="795">
        <f>IF('Army 3'!$P$4="Yes",IF('Army 3'!$N$10&lt;&gt;"n/a",'Army 3'!$N$10,0),0)</f>
        <v>0</v>
      </c>
      <c r="D84" s="795"/>
      <c r="E84" s="795"/>
      <c r="F84"/>
      <c r="G84"/>
      <c r="H84"/>
      <c r="I84"/>
      <c r="M84"/>
      <c r="N84"/>
      <c r="O84"/>
      <c r="P84"/>
      <c r="Q84"/>
      <c r="R84"/>
      <c r="S84"/>
      <c r="T84"/>
      <c r="U84"/>
    </row>
    <row r="85" spans="2:21" ht="15" hidden="1" customHeight="1" x14ac:dyDescent="0.25">
      <c r="B85" s="145">
        <v>4</v>
      </c>
      <c r="C85" s="795">
        <f>IF('Army 4'!$P$4="Yes",IF('Army 4'!$N$10&lt;&gt;"n/a",'Army 4'!$N$10,0),0)</f>
        <v>0</v>
      </c>
      <c r="D85" s="795"/>
      <c r="E85" s="795"/>
      <c r="F85"/>
      <c r="G85"/>
      <c r="H85"/>
      <c r="I85"/>
      <c r="M85"/>
      <c r="N85"/>
      <c r="O85"/>
      <c r="P85"/>
      <c r="Q85"/>
      <c r="R85"/>
      <c r="S85"/>
      <c r="T85"/>
      <c r="U85"/>
    </row>
    <row r="86" spans="2:21" ht="15" hidden="1" customHeight="1" x14ac:dyDescent="0.25">
      <c r="B86" s="145">
        <v>5</v>
      </c>
      <c r="C86" s="795">
        <f>IF('Army 5'!$P$4="Yes",IF('Army 5'!$N$10&lt;&gt;"n/a",'Army 5'!$N$10,0),0)</f>
        <v>0</v>
      </c>
      <c r="D86" s="795"/>
      <c r="E86" s="795"/>
      <c r="F86"/>
      <c r="G86"/>
      <c r="H86"/>
      <c r="I86"/>
      <c r="M86"/>
      <c r="N86"/>
      <c r="O86"/>
      <c r="P86"/>
      <c r="Q86"/>
      <c r="R86"/>
      <c r="S86"/>
      <c r="T86"/>
      <c r="U86"/>
    </row>
    <row r="87" spans="2:21" ht="15" hidden="1" customHeight="1" x14ac:dyDescent="0.25">
      <c r="B87" s="145">
        <v>6</v>
      </c>
      <c r="C87" s="795">
        <f>IF('Army 6'!$P$4="Yes",IF('Army 6'!$N$10&lt;&gt;"n/a",'Army 6'!$N$10,0),0)</f>
        <v>0</v>
      </c>
      <c r="D87" s="795"/>
      <c r="E87" s="795"/>
      <c r="F87"/>
      <c r="G87"/>
      <c r="H87"/>
      <c r="I87"/>
    </row>
    <row r="88" spans="2:21" ht="15" hidden="1" customHeight="1" x14ac:dyDescent="0.25">
      <c r="B88" s="145">
        <v>7</v>
      </c>
      <c r="C88" s="795">
        <f>IF('Army 7'!$P$4="Yes",IF('Army 7'!$N$10&lt;&gt;"n/a",'Army 7'!$N$10,0),0)</f>
        <v>0</v>
      </c>
      <c r="D88" s="795"/>
      <c r="E88" s="795"/>
      <c r="F88"/>
      <c r="G88"/>
      <c r="H88"/>
      <c r="I88"/>
    </row>
    <row r="89" spans="2:21" ht="15" hidden="1" customHeight="1" x14ac:dyDescent="0.25">
      <c r="B89" s="145">
        <v>8</v>
      </c>
      <c r="C89" s="795">
        <f>IF('Army 8'!$P$4="Yes",IF('Army 8'!$N$10&lt;&gt;"n/a",'Army 8'!$N$10,0),0)</f>
        <v>0</v>
      </c>
      <c r="D89" s="795"/>
      <c r="E89" s="795"/>
      <c r="F89"/>
      <c r="G89"/>
      <c r="H89"/>
      <c r="I89"/>
    </row>
    <row r="90" spans="2:21" ht="15" hidden="1" customHeight="1" x14ac:dyDescent="0.25">
      <c r="B90" s="145">
        <v>9</v>
      </c>
      <c r="C90" s="795">
        <f>IF('Army 9'!$P$4="Yes",IF('Army 9'!$N$10&lt;&gt;"n/a",'Army 9'!$N$10,0),0)</f>
        <v>0</v>
      </c>
      <c r="D90" s="795"/>
      <c r="E90" s="795"/>
      <c r="F90"/>
      <c r="G90"/>
      <c r="H90"/>
      <c r="I90"/>
    </row>
    <row r="91" spans="2:21" ht="15" hidden="1" customHeight="1" x14ac:dyDescent="0.25">
      <c r="B91" s="289" t="s">
        <v>52</v>
      </c>
      <c r="C91" s="795">
        <f>SUM(C82:C90)</f>
        <v>0</v>
      </c>
      <c r="D91" s="795"/>
      <c r="E91" s="795"/>
      <c r="F91"/>
      <c r="G91"/>
      <c r="H91"/>
      <c r="I91"/>
    </row>
  </sheetData>
  <sheetProtection sheet="1" objects="1" scenarios="1" selectLockedCells="1"/>
  <mergeCells count="192">
    <mergeCell ref="C81:E81"/>
    <mergeCell ref="C91:E91"/>
    <mergeCell ref="C90:E90"/>
    <mergeCell ref="C89:E89"/>
    <mergeCell ref="C88:E88"/>
    <mergeCell ref="C87:E87"/>
    <mergeCell ref="C86:E86"/>
    <mergeCell ref="C85:E85"/>
    <mergeCell ref="C84:E84"/>
    <mergeCell ref="C83:E83"/>
    <mergeCell ref="C82:E82"/>
    <mergeCell ref="X66:AF67"/>
    <mergeCell ref="X68:AF68"/>
    <mergeCell ref="X69:AF70"/>
    <mergeCell ref="X71:Z71"/>
    <mergeCell ref="AA71:AD71"/>
    <mergeCell ref="X72:AF72"/>
    <mergeCell ref="X73:AF74"/>
    <mergeCell ref="X75:AF75"/>
    <mergeCell ref="X76:AF77"/>
    <mergeCell ref="X55:AF55"/>
    <mergeCell ref="AC58:AF58"/>
    <mergeCell ref="X59:AF59"/>
    <mergeCell ref="AA61:AB61"/>
    <mergeCell ref="AD61:AE61"/>
    <mergeCell ref="X62:AF62"/>
    <mergeCell ref="X63:AF64"/>
    <mergeCell ref="X65:AF65"/>
    <mergeCell ref="X56:AF56"/>
    <mergeCell ref="B76:J77"/>
    <mergeCell ref="T54:U54"/>
    <mergeCell ref="M55:U55"/>
    <mergeCell ref="R58:U58"/>
    <mergeCell ref="M59:U59"/>
    <mergeCell ref="P61:Q61"/>
    <mergeCell ref="S61:T61"/>
    <mergeCell ref="M62:U62"/>
    <mergeCell ref="M63:U64"/>
    <mergeCell ref="M65:U65"/>
    <mergeCell ref="M56:U56"/>
    <mergeCell ref="M54:S54"/>
    <mergeCell ref="M66:U67"/>
    <mergeCell ref="M68:U68"/>
    <mergeCell ref="M69:U70"/>
    <mergeCell ref="M71:O71"/>
    <mergeCell ref="P71:S71"/>
    <mergeCell ref="M72:U72"/>
    <mergeCell ref="M73:U74"/>
    <mergeCell ref="M75:U75"/>
    <mergeCell ref="M76:U77"/>
    <mergeCell ref="B54:H54"/>
    <mergeCell ref="B66:J67"/>
    <mergeCell ref="B68:J68"/>
    <mergeCell ref="B69:J70"/>
    <mergeCell ref="B71:D71"/>
    <mergeCell ref="E71:H71"/>
    <mergeCell ref="B72:J72"/>
    <mergeCell ref="B73:J74"/>
    <mergeCell ref="B75:J75"/>
    <mergeCell ref="B55:J55"/>
    <mergeCell ref="G58:J58"/>
    <mergeCell ref="B59:J59"/>
    <mergeCell ref="E61:F61"/>
    <mergeCell ref="H61:I61"/>
    <mergeCell ref="B62:J62"/>
    <mergeCell ref="B63:J64"/>
    <mergeCell ref="B65:J65"/>
    <mergeCell ref="B56:J56"/>
    <mergeCell ref="B42:J42"/>
    <mergeCell ref="B43:J44"/>
    <mergeCell ref="B45:D45"/>
    <mergeCell ref="E45:H45"/>
    <mergeCell ref="B46:J46"/>
    <mergeCell ref="B47:J48"/>
    <mergeCell ref="M43:U44"/>
    <mergeCell ref="M45:O45"/>
    <mergeCell ref="P45:S45"/>
    <mergeCell ref="M46:U46"/>
    <mergeCell ref="X43:AF44"/>
    <mergeCell ref="X45:Z45"/>
    <mergeCell ref="AA45:AD45"/>
    <mergeCell ref="X46:AF46"/>
    <mergeCell ref="X47:AF48"/>
    <mergeCell ref="X49:AF49"/>
    <mergeCell ref="I54:J54"/>
    <mergeCell ref="AE54:AF54"/>
    <mergeCell ref="X54:AD54"/>
    <mergeCell ref="B50:J51"/>
    <mergeCell ref="X50:AF51"/>
    <mergeCell ref="B49:J49"/>
    <mergeCell ref="AC32:AF32"/>
    <mergeCell ref="X33:AF33"/>
    <mergeCell ref="AA35:AB35"/>
    <mergeCell ref="AD35:AE35"/>
    <mergeCell ref="X36:AF36"/>
    <mergeCell ref="X37:AF38"/>
    <mergeCell ref="X39:AF39"/>
    <mergeCell ref="X40:AF41"/>
    <mergeCell ref="X42:AF42"/>
    <mergeCell ref="R32:U32"/>
    <mergeCell ref="M33:U33"/>
    <mergeCell ref="P35:Q35"/>
    <mergeCell ref="S35:T35"/>
    <mergeCell ref="M36:U36"/>
    <mergeCell ref="M37:U38"/>
    <mergeCell ref="M39:U39"/>
    <mergeCell ref="M40:U41"/>
    <mergeCell ref="M42:U42"/>
    <mergeCell ref="I28:J28"/>
    <mergeCell ref="B29:J29"/>
    <mergeCell ref="G32:J32"/>
    <mergeCell ref="B33:J33"/>
    <mergeCell ref="E35:F35"/>
    <mergeCell ref="H35:I35"/>
    <mergeCell ref="B36:J36"/>
    <mergeCell ref="B37:J38"/>
    <mergeCell ref="B40:J41"/>
    <mergeCell ref="B39:J39"/>
    <mergeCell ref="B30:J30"/>
    <mergeCell ref="AE2:AF2"/>
    <mergeCell ref="X3:AF3"/>
    <mergeCell ref="AC6:AF6"/>
    <mergeCell ref="AA9:AB9"/>
    <mergeCell ref="AD9:AE9"/>
    <mergeCell ref="X10:AF10"/>
    <mergeCell ref="X11:AF12"/>
    <mergeCell ref="X13:AF13"/>
    <mergeCell ref="X14:AF15"/>
    <mergeCell ref="X2:AD2"/>
    <mergeCell ref="X4:AF4"/>
    <mergeCell ref="T2:U2"/>
    <mergeCell ref="M3:U3"/>
    <mergeCell ref="R6:U6"/>
    <mergeCell ref="M10:U10"/>
    <mergeCell ref="M11:U12"/>
    <mergeCell ref="M13:U13"/>
    <mergeCell ref="M14:U15"/>
    <mergeCell ref="M16:U16"/>
    <mergeCell ref="M17:U18"/>
    <mergeCell ref="P9:Q9"/>
    <mergeCell ref="S9:T9"/>
    <mergeCell ref="M2:S2"/>
    <mergeCell ref="M4:U4"/>
    <mergeCell ref="I2:J2"/>
    <mergeCell ref="B3:J3"/>
    <mergeCell ref="B19:D19"/>
    <mergeCell ref="E19:H19"/>
    <mergeCell ref="G6:J6"/>
    <mergeCell ref="B10:J10"/>
    <mergeCell ref="B13:J13"/>
    <mergeCell ref="B16:J16"/>
    <mergeCell ref="B17:J18"/>
    <mergeCell ref="B14:J15"/>
    <mergeCell ref="B11:J12"/>
    <mergeCell ref="E9:F9"/>
    <mergeCell ref="H9:I9"/>
    <mergeCell ref="B2:H2"/>
    <mergeCell ref="X17:AF18"/>
    <mergeCell ref="X19:Z19"/>
    <mergeCell ref="AA19:AD19"/>
    <mergeCell ref="X20:AF20"/>
    <mergeCell ref="X21:AF22"/>
    <mergeCell ref="X23:AF23"/>
    <mergeCell ref="X24:AF25"/>
    <mergeCell ref="T28:U28"/>
    <mergeCell ref="M29:U29"/>
    <mergeCell ref="AE28:AF28"/>
    <mergeCell ref="X29:AF29"/>
    <mergeCell ref="B80:G80"/>
    <mergeCell ref="B4:J4"/>
    <mergeCell ref="B7:J7"/>
    <mergeCell ref="M30:U30"/>
    <mergeCell ref="X30:AF30"/>
    <mergeCell ref="X7:AF7"/>
    <mergeCell ref="B28:H28"/>
    <mergeCell ref="M28:S28"/>
    <mergeCell ref="X28:AD28"/>
    <mergeCell ref="M7:U7"/>
    <mergeCell ref="B20:J20"/>
    <mergeCell ref="B23:J23"/>
    <mergeCell ref="B24:J25"/>
    <mergeCell ref="B21:J22"/>
    <mergeCell ref="M19:O19"/>
    <mergeCell ref="P19:S19"/>
    <mergeCell ref="M47:U48"/>
    <mergeCell ref="M49:U49"/>
    <mergeCell ref="M50:U51"/>
    <mergeCell ref="M20:U20"/>
    <mergeCell ref="M21:U22"/>
    <mergeCell ref="M23:U23"/>
    <mergeCell ref="M24:U25"/>
    <mergeCell ref="X16:AF16"/>
  </mergeCells>
  <pageMargins left="0.7" right="0.7" top="0.75" bottom="0.75" header="0.3" footer="0.3"/>
  <pageSetup paperSize="9" scale="60" fitToHeight="0"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Y178"/>
  <sheetViews>
    <sheetView workbookViewId="0">
      <selection activeCell="F18" sqref="F18:H18"/>
    </sheetView>
  </sheetViews>
  <sheetFormatPr defaultColWidth="9.140625" defaultRowHeight="15" x14ac:dyDescent="0.25"/>
  <cols>
    <col min="1" max="1" width="0.85546875" style="61" customWidth="1"/>
    <col min="2" max="2" width="9.85546875" style="61" customWidth="1"/>
    <col min="3" max="3" width="0.85546875" style="61" customWidth="1"/>
    <col min="4" max="4" width="9.7109375" style="61" customWidth="1"/>
    <col min="5" max="5" width="0.85546875" style="64" customWidth="1"/>
    <col min="6" max="6" width="6.28515625" style="64" customWidth="1"/>
    <col min="7" max="7" width="0.85546875" style="64" customWidth="1"/>
    <col min="8" max="8" width="6.28515625" style="61" customWidth="1"/>
    <col min="9" max="9" width="0.85546875" style="68" customWidth="1"/>
    <col min="10" max="10" width="9.85546875" style="61" customWidth="1"/>
    <col min="11" max="11" width="0.85546875" style="64" customWidth="1"/>
    <col min="12" max="12" width="9.7109375" style="64" customWidth="1"/>
    <col min="13" max="13" width="0.85546875" style="64" customWidth="1"/>
    <col min="14" max="14" width="6.28515625" style="64" bestFit="1" customWidth="1"/>
    <col min="15" max="15" width="0.85546875" style="64" customWidth="1"/>
    <col min="16" max="16" width="6.28515625" style="64" bestFit="1" customWidth="1"/>
    <col min="17" max="17" width="0.85546875" style="64" customWidth="1"/>
    <col min="18" max="18" width="9.140625" style="61"/>
    <col min="19" max="20" width="9.85546875" style="61" hidden="1" customWidth="1"/>
    <col min="21" max="21" width="0.85546875" style="61" hidden="1" customWidth="1"/>
    <col min="22" max="22" width="9.140625" style="61" hidden="1" customWidth="1"/>
    <col min="23" max="16384" width="9.140625" style="61"/>
  </cols>
  <sheetData>
    <row r="1" spans="1:22" ht="5.0999999999999996" customHeight="1" thickBot="1" x14ac:dyDescent="0.3">
      <c r="A1" s="241"/>
      <c r="B1" s="242"/>
      <c r="C1" s="242"/>
      <c r="D1" s="242"/>
      <c r="E1" s="242"/>
      <c r="F1" s="242"/>
      <c r="G1" s="242"/>
      <c r="H1" s="242"/>
      <c r="I1" s="242"/>
      <c r="J1" s="242"/>
      <c r="K1" s="242"/>
      <c r="L1" s="242"/>
      <c r="M1" s="242"/>
      <c r="N1" s="242"/>
      <c r="O1" s="242"/>
      <c r="P1" s="242"/>
      <c r="Q1" s="243"/>
    </row>
    <row r="2" spans="1:22" ht="15.75" thickBot="1" x14ac:dyDescent="0.3">
      <c r="A2" s="244"/>
      <c r="B2" s="800" t="s">
        <v>78</v>
      </c>
      <c r="C2" s="800"/>
      <c r="D2" s="800"/>
      <c r="E2" s="62"/>
      <c r="F2" s="797"/>
      <c r="G2" s="798"/>
      <c r="H2" s="798"/>
      <c r="I2" s="798"/>
      <c r="J2" s="798"/>
      <c r="K2" s="798"/>
      <c r="L2" s="799"/>
      <c r="M2" s="60"/>
      <c r="N2" s="249" t="s">
        <v>460</v>
      </c>
      <c r="O2" s="49"/>
      <c r="P2" s="257" t="str">
        <f>V6</f>
        <v>n/a</v>
      </c>
      <c r="Q2" s="238"/>
    </row>
    <row r="3" spans="1:22" s="65" customFormat="1" ht="3" customHeight="1" thickBot="1" x14ac:dyDescent="0.3">
      <c r="A3" s="245"/>
      <c r="B3" s="62"/>
      <c r="C3" s="62"/>
      <c r="D3" s="62"/>
      <c r="E3" s="62"/>
      <c r="F3" s="62"/>
      <c r="G3" s="62"/>
      <c r="H3" s="63"/>
      <c r="I3" s="64"/>
      <c r="J3" s="62"/>
      <c r="K3" s="62"/>
      <c r="L3" s="62"/>
      <c r="M3" s="62"/>
      <c r="N3" s="62"/>
      <c r="O3" s="62"/>
      <c r="P3" s="64"/>
      <c r="Q3" s="239"/>
    </row>
    <row r="4" spans="1:22" ht="15.75" thickBot="1" x14ac:dyDescent="0.3">
      <c r="A4" s="245"/>
      <c r="B4" s="800" t="s">
        <v>43</v>
      </c>
      <c r="C4" s="800"/>
      <c r="D4" s="800"/>
      <c r="E4" s="62"/>
      <c r="F4" s="797"/>
      <c r="G4" s="798"/>
      <c r="H4" s="798"/>
      <c r="I4" s="798"/>
      <c r="J4" s="799"/>
      <c r="K4" s="66"/>
      <c r="L4" s="814" t="s">
        <v>459</v>
      </c>
      <c r="M4" s="815"/>
      <c r="N4" s="815"/>
      <c r="P4" s="254"/>
      <c r="Q4" s="239"/>
      <c r="S4" s="765" t="s">
        <v>478</v>
      </c>
      <c r="T4" s="765"/>
      <c r="V4" s="258">
        <f>IF(F4="Fine",-8,IF(F4="Diminutive",-6,IF(F4="Tiny",-4,IF(F4="Small",-2,IF(F4="Large",2,IF(F4="Huge",4,IF(F4="Gargantuan",6,IF(F4="Colossal",8,0))))))))</f>
        <v>0</v>
      </c>
    </row>
    <row r="5" spans="1:22" s="65" customFormat="1" ht="3" customHeight="1" x14ac:dyDescent="0.25">
      <c r="A5" s="245"/>
      <c r="B5" s="62"/>
      <c r="C5" s="62"/>
      <c r="D5" s="62"/>
      <c r="E5" s="62"/>
      <c r="F5" s="62"/>
      <c r="G5" s="62"/>
      <c r="H5" s="67"/>
      <c r="I5" s="67"/>
      <c r="J5" s="64"/>
      <c r="K5" s="64"/>
      <c r="L5" s="64"/>
      <c r="M5" s="64"/>
      <c r="N5" s="64"/>
      <c r="O5" s="64"/>
      <c r="P5" s="64"/>
      <c r="Q5" s="239"/>
    </row>
    <row r="6" spans="1:22" x14ac:dyDescent="0.25">
      <c r="A6" s="245"/>
      <c r="B6" s="715" t="s">
        <v>217</v>
      </c>
      <c r="C6" s="715"/>
      <c r="D6" s="715"/>
      <c r="E6" s="715"/>
      <c r="F6" s="715"/>
      <c r="G6" s="715"/>
      <c r="H6" s="715"/>
      <c r="I6" s="244"/>
      <c r="J6" s="715" t="s">
        <v>220</v>
      </c>
      <c r="K6" s="715"/>
      <c r="L6" s="715"/>
      <c r="M6" s="715"/>
      <c r="N6" s="715"/>
      <c r="O6" s="715"/>
      <c r="P6" s="715"/>
      <c r="Q6" s="239"/>
      <c r="S6" s="61" t="s">
        <v>1691</v>
      </c>
      <c r="V6" s="61" t="str">
        <f>IF(P16&lt;&gt;"",IF(P16+V4&gt;-5,IF(P16+V4&lt;1,VLOOKUP(P16+V4,'Drop Down'!C88:D93,2,FALSE),P16+V4),"n/a"),"n/a")</f>
        <v>n/a</v>
      </c>
    </row>
    <row r="7" spans="1:22" ht="3" customHeight="1" thickBot="1" x14ac:dyDescent="0.3">
      <c r="A7" s="245"/>
      <c r="B7" s="68"/>
      <c r="C7" s="68"/>
      <c r="D7" s="68"/>
      <c r="H7" s="68"/>
      <c r="J7" s="68"/>
      <c r="Q7" s="239"/>
    </row>
    <row r="8" spans="1:22" ht="15.75" thickBot="1" x14ac:dyDescent="0.3">
      <c r="A8" s="245"/>
      <c r="B8" s="765" t="s">
        <v>462</v>
      </c>
      <c r="C8" s="765"/>
      <c r="D8" s="765"/>
      <c r="E8" s="236"/>
      <c r="F8" s="811" t="str">
        <f>IF(P2="n/a","n/a",ROUNDDOWN(V18*P2,0))</f>
        <v>n/a</v>
      </c>
      <c r="G8" s="812"/>
      <c r="H8" s="813"/>
      <c r="I8" s="244"/>
      <c r="J8" s="765" t="s">
        <v>157</v>
      </c>
      <c r="K8" s="765"/>
      <c r="L8" s="765"/>
      <c r="M8" s="244"/>
      <c r="N8" s="676" t="str">
        <f>IF(F18&lt;&gt;"",IF(ROUNDDOWN(F18/15,0)&lt;1,1,ROUNDDOWN(F18/15,0)),"n/a")</f>
        <v>n/a</v>
      </c>
      <c r="O8" s="804"/>
      <c r="P8" s="677"/>
      <c r="Q8" s="239"/>
    </row>
    <row r="9" spans="1:22" ht="3" customHeight="1" thickBot="1" x14ac:dyDescent="0.3">
      <c r="A9" s="245"/>
      <c r="B9" s="60"/>
      <c r="C9" s="60"/>
      <c r="D9" s="60"/>
      <c r="H9" s="68"/>
      <c r="J9" s="68"/>
      <c r="L9" s="60"/>
      <c r="Q9" s="239"/>
    </row>
    <row r="10" spans="1:22" ht="15.75" thickBot="1" x14ac:dyDescent="0.3">
      <c r="A10" s="245"/>
      <c r="B10" s="765" t="s">
        <v>463</v>
      </c>
      <c r="C10" s="765"/>
      <c r="D10" s="765"/>
      <c r="E10" s="236"/>
      <c r="F10" s="676" t="str">
        <f>IF(P2="n/a","n/a",CONCATENATE("+",(P2+F95),IF(F99&gt;0,", ranged","")))</f>
        <v>n/a</v>
      </c>
      <c r="G10" s="804"/>
      <c r="H10" s="677"/>
      <c r="I10" s="244"/>
      <c r="J10" s="765" t="s">
        <v>61</v>
      </c>
      <c r="K10" s="765"/>
      <c r="L10" s="765"/>
      <c r="M10" s="244"/>
      <c r="N10" s="676" t="str">
        <f>IF(P2="n/a","n/a",(IF(P2/2&lt;1,1,ROUNDDOWN(P2/2,0))+F98))</f>
        <v>n/a</v>
      </c>
      <c r="O10" s="804"/>
      <c r="P10" s="677"/>
      <c r="Q10" s="239"/>
    </row>
    <row r="11" spans="1:22" ht="3" customHeight="1" thickBot="1" x14ac:dyDescent="0.3">
      <c r="A11" s="245"/>
      <c r="B11" s="60"/>
      <c r="C11" s="60"/>
      <c r="D11" s="60"/>
      <c r="H11" s="68"/>
      <c r="J11" s="68"/>
      <c r="L11" s="60"/>
      <c r="Q11" s="239"/>
    </row>
    <row r="12" spans="1:22" ht="15.75" thickBot="1" x14ac:dyDescent="0.3">
      <c r="A12" s="245"/>
      <c r="B12" s="765" t="s">
        <v>464</v>
      </c>
      <c r="C12" s="765"/>
      <c r="D12" s="765"/>
      <c r="E12" s="236"/>
      <c r="F12" s="676" t="str">
        <f>IF(P2="n/a","n/a",10+P2+F96)</f>
        <v>n/a</v>
      </c>
      <c r="G12" s="804"/>
      <c r="H12" s="677"/>
      <c r="I12" s="244"/>
      <c r="J12" s="765" t="s">
        <v>160</v>
      </c>
      <c r="K12" s="765"/>
      <c r="L12" s="765"/>
      <c r="M12" s="244"/>
      <c r="N12" s="762" t="s">
        <v>601</v>
      </c>
      <c r="O12" s="763"/>
      <c r="P12" s="764"/>
      <c r="Q12" s="239"/>
    </row>
    <row r="13" spans="1:22" ht="3" customHeight="1" x14ac:dyDescent="0.25">
      <c r="A13" s="245"/>
      <c r="B13" s="68"/>
      <c r="C13" s="68"/>
      <c r="D13" s="68"/>
      <c r="H13" s="68"/>
      <c r="J13" s="68"/>
      <c r="Q13" s="239"/>
    </row>
    <row r="14" spans="1:22" x14ac:dyDescent="0.25">
      <c r="A14" s="245"/>
      <c r="B14" s="715" t="s">
        <v>470</v>
      </c>
      <c r="C14" s="715"/>
      <c r="D14" s="715"/>
      <c r="E14" s="715"/>
      <c r="F14" s="715"/>
      <c r="G14" s="715"/>
      <c r="H14" s="715"/>
      <c r="I14" s="715"/>
      <c r="J14" s="715"/>
      <c r="K14" s="715"/>
      <c r="L14" s="715"/>
      <c r="M14" s="715"/>
      <c r="N14" s="715"/>
      <c r="O14" s="715"/>
      <c r="P14" s="715"/>
      <c r="Q14" s="239"/>
    </row>
    <row r="15" spans="1:22" ht="3" customHeight="1" thickBot="1" x14ac:dyDescent="0.3">
      <c r="A15" s="245"/>
      <c r="B15" s="68"/>
      <c r="C15" s="68"/>
      <c r="D15" s="68"/>
      <c r="H15" s="68"/>
      <c r="J15" s="68"/>
      <c r="P15" s="71"/>
      <c r="Q15" s="239"/>
    </row>
    <row r="16" spans="1:22" ht="15.75" thickBot="1" x14ac:dyDescent="0.3">
      <c r="A16" s="245"/>
      <c r="B16" s="800" t="s">
        <v>84</v>
      </c>
      <c r="C16" s="800"/>
      <c r="D16" s="800"/>
      <c r="E16" s="62"/>
      <c r="F16" s="797"/>
      <c r="G16" s="798"/>
      <c r="H16" s="798"/>
      <c r="I16" s="798"/>
      <c r="J16" s="798"/>
      <c r="K16" s="798"/>
      <c r="L16" s="799"/>
      <c r="M16" s="237"/>
      <c r="N16" s="249" t="s">
        <v>159</v>
      </c>
      <c r="O16" s="237"/>
      <c r="P16" s="255"/>
      <c r="Q16" s="239"/>
    </row>
    <row r="17" spans="1:22" ht="3" customHeight="1" thickBot="1" x14ac:dyDescent="0.3">
      <c r="A17" s="245"/>
      <c r="B17" s="68"/>
      <c r="C17" s="68"/>
      <c r="D17" s="68"/>
      <c r="H17" s="68"/>
      <c r="I17" s="244"/>
      <c r="J17" s="68"/>
      <c r="N17" s="62" t="s">
        <v>162</v>
      </c>
      <c r="O17" s="237"/>
      <c r="P17" s="235"/>
      <c r="Q17" s="239"/>
    </row>
    <row r="18" spans="1:22" ht="15.75" thickBot="1" x14ac:dyDescent="0.3">
      <c r="A18" s="245"/>
      <c r="B18" s="765" t="s">
        <v>157</v>
      </c>
      <c r="C18" s="765"/>
      <c r="D18" s="765"/>
      <c r="E18" s="236"/>
      <c r="F18" s="805"/>
      <c r="G18" s="806"/>
      <c r="H18" s="807"/>
      <c r="I18" s="244"/>
      <c r="J18" s="765" t="s">
        <v>471</v>
      </c>
      <c r="K18" s="765"/>
      <c r="L18" s="765"/>
      <c r="M18" s="765"/>
      <c r="N18" s="765"/>
      <c r="O18" s="259"/>
      <c r="P18" s="254"/>
      <c r="Q18" s="239"/>
      <c r="S18" s="765" t="s">
        <v>461</v>
      </c>
      <c r="T18" s="765"/>
      <c r="V18" s="258">
        <f>IF(P18="d6",3.5,IF(P18="d8",4.5,IF(P18="d10",5.5,IF(P18="d12",6.5,0))))</f>
        <v>0</v>
      </c>
    </row>
    <row r="19" spans="1:22" s="65" customFormat="1" ht="3" customHeight="1" x14ac:dyDescent="0.25">
      <c r="A19" s="245"/>
      <c r="B19" s="234"/>
      <c r="C19" s="234"/>
      <c r="D19" s="234"/>
      <c r="E19" s="67"/>
      <c r="F19" s="67"/>
      <c r="G19" s="67"/>
      <c r="H19" s="67"/>
      <c r="I19" s="63"/>
      <c r="J19" s="234"/>
      <c r="K19" s="63"/>
      <c r="L19" s="63"/>
      <c r="M19" s="63"/>
      <c r="N19" s="63"/>
      <c r="O19" s="63"/>
      <c r="P19" s="63"/>
      <c r="Q19" s="239"/>
    </row>
    <row r="20" spans="1:22" x14ac:dyDescent="0.25">
      <c r="A20" s="245"/>
      <c r="B20" s="715" t="s">
        <v>468</v>
      </c>
      <c r="C20" s="715"/>
      <c r="D20" s="715"/>
      <c r="E20" s="715"/>
      <c r="F20" s="715"/>
      <c r="G20" s="715"/>
      <c r="H20" s="715"/>
      <c r="I20" s="715"/>
      <c r="J20" s="715"/>
      <c r="K20" s="715"/>
      <c r="L20" s="715"/>
      <c r="M20" s="715"/>
      <c r="N20" s="715"/>
      <c r="O20" s="715"/>
      <c r="P20" s="715"/>
      <c r="Q20" s="239"/>
    </row>
    <row r="21" spans="1:22" ht="3" customHeight="1" thickBot="1" x14ac:dyDescent="0.3">
      <c r="A21" s="245"/>
      <c r="B21" s="193"/>
      <c r="C21" s="193"/>
      <c r="D21" s="193"/>
      <c r="E21" s="193"/>
      <c r="F21" s="193"/>
      <c r="G21" s="193"/>
      <c r="H21" s="193"/>
      <c r="I21" s="193"/>
      <c r="J21" s="193"/>
      <c r="K21" s="193"/>
      <c r="L21" s="193"/>
      <c r="M21" s="193"/>
      <c r="N21" s="193"/>
      <c r="O21" s="193"/>
      <c r="P21" s="193"/>
      <c r="Q21" s="239"/>
    </row>
    <row r="22" spans="1:22" s="233" customFormat="1" ht="15.75" thickBot="1" x14ac:dyDescent="0.3">
      <c r="A22" s="245"/>
      <c r="B22" s="249" t="s">
        <v>78</v>
      </c>
      <c r="C22" s="62"/>
      <c r="D22" s="808"/>
      <c r="E22" s="809"/>
      <c r="F22" s="809"/>
      <c r="G22" s="809"/>
      <c r="H22" s="810"/>
      <c r="I22" s="248"/>
      <c r="J22" s="715" t="s">
        <v>482</v>
      </c>
      <c r="K22" s="715"/>
      <c r="L22" s="715"/>
      <c r="M22" s="715"/>
      <c r="N22" s="715"/>
      <c r="O22" s="715"/>
      <c r="P22" s="715"/>
      <c r="Q22" s="239"/>
      <c r="S22" s="765" t="s">
        <v>482</v>
      </c>
      <c r="T22" s="765"/>
      <c r="V22" s="233" t="str">
        <f>CONCATENATE(IF(J24&lt;&gt;0,J24,""),IF(J26&lt;&gt;0,CONCATENATE(", ",J26),""),IF(J28&lt;&gt;0,CONCATENATE(", ",J28),""),IF(J30&lt;&gt;0,CONCATENATE(", ",J30),""),IF(J32&lt;&gt;0,CONCATENATE(", ",J32),""))</f>
        <v/>
      </c>
    </row>
    <row r="23" spans="1:22" s="233" customFormat="1" ht="3" customHeight="1" thickBot="1" x14ac:dyDescent="0.3">
      <c r="A23" s="245"/>
      <c r="B23" s="153"/>
      <c r="C23" s="153"/>
      <c r="D23" s="153"/>
      <c r="E23" s="153"/>
      <c r="F23" s="153"/>
      <c r="G23" s="153"/>
      <c r="H23" s="153"/>
      <c r="I23" s="153"/>
      <c r="J23" s="153"/>
      <c r="K23" s="153"/>
      <c r="L23" s="153"/>
      <c r="M23" s="153"/>
      <c r="N23" s="153"/>
      <c r="O23" s="153"/>
      <c r="P23" s="153"/>
      <c r="Q23" s="239"/>
    </row>
    <row r="24" spans="1:22" s="233" customFormat="1" ht="15.75" thickBot="1" x14ac:dyDescent="0.3">
      <c r="A24" s="245"/>
      <c r="B24" s="765" t="s">
        <v>55</v>
      </c>
      <c r="C24" s="765"/>
      <c r="D24" s="765"/>
      <c r="E24" s="765"/>
      <c r="F24" s="765"/>
      <c r="G24" s="250"/>
      <c r="H24" s="150">
        <f>IF(H32="Yes",H26+H28+3,H26+H28)</f>
        <v>0</v>
      </c>
      <c r="I24" s="153"/>
      <c r="J24" s="801"/>
      <c r="K24" s="802"/>
      <c r="L24" s="802"/>
      <c r="M24" s="802"/>
      <c r="N24" s="802"/>
      <c r="O24" s="802"/>
      <c r="P24" s="803"/>
      <c r="Q24" s="239"/>
    </row>
    <row r="25" spans="1:22" s="233" customFormat="1" ht="3" customHeight="1" thickBot="1" x14ac:dyDescent="0.3">
      <c r="A25" s="245"/>
      <c r="G25" s="260"/>
      <c r="I25" s="153"/>
      <c r="J25" s="69"/>
      <c r="K25" s="69"/>
      <c r="L25" s="69"/>
      <c r="M25" s="69"/>
      <c r="N25" s="69"/>
      <c r="O25" s="69"/>
      <c r="P25" s="69"/>
      <c r="Q25" s="239"/>
    </row>
    <row r="26" spans="1:22" s="233" customFormat="1" ht="15.75" thickBot="1" x14ac:dyDescent="0.3">
      <c r="A26" s="245"/>
      <c r="B26" s="765" t="s">
        <v>483</v>
      </c>
      <c r="C26" s="765"/>
      <c r="D26" s="765"/>
      <c r="E26" s="765"/>
      <c r="F26" s="765"/>
      <c r="G26" s="250"/>
      <c r="H26" s="270"/>
      <c r="I26" s="153"/>
      <c r="J26" s="801"/>
      <c r="K26" s="802"/>
      <c r="L26" s="802"/>
      <c r="M26" s="802"/>
      <c r="N26" s="802"/>
      <c r="O26" s="802"/>
      <c r="P26" s="803"/>
      <c r="Q26" s="239"/>
    </row>
    <row r="27" spans="1:22" s="233" customFormat="1" ht="3" customHeight="1" thickBot="1" x14ac:dyDescent="0.3">
      <c r="A27" s="245"/>
      <c r="B27" s="153"/>
      <c r="C27" s="153"/>
      <c r="D27" s="153"/>
      <c r="E27" s="153"/>
      <c r="F27" s="153"/>
      <c r="G27" s="153"/>
      <c r="H27" s="153"/>
      <c r="I27" s="153"/>
      <c r="J27" s="69"/>
      <c r="K27" s="69"/>
      <c r="L27" s="69"/>
      <c r="M27" s="69"/>
      <c r="N27" s="69"/>
      <c r="O27" s="69"/>
      <c r="P27" s="69"/>
      <c r="Q27" s="239"/>
    </row>
    <row r="28" spans="1:22" s="233" customFormat="1" ht="15.75" thickBot="1" x14ac:dyDescent="0.3">
      <c r="A28" s="245"/>
      <c r="B28" s="765" t="s">
        <v>479</v>
      </c>
      <c r="C28" s="765"/>
      <c r="D28" s="765"/>
      <c r="E28" s="765"/>
      <c r="F28" s="765"/>
      <c r="G28" s="250"/>
      <c r="H28" s="270"/>
      <c r="I28" s="153"/>
      <c r="J28" s="801"/>
      <c r="K28" s="802"/>
      <c r="L28" s="802"/>
      <c r="M28" s="802"/>
      <c r="N28" s="802"/>
      <c r="O28" s="802"/>
      <c r="P28" s="803"/>
      <c r="Q28" s="239"/>
    </row>
    <row r="29" spans="1:22" ht="3" customHeight="1" thickBot="1" x14ac:dyDescent="0.3">
      <c r="A29" s="245"/>
      <c r="B29" s="68"/>
      <c r="C29" s="68"/>
      <c r="D29" s="68"/>
      <c r="H29" s="68"/>
      <c r="J29" s="69"/>
      <c r="K29" s="69"/>
      <c r="L29" s="69"/>
      <c r="M29" s="69"/>
      <c r="N29" s="69"/>
      <c r="O29" s="69"/>
      <c r="P29" s="69"/>
      <c r="Q29" s="239"/>
    </row>
    <row r="30" spans="1:22" ht="15.75" thickBot="1" x14ac:dyDescent="0.3">
      <c r="A30" s="245"/>
      <c r="B30" s="765" t="s">
        <v>481</v>
      </c>
      <c r="C30" s="765"/>
      <c r="D30" s="765"/>
      <c r="E30" s="765"/>
      <c r="F30" s="765"/>
      <c r="H30" s="270"/>
      <c r="J30" s="801"/>
      <c r="K30" s="802"/>
      <c r="L30" s="802"/>
      <c r="M30" s="802"/>
      <c r="N30" s="802"/>
      <c r="O30" s="802"/>
      <c r="P30" s="803"/>
      <c r="Q30" s="239"/>
    </row>
    <row r="31" spans="1:22" ht="3" customHeight="1" thickBot="1" x14ac:dyDescent="0.3">
      <c r="A31" s="245"/>
      <c r="B31" s="68"/>
      <c r="C31" s="68"/>
      <c r="D31" s="68"/>
      <c r="H31" s="68"/>
      <c r="J31" s="73"/>
      <c r="K31" s="73"/>
      <c r="L31" s="73"/>
      <c r="M31" s="73"/>
      <c r="N31" s="73"/>
      <c r="O31" s="73"/>
      <c r="P31" s="73"/>
      <c r="Q31" s="239"/>
    </row>
    <row r="32" spans="1:22" ht="15.75" thickBot="1" x14ac:dyDescent="0.3">
      <c r="A32" s="245"/>
      <c r="B32" s="765" t="s">
        <v>467</v>
      </c>
      <c r="C32" s="765"/>
      <c r="D32" s="765"/>
      <c r="E32" s="765"/>
      <c r="F32" s="765"/>
      <c r="H32" s="256"/>
      <c r="J32" s="801"/>
      <c r="K32" s="802"/>
      <c r="L32" s="802"/>
      <c r="M32" s="802"/>
      <c r="N32" s="802"/>
      <c r="O32" s="802"/>
      <c r="P32" s="803"/>
      <c r="Q32" s="239"/>
    </row>
    <row r="33" spans="1:25" ht="3" customHeight="1" x14ac:dyDescent="0.25">
      <c r="A33" s="245"/>
      <c r="B33" s="68"/>
      <c r="C33" s="68"/>
      <c r="D33" s="68"/>
      <c r="H33" s="68"/>
      <c r="J33" s="73"/>
      <c r="K33" s="73"/>
      <c r="L33" s="73"/>
      <c r="M33" s="73"/>
      <c r="N33" s="73"/>
      <c r="O33" s="73"/>
      <c r="P33" s="73"/>
      <c r="Q33" s="239"/>
    </row>
    <row r="34" spans="1:25" x14ac:dyDescent="0.25">
      <c r="A34" s="245"/>
      <c r="B34" s="715" t="s">
        <v>469</v>
      </c>
      <c r="C34" s="715"/>
      <c r="D34" s="715"/>
      <c r="E34" s="715"/>
      <c r="F34" s="715"/>
      <c r="G34" s="715"/>
      <c r="H34" s="715"/>
      <c r="I34" s="715"/>
      <c r="J34" s="715"/>
      <c r="K34" s="715"/>
      <c r="L34" s="715"/>
      <c r="M34" s="715"/>
      <c r="N34" s="715"/>
      <c r="O34" s="715"/>
      <c r="P34" s="715"/>
      <c r="Q34" s="239"/>
    </row>
    <row r="35" spans="1:25" ht="3" customHeight="1" x14ac:dyDescent="0.25">
      <c r="A35" s="245"/>
      <c r="B35" s="68"/>
      <c r="C35" s="68"/>
      <c r="D35" s="68"/>
      <c r="H35" s="68"/>
      <c r="J35" s="68"/>
      <c r="Q35" s="239"/>
    </row>
    <row r="36" spans="1:25" x14ac:dyDescent="0.25">
      <c r="A36" s="245"/>
      <c r="B36" s="715" t="s">
        <v>158</v>
      </c>
      <c r="C36" s="715"/>
      <c r="D36" s="715"/>
      <c r="E36" s="715"/>
      <c r="F36" s="715"/>
      <c r="G36" s="715"/>
      <c r="H36" s="715"/>
      <c r="I36" s="244"/>
      <c r="J36" s="715" t="s">
        <v>56</v>
      </c>
      <c r="K36" s="715"/>
      <c r="L36" s="715"/>
      <c r="M36" s="715"/>
      <c r="N36" s="715"/>
      <c r="O36" s="715"/>
      <c r="P36" s="715"/>
      <c r="Q36" s="239"/>
      <c r="S36" s="765" t="s">
        <v>158</v>
      </c>
      <c r="T36" s="765"/>
      <c r="U36" s="193"/>
      <c r="V36" s="244" t="str">
        <f>CONCATENATE(IF(B38&lt;&gt;0,B38,""),IF(B40&lt;&gt;0,CONCATENATE(", ",B40),""),IF(B42&lt;&gt;0,CONCATENATE(", ",B42),""),IF(B44&lt;&gt;0,CONCATENATE(", ",B44),""),IF(B46&lt;&gt;0,CONCATENATE(", ",B46),""))</f>
        <v/>
      </c>
      <c r="W36" s="244"/>
      <c r="X36" s="244"/>
      <c r="Y36" s="244"/>
    </row>
    <row r="37" spans="1:25" s="68" customFormat="1" ht="3" customHeight="1" thickBot="1" x14ac:dyDescent="0.3">
      <c r="A37" s="245"/>
      <c r="B37" s="69"/>
      <c r="C37" s="69"/>
      <c r="D37" s="69"/>
      <c r="E37" s="69"/>
      <c r="F37" s="69"/>
      <c r="G37" s="69"/>
      <c r="H37" s="69"/>
      <c r="I37" s="69"/>
      <c r="J37" s="69"/>
      <c r="K37" s="69"/>
      <c r="L37" s="69"/>
      <c r="M37" s="69"/>
      <c r="N37" s="69"/>
      <c r="O37" s="69"/>
      <c r="P37" s="69"/>
      <c r="Q37" s="239"/>
    </row>
    <row r="38" spans="1:25" s="68" customFormat="1" ht="15.75" thickBot="1" x14ac:dyDescent="0.3">
      <c r="A38" s="245"/>
      <c r="B38" s="801"/>
      <c r="C38" s="802"/>
      <c r="D38" s="802"/>
      <c r="E38" s="802"/>
      <c r="F38" s="802"/>
      <c r="G38" s="802"/>
      <c r="H38" s="803"/>
      <c r="I38" s="69"/>
      <c r="J38" s="801"/>
      <c r="K38" s="802"/>
      <c r="L38" s="802"/>
      <c r="M38" s="802"/>
      <c r="N38" s="802"/>
      <c r="O38" s="802"/>
      <c r="P38" s="803"/>
      <c r="Q38" s="239"/>
      <c r="S38" s="765" t="s">
        <v>56</v>
      </c>
      <c r="T38" s="765"/>
      <c r="V38" s="68" t="str">
        <f>CONCATENATE(IF(J38&lt;&gt;0,J38,""),IF(J40&lt;&gt;0,CONCATENATE(", ",J40),""),IF(J42&lt;&gt;0,CONCATENATE(", ",J42),""),IF(J44&lt;&gt;0,CONCATENATE(", ",J44),""),IF(J46&lt;&gt;0,CONCATENATE(", ",J46),""))</f>
        <v/>
      </c>
    </row>
    <row r="39" spans="1:25" s="68" customFormat="1" ht="3" customHeight="1" thickBot="1" x14ac:dyDescent="0.3">
      <c r="A39" s="245"/>
      <c r="B39" s="69"/>
      <c r="C39" s="69"/>
      <c r="D39" s="69"/>
      <c r="E39" s="69"/>
      <c r="F39" s="69"/>
      <c r="G39" s="69"/>
      <c r="H39" s="69"/>
      <c r="I39" s="69"/>
      <c r="J39" s="69"/>
      <c r="K39" s="69"/>
      <c r="L39" s="69"/>
      <c r="M39" s="69"/>
      <c r="N39" s="69"/>
      <c r="O39" s="69"/>
      <c r="P39" s="69"/>
      <c r="Q39" s="239"/>
    </row>
    <row r="40" spans="1:25" s="68" customFormat="1" ht="15.75" thickBot="1" x14ac:dyDescent="0.3">
      <c r="A40" s="245"/>
      <c r="B40" s="801"/>
      <c r="C40" s="802"/>
      <c r="D40" s="802"/>
      <c r="E40" s="802"/>
      <c r="F40" s="802"/>
      <c r="G40" s="802"/>
      <c r="H40" s="803"/>
      <c r="I40" s="69"/>
      <c r="J40" s="801"/>
      <c r="K40" s="802"/>
      <c r="L40" s="802"/>
      <c r="M40" s="802"/>
      <c r="N40" s="802"/>
      <c r="O40" s="802"/>
      <c r="P40" s="803"/>
      <c r="Q40" s="239"/>
    </row>
    <row r="41" spans="1:25" s="68" customFormat="1" ht="3" customHeight="1" thickBot="1" x14ac:dyDescent="0.3">
      <c r="A41" s="245"/>
      <c r="B41" s="69"/>
      <c r="C41" s="69"/>
      <c r="D41" s="69"/>
      <c r="E41" s="69"/>
      <c r="F41" s="69"/>
      <c r="G41" s="69"/>
      <c r="H41" s="69"/>
      <c r="I41" s="69"/>
      <c r="J41" s="69"/>
      <c r="K41" s="69"/>
      <c r="L41" s="69"/>
      <c r="M41" s="69"/>
      <c r="N41" s="69"/>
      <c r="O41" s="69"/>
      <c r="P41" s="69"/>
      <c r="Q41" s="239"/>
    </row>
    <row r="42" spans="1:25" s="68" customFormat="1" ht="15.75" thickBot="1" x14ac:dyDescent="0.3">
      <c r="A42" s="245"/>
      <c r="B42" s="801"/>
      <c r="C42" s="802"/>
      <c r="D42" s="802"/>
      <c r="E42" s="802"/>
      <c r="F42" s="802"/>
      <c r="G42" s="802"/>
      <c r="H42" s="803"/>
      <c r="I42" s="69"/>
      <c r="J42" s="801"/>
      <c r="K42" s="802"/>
      <c r="L42" s="802"/>
      <c r="M42" s="802"/>
      <c r="N42" s="802"/>
      <c r="O42" s="802"/>
      <c r="P42" s="803"/>
      <c r="Q42" s="239"/>
    </row>
    <row r="43" spans="1:25" s="68" customFormat="1" ht="3" customHeight="1" thickBot="1" x14ac:dyDescent="0.3">
      <c r="A43" s="245"/>
      <c r="B43" s="69"/>
      <c r="C43" s="69"/>
      <c r="D43" s="69"/>
      <c r="E43" s="69"/>
      <c r="F43" s="69"/>
      <c r="G43" s="69"/>
      <c r="H43" s="69"/>
      <c r="I43" s="69"/>
      <c r="J43" s="69"/>
      <c r="K43" s="69"/>
      <c r="L43" s="69"/>
      <c r="M43" s="69"/>
      <c r="N43" s="69"/>
      <c r="O43" s="69"/>
      <c r="P43" s="69"/>
      <c r="Q43" s="239"/>
    </row>
    <row r="44" spans="1:25" s="68" customFormat="1" ht="15.75" thickBot="1" x14ac:dyDescent="0.3">
      <c r="A44" s="245"/>
      <c r="B44" s="801"/>
      <c r="C44" s="802"/>
      <c r="D44" s="802"/>
      <c r="E44" s="802"/>
      <c r="F44" s="802"/>
      <c r="G44" s="802"/>
      <c r="H44" s="803"/>
      <c r="I44" s="69"/>
      <c r="J44" s="801"/>
      <c r="K44" s="802"/>
      <c r="L44" s="802"/>
      <c r="M44" s="802"/>
      <c r="N44" s="802"/>
      <c r="O44" s="802"/>
      <c r="P44" s="803"/>
      <c r="Q44" s="239"/>
    </row>
    <row r="45" spans="1:25" s="68" customFormat="1" ht="3" customHeight="1" thickBot="1" x14ac:dyDescent="0.3">
      <c r="A45" s="245"/>
      <c r="B45" s="261"/>
      <c r="C45" s="261"/>
      <c r="D45" s="261"/>
      <c r="E45" s="261"/>
      <c r="F45" s="261"/>
      <c r="G45" s="261"/>
      <c r="H45" s="261"/>
      <c r="I45" s="69"/>
      <c r="J45" s="69"/>
      <c r="K45" s="69"/>
      <c r="L45" s="69"/>
      <c r="M45" s="69"/>
      <c r="N45" s="69"/>
      <c r="O45" s="69"/>
      <c r="P45" s="69"/>
      <c r="Q45" s="239"/>
    </row>
    <row r="46" spans="1:25" s="68" customFormat="1" ht="15.75" thickBot="1" x14ac:dyDescent="0.3">
      <c r="A46" s="245"/>
      <c r="B46" s="801"/>
      <c r="C46" s="802"/>
      <c r="D46" s="802"/>
      <c r="E46" s="802"/>
      <c r="F46" s="802"/>
      <c r="G46" s="802"/>
      <c r="H46" s="803"/>
      <c r="I46" s="69"/>
      <c r="J46" s="801"/>
      <c r="K46" s="802"/>
      <c r="L46" s="802"/>
      <c r="M46" s="802"/>
      <c r="N46" s="802"/>
      <c r="O46" s="802"/>
      <c r="P46" s="803"/>
      <c r="Q46" s="239"/>
    </row>
    <row r="47" spans="1:25" ht="3" customHeight="1" x14ac:dyDescent="0.25">
      <c r="A47" s="245"/>
      <c r="B47" s="68"/>
      <c r="C47" s="68"/>
      <c r="D47" s="68"/>
      <c r="H47" s="68"/>
      <c r="J47" s="68"/>
      <c r="Q47" s="239"/>
    </row>
    <row r="48" spans="1:25" x14ac:dyDescent="0.25">
      <c r="A48" s="245"/>
      <c r="B48" s="715" t="s">
        <v>161</v>
      </c>
      <c r="C48" s="715"/>
      <c r="D48" s="715"/>
      <c r="E48" s="715"/>
      <c r="F48" s="715"/>
      <c r="G48" s="715"/>
      <c r="H48" s="715"/>
      <c r="I48" s="244"/>
      <c r="J48" s="715" t="s">
        <v>480</v>
      </c>
      <c r="K48" s="715"/>
      <c r="L48" s="715"/>
      <c r="M48" s="715"/>
      <c r="N48" s="715"/>
      <c r="O48" s="715"/>
      <c r="P48" s="715"/>
      <c r="Q48" s="239"/>
      <c r="S48" s="765" t="s">
        <v>161</v>
      </c>
      <c r="T48" s="765"/>
      <c r="V48" s="61" t="str">
        <f>CONCATENATE(IF(B50&lt;&gt;0,B50,""),IF(B52&lt;&gt;0,CONCATENATE(", ",B52),""),IF(B54&lt;&gt;0,CONCATENATE(", ",B54),""),IF(B56&lt;&gt;0,CONCATENATE(", ",B56),""),IF(B58&lt;&gt;0,CONCATENATE(", ",B58),""))</f>
        <v/>
      </c>
    </row>
    <row r="49" spans="1:17" s="68" customFormat="1" ht="3" customHeight="1" thickBot="1" x14ac:dyDescent="0.3">
      <c r="A49" s="245"/>
      <c r="B49" s="69"/>
      <c r="C49" s="69"/>
      <c r="D49" s="69"/>
      <c r="E49" s="69"/>
      <c r="F49" s="69"/>
      <c r="G49" s="69"/>
      <c r="H49" s="69"/>
      <c r="I49" s="69"/>
      <c r="J49" s="69"/>
      <c r="K49" s="69"/>
      <c r="L49" s="69"/>
      <c r="M49" s="69"/>
      <c r="N49" s="69"/>
      <c r="O49" s="69"/>
      <c r="P49" s="69"/>
      <c r="Q49" s="239"/>
    </row>
    <row r="50" spans="1:17" s="68" customFormat="1" ht="15.75" thickBot="1" x14ac:dyDescent="0.3">
      <c r="A50" s="245"/>
      <c r="B50" s="801"/>
      <c r="C50" s="802"/>
      <c r="D50" s="802"/>
      <c r="E50" s="802"/>
      <c r="F50" s="802"/>
      <c r="G50" s="802"/>
      <c r="H50" s="803"/>
      <c r="I50" s="69"/>
      <c r="J50" s="816"/>
      <c r="K50" s="817"/>
      <c r="L50" s="817"/>
      <c r="M50" s="817"/>
      <c r="N50" s="817"/>
      <c r="O50" s="817"/>
      <c r="P50" s="818"/>
      <c r="Q50" s="239"/>
    </row>
    <row r="51" spans="1:17" s="68" customFormat="1" ht="3" customHeight="1" thickBot="1" x14ac:dyDescent="0.3">
      <c r="A51" s="245"/>
      <c r="B51" s="69"/>
      <c r="C51" s="69"/>
      <c r="D51" s="69"/>
      <c r="E51" s="69"/>
      <c r="F51" s="69"/>
      <c r="G51" s="69"/>
      <c r="H51" s="69"/>
      <c r="I51" s="69"/>
      <c r="J51" s="819"/>
      <c r="K51" s="820"/>
      <c r="L51" s="820"/>
      <c r="M51" s="820"/>
      <c r="N51" s="820"/>
      <c r="O51" s="820"/>
      <c r="P51" s="821"/>
      <c r="Q51" s="239"/>
    </row>
    <row r="52" spans="1:17" s="68" customFormat="1" ht="15.75" thickBot="1" x14ac:dyDescent="0.3">
      <c r="A52" s="245"/>
      <c r="B52" s="801"/>
      <c r="C52" s="802"/>
      <c r="D52" s="802"/>
      <c r="E52" s="802"/>
      <c r="F52" s="802"/>
      <c r="G52" s="802"/>
      <c r="H52" s="803"/>
      <c r="I52" s="69"/>
      <c r="J52" s="819"/>
      <c r="K52" s="820"/>
      <c r="L52" s="820"/>
      <c r="M52" s="820"/>
      <c r="N52" s="820"/>
      <c r="O52" s="820"/>
      <c r="P52" s="821"/>
      <c r="Q52" s="239"/>
    </row>
    <row r="53" spans="1:17" s="68" customFormat="1" ht="3" customHeight="1" thickBot="1" x14ac:dyDescent="0.3">
      <c r="A53" s="245"/>
      <c r="B53" s="69"/>
      <c r="C53" s="69"/>
      <c r="D53" s="69"/>
      <c r="E53" s="69"/>
      <c r="F53" s="69"/>
      <c r="G53" s="69"/>
      <c r="H53" s="69"/>
      <c r="I53" s="69"/>
      <c r="J53" s="819"/>
      <c r="K53" s="820"/>
      <c r="L53" s="820"/>
      <c r="M53" s="820"/>
      <c r="N53" s="820"/>
      <c r="O53" s="820"/>
      <c r="P53" s="821"/>
      <c r="Q53" s="239"/>
    </row>
    <row r="54" spans="1:17" s="68" customFormat="1" ht="15.75" thickBot="1" x14ac:dyDescent="0.3">
      <c r="A54" s="245"/>
      <c r="B54" s="801"/>
      <c r="C54" s="802"/>
      <c r="D54" s="802"/>
      <c r="E54" s="802"/>
      <c r="F54" s="802"/>
      <c r="G54" s="802"/>
      <c r="H54" s="803"/>
      <c r="I54" s="69"/>
      <c r="J54" s="819"/>
      <c r="K54" s="820"/>
      <c r="L54" s="820"/>
      <c r="M54" s="820"/>
      <c r="N54" s="820"/>
      <c r="O54" s="820"/>
      <c r="P54" s="821"/>
      <c r="Q54" s="239"/>
    </row>
    <row r="55" spans="1:17" s="68" customFormat="1" ht="3" customHeight="1" thickBot="1" x14ac:dyDescent="0.3">
      <c r="A55" s="245"/>
      <c r="B55" s="72"/>
      <c r="C55" s="72"/>
      <c r="D55" s="72"/>
      <c r="E55" s="72"/>
      <c r="F55" s="72"/>
      <c r="G55" s="72"/>
      <c r="H55" s="72"/>
      <c r="I55" s="69"/>
      <c r="J55" s="819"/>
      <c r="K55" s="820"/>
      <c r="L55" s="820"/>
      <c r="M55" s="820"/>
      <c r="N55" s="820"/>
      <c r="O55" s="820"/>
      <c r="P55" s="821"/>
      <c r="Q55" s="239"/>
    </row>
    <row r="56" spans="1:17" s="68" customFormat="1" ht="15.75" thickBot="1" x14ac:dyDescent="0.3">
      <c r="A56" s="245"/>
      <c r="B56" s="801"/>
      <c r="C56" s="802"/>
      <c r="D56" s="802"/>
      <c r="E56" s="802"/>
      <c r="F56" s="802"/>
      <c r="G56" s="802"/>
      <c r="H56" s="803"/>
      <c r="I56" s="69"/>
      <c r="J56" s="819"/>
      <c r="K56" s="820"/>
      <c r="L56" s="820"/>
      <c r="M56" s="820"/>
      <c r="N56" s="820"/>
      <c r="O56" s="820"/>
      <c r="P56" s="821"/>
      <c r="Q56" s="239"/>
    </row>
    <row r="57" spans="1:17" s="68" customFormat="1" ht="3" customHeight="1" thickBot="1" x14ac:dyDescent="0.3">
      <c r="A57" s="245"/>
      <c r="B57" s="72"/>
      <c r="C57" s="72"/>
      <c r="D57" s="72"/>
      <c r="E57" s="72"/>
      <c r="F57" s="72"/>
      <c r="G57" s="72"/>
      <c r="H57" s="72"/>
      <c r="I57" s="69"/>
      <c r="J57" s="819"/>
      <c r="K57" s="820"/>
      <c r="L57" s="820"/>
      <c r="M57" s="820"/>
      <c r="N57" s="820"/>
      <c r="O57" s="820"/>
      <c r="P57" s="821"/>
      <c r="Q57" s="239"/>
    </row>
    <row r="58" spans="1:17" s="68" customFormat="1" ht="15.75" thickBot="1" x14ac:dyDescent="0.3">
      <c r="A58" s="245"/>
      <c r="B58" s="801"/>
      <c r="C58" s="802"/>
      <c r="D58" s="802"/>
      <c r="E58" s="802"/>
      <c r="F58" s="802"/>
      <c r="G58" s="802"/>
      <c r="H58" s="803"/>
      <c r="I58" s="69"/>
      <c r="J58" s="822"/>
      <c r="K58" s="823"/>
      <c r="L58" s="823"/>
      <c r="M58" s="823"/>
      <c r="N58" s="823"/>
      <c r="O58" s="823"/>
      <c r="P58" s="824"/>
      <c r="Q58" s="239"/>
    </row>
    <row r="59" spans="1:17" ht="3" customHeight="1" thickBot="1" x14ac:dyDescent="0.3">
      <c r="A59" s="246"/>
      <c r="B59" s="247"/>
      <c r="C59" s="247"/>
      <c r="D59" s="247"/>
      <c r="E59" s="247"/>
      <c r="F59" s="247"/>
      <c r="G59" s="247"/>
      <c r="H59" s="247"/>
      <c r="I59" s="247"/>
      <c r="J59" s="247"/>
      <c r="K59" s="247"/>
      <c r="L59" s="247"/>
      <c r="M59" s="247"/>
      <c r="N59" s="247"/>
      <c r="O59" s="247"/>
      <c r="P59" s="247"/>
      <c r="Q59" s="240"/>
    </row>
    <row r="60" spans="1:17" x14ac:dyDescent="0.25">
      <c r="A60" s="68"/>
      <c r="B60" s="68"/>
      <c r="C60" s="68"/>
      <c r="D60" s="68"/>
      <c r="H60" s="68"/>
      <c r="J60" s="68"/>
    </row>
    <row r="61" spans="1:17" hidden="1" x14ac:dyDescent="0.25">
      <c r="B61" s="68"/>
    </row>
    <row r="62" spans="1:17" ht="15" hidden="1" customHeight="1" x14ac:dyDescent="0.25">
      <c r="B62" s="800" t="s">
        <v>56</v>
      </c>
      <c r="C62" s="800"/>
      <c r="D62" s="800"/>
      <c r="F62" s="262" t="s">
        <v>367</v>
      </c>
      <c r="H62" s="263" t="s">
        <v>218</v>
      </c>
      <c r="J62" s="263" t="s">
        <v>219</v>
      </c>
      <c r="L62" s="262" t="s">
        <v>582</v>
      </c>
      <c r="N62" s="262" t="s">
        <v>583</v>
      </c>
      <c r="P62" s="264" t="s">
        <v>588</v>
      </c>
    </row>
    <row r="63" spans="1:17" ht="15" hidden="1" customHeight="1" x14ac:dyDescent="0.25">
      <c r="B63" s="796" t="s">
        <v>194</v>
      </c>
      <c r="C63" s="796"/>
      <c r="D63" s="796"/>
      <c r="E63" s="298"/>
      <c r="F63" s="67">
        <f>IF(COUNTIF(J38:J46,"Healing Potions")&lt;1,0,1)</f>
        <v>0</v>
      </c>
      <c r="G63" s="298"/>
      <c r="H63" s="366"/>
      <c r="I63" s="367"/>
      <c r="J63" s="366"/>
      <c r="K63" s="298"/>
      <c r="L63" s="377">
        <v>3</v>
      </c>
      <c r="M63" s="298"/>
      <c r="N63" s="67">
        <f>IF($L63*$F$73&lt;1,1,ROUNDDOWN($L63*$F$73,0))</f>
        <v>3</v>
      </c>
      <c r="O63" s="298"/>
      <c r="P63" s="368"/>
      <c r="Q63" s="298"/>
    </row>
    <row r="64" spans="1:17" ht="15" hidden="1" customHeight="1" x14ac:dyDescent="0.25">
      <c r="B64" s="826" t="s">
        <v>580</v>
      </c>
      <c r="C64" s="826"/>
      <c r="D64" s="826"/>
      <c r="F64" s="67">
        <f>IF(COUNTIF(J38:J46,"Improved Armor (Masterwork)")&lt;1,0,1)</f>
        <v>0</v>
      </c>
      <c r="H64" s="145">
        <v>1</v>
      </c>
      <c r="J64" s="145"/>
      <c r="L64" s="67">
        <v>1</v>
      </c>
      <c r="N64" s="67">
        <f t="shared" ref="N64:N70" si="0">IF($L64*$F$73&lt;1,1,ROUNDDOWN($L64*$F$73,0))</f>
        <v>1</v>
      </c>
      <c r="P64" s="67"/>
    </row>
    <row r="65" spans="2:16" ht="15" hidden="1" customHeight="1" x14ac:dyDescent="0.25">
      <c r="B65" s="826" t="s">
        <v>193</v>
      </c>
      <c r="C65" s="826"/>
      <c r="D65" s="826"/>
      <c r="F65" s="67">
        <f>IF(COUNTIF(J38:J46,"Improved Armor (Magic)")&lt;1,0,1)</f>
        <v>0</v>
      </c>
      <c r="H65" s="145">
        <v>2</v>
      </c>
      <c r="J65" s="145"/>
      <c r="L65" s="67">
        <v>2</v>
      </c>
      <c r="N65" s="67">
        <f t="shared" si="0"/>
        <v>2</v>
      </c>
      <c r="P65" s="67"/>
    </row>
    <row r="66" spans="2:16" ht="15" hidden="1" customHeight="1" x14ac:dyDescent="0.25">
      <c r="B66" s="826" t="s">
        <v>581</v>
      </c>
      <c r="C66" s="826"/>
      <c r="D66" s="826"/>
      <c r="F66" s="67">
        <f>IF(COUNTIF(J38:J46,"Improved Weapons (Masterwork)")&lt;1,0,1)</f>
        <v>0</v>
      </c>
      <c r="H66" s="145"/>
      <c r="J66" s="145">
        <v>1</v>
      </c>
      <c r="L66" s="67">
        <v>1</v>
      </c>
      <c r="N66" s="67">
        <f t="shared" si="0"/>
        <v>1</v>
      </c>
      <c r="P66" s="67"/>
    </row>
    <row r="67" spans="2:16" ht="15" hidden="1" customHeight="1" x14ac:dyDescent="0.25">
      <c r="B67" s="826" t="s">
        <v>192</v>
      </c>
      <c r="C67" s="826"/>
      <c r="D67" s="826"/>
      <c r="F67" s="67">
        <f>IF(COUNTIF(J38:J46,"Improved Weapons (Magic)")&lt;1,0,1)</f>
        <v>0</v>
      </c>
      <c r="H67" s="145"/>
      <c r="J67" s="145">
        <v>2</v>
      </c>
      <c r="L67" s="67">
        <v>2</v>
      </c>
      <c r="N67" s="67">
        <f t="shared" si="0"/>
        <v>2</v>
      </c>
      <c r="P67" s="67"/>
    </row>
    <row r="68" spans="2:16" ht="15" hidden="1" customHeight="1" x14ac:dyDescent="0.25">
      <c r="B68" s="826" t="s">
        <v>486</v>
      </c>
      <c r="C68" s="826"/>
      <c r="D68" s="826"/>
      <c r="F68" s="67">
        <f>IF(COUNTIF(J38:J46,"Mounts")&lt;1,0,1)</f>
        <v>0</v>
      </c>
      <c r="H68" s="145">
        <v>2</v>
      </c>
      <c r="J68" s="145">
        <v>2</v>
      </c>
      <c r="L68" s="67">
        <v>1</v>
      </c>
      <c r="N68" s="67">
        <f t="shared" si="0"/>
        <v>1</v>
      </c>
      <c r="P68" s="67"/>
    </row>
    <row r="69" spans="2:16" ht="15" hidden="1" customHeight="1" x14ac:dyDescent="0.25">
      <c r="B69" s="826" t="s">
        <v>195</v>
      </c>
      <c r="C69" s="826"/>
      <c r="D69" s="826"/>
      <c r="F69" s="67">
        <f>IF(COUNTIF(J38:J46,"Ranged Weapons")&lt;1,0,1)</f>
        <v>0</v>
      </c>
      <c r="H69" s="145"/>
      <c r="J69" s="145"/>
      <c r="L69" s="67">
        <v>1</v>
      </c>
      <c r="N69" s="67">
        <f t="shared" si="0"/>
        <v>1</v>
      </c>
      <c r="P69" s="67">
        <v>1</v>
      </c>
    </row>
    <row r="70" spans="2:16" ht="15" hidden="1" customHeight="1" x14ac:dyDescent="0.25">
      <c r="B70" s="825" t="s">
        <v>196</v>
      </c>
      <c r="C70" s="825"/>
      <c r="D70" s="825"/>
      <c r="F70" s="67">
        <f>IF(COUNTIF(J38:J46,"Siege Weapons")&lt;1,0,1)</f>
        <v>0</v>
      </c>
      <c r="H70" s="145"/>
      <c r="J70" s="145">
        <v>2</v>
      </c>
      <c r="L70" s="67">
        <v>3</v>
      </c>
      <c r="N70" s="67">
        <f t="shared" si="0"/>
        <v>3</v>
      </c>
      <c r="P70" s="67"/>
    </row>
    <row r="71" spans="2:16" ht="15" hidden="1" customHeight="1" x14ac:dyDescent="0.25">
      <c r="B71" s="829" t="s">
        <v>585</v>
      </c>
      <c r="C71" s="829"/>
      <c r="D71" s="829"/>
      <c r="E71" s="829"/>
      <c r="F71" s="829"/>
      <c r="G71" s="265"/>
      <c r="H71" s="175">
        <f>SUMPRODUCT($F$64:$F$70,H$64:H$70)</f>
        <v>0</v>
      </c>
      <c r="I71" s="175"/>
      <c r="J71" s="175">
        <f t="shared" ref="J71:P71" si="1">SUMPRODUCT($F$64:$F$70,J$64:J$70)</f>
        <v>0</v>
      </c>
      <c r="K71" s="175"/>
      <c r="L71" s="175">
        <f t="shared" si="1"/>
        <v>0</v>
      </c>
      <c r="M71" s="175"/>
      <c r="N71" s="175">
        <f>SUMPRODUCT($F$63:$F$70,N$63:N$70)</f>
        <v>0</v>
      </c>
      <c r="O71" s="175"/>
      <c r="P71" s="175">
        <f t="shared" si="1"/>
        <v>0</v>
      </c>
    </row>
    <row r="72" spans="2:16" hidden="1" x14ac:dyDescent="0.25">
      <c r="B72" s="68"/>
      <c r="C72" s="68"/>
      <c r="D72" s="68"/>
      <c r="F72" s="67"/>
      <c r="H72" s="145"/>
      <c r="J72" s="145"/>
      <c r="L72" s="67"/>
      <c r="N72" s="67"/>
    </row>
    <row r="73" spans="2:16" ht="15" hidden="1" customHeight="1" x14ac:dyDescent="0.25">
      <c r="B73" s="827" t="s">
        <v>584</v>
      </c>
      <c r="C73" s="827"/>
      <c r="D73" s="827"/>
      <c r="F73" s="266">
        <f>IF(F4="Fine",1/8,IF(F4="Diminutive",1/6,IF(F4="Tiny",1/4,IF(F4="Small",1/2,IF(F4="Large",2,IF(F4="Huge",4,IF(F4="Gargantuan",10,IF(F4="Colossal",20,1))))))))</f>
        <v>1</v>
      </c>
      <c r="H73" s="145"/>
      <c r="I73" s="145"/>
      <c r="J73" s="145"/>
      <c r="K73" s="145"/>
      <c r="L73" s="145"/>
      <c r="M73" s="145"/>
      <c r="N73" s="145"/>
    </row>
    <row r="74" spans="2:16" hidden="1" x14ac:dyDescent="0.25">
      <c r="B74" s="68"/>
    </row>
    <row r="75" spans="2:16" ht="15" hidden="1" customHeight="1" x14ac:dyDescent="0.25">
      <c r="B75" s="800" t="s">
        <v>482</v>
      </c>
      <c r="C75" s="800"/>
      <c r="D75" s="800"/>
      <c r="F75" s="262" t="s">
        <v>367</v>
      </c>
      <c r="G75" s="262"/>
      <c r="H75" s="263" t="s">
        <v>218</v>
      </c>
      <c r="I75" s="236"/>
      <c r="J75" s="263" t="s">
        <v>160</v>
      </c>
    </row>
    <row r="76" spans="2:16" ht="15" hidden="1" customHeight="1" x14ac:dyDescent="0.25">
      <c r="B76" s="826" t="s">
        <v>534</v>
      </c>
      <c r="C76" s="826"/>
      <c r="D76" s="826"/>
      <c r="F76" s="67">
        <f>IF(COUNTIF(J24:J32,"Defensive Tactics")&lt;1,0,1)</f>
        <v>0</v>
      </c>
      <c r="G76" s="67"/>
      <c r="H76" s="145">
        <v>2</v>
      </c>
      <c r="I76" s="236"/>
      <c r="J76" s="145"/>
    </row>
    <row r="77" spans="2:16" ht="15" hidden="1" customHeight="1" x14ac:dyDescent="0.25">
      <c r="B77" s="825" t="s">
        <v>50</v>
      </c>
      <c r="C77" s="825"/>
      <c r="D77" s="825"/>
      <c r="F77" s="67">
        <f>IF(COUNTIF(J24:J32,"Loyalty")&lt;1,0,1)</f>
        <v>0</v>
      </c>
      <c r="G77" s="67"/>
      <c r="H77" s="145"/>
      <c r="I77" s="236"/>
      <c r="J77" s="145">
        <f>IF(H24&lt;12,2,4)</f>
        <v>2</v>
      </c>
    </row>
    <row r="78" spans="2:16" ht="15" hidden="1" customHeight="1" x14ac:dyDescent="0.25">
      <c r="B78" s="829" t="s">
        <v>585</v>
      </c>
      <c r="C78" s="829"/>
      <c r="D78" s="829"/>
      <c r="E78" s="829"/>
      <c r="F78" s="829"/>
      <c r="G78" s="267"/>
      <c r="H78" s="175">
        <f>SUMPRODUCT($F$76:$F$77,H$76:H$77)</f>
        <v>0</v>
      </c>
      <c r="I78" s="175"/>
      <c r="J78" s="175">
        <f>SUMPRODUCT($F$76:$F$77,J$76:J$77)</f>
        <v>0</v>
      </c>
    </row>
    <row r="79" spans="2:16" hidden="1" x14ac:dyDescent="0.25">
      <c r="B79" s="68"/>
    </row>
    <row r="80" spans="2:16" ht="15" hidden="1" customHeight="1" x14ac:dyDescent="0.25">
      <c r="B80" s="800" t="s">
        <v>161</v>
      </c>
      <c r="C80" s="800"/>
      <c r="D80" s="800"/>
      <c r="F80" s="262" t="s">
        <v>367</v>
      </c>
      <c r="H80" s="263" t="s">
        <v>219</v>
      </c>
      <c r="J80" s="263" t="s">
        <v>218</v>
      </c>
      <c r="L80" s="262" t="s">
        <v>588</v>
      </c>
    </row>
    <row r="81" spans="2:12" ht="15" hidden="1" customHeight="1" x14ac:dyDescent="0.25">
      <c r="B81" s="830" t="s">
        <v>542</v>
      </c>
      <c r="C81" s="830"/>
      <c r="D81" s="830"/>
      <c r="F81" s="67">
        <f>IF(COUNTIF(B50:B58,"Animal Companion")&lt;1,0,1)</f>
        <v>0</v>
      </c>
      <c r="H81" s="145">
        <v>1</v>
      </c>
      <c r="J81" s="145"/>
      <c r="L81" s="67"/>
    </row>
    <row r="82" spans="2:12" ht="15" hidden="1" customHeight="1" x14ac:dyDescent="0.25">
      <c r="B82" s="830" t="s">
        <v>545</v>
      </c>
      <c r="C82" s="830"/>
      <c r="D82" s="830"/>
      <c r="F82" s="67">
        <f>IF(COUNTIF(B50:B58,"Bomb")&lt;1,0,1)</f>
        <v>0</v>
      </c>
      <c r="H82" s="145"/>
      <c r="J82" s="145"/>
      <c r="L82" s="67">
        <v>1</v>
      </c>
    </row>
    <row r="83" spans="2:12" ht="15" hidden="1" customHeight="1" x14ac:dyDescent="0.25">
      <c r="B83" s="830" t="s">
        <v>197</v>
      </c>
      <c r="C83" s="830"/>
      <c r="D83" s="830"/>
      <c r="F83" s="67">
        <f>IF(COUNTIF(B50:B58,"Breath Weapon")&lt;1,0,1)</f>
        <v>0</v>
      </c>
      <c r="H83" s="145"/>
      <c r="J83" s="145"/>
      <c r="L83" s="67">
        <v>1</v>
      </c>
    </row>
    <row r="84" spans="2:12" ht="15" hidden="1" customHeight="1" x14ac:dyDescent="0.25">
      <c r="B84" s="830" t="s">
        <v>554</v>
      </c>
      <c r="C84" s="830"/>
      <c r="D84" s="830"/>
      <c r="F84" s="67">
        <f>IF(COUNTIF(B50:B58,"Eidolon")&lt;1,0,1)</f>
        <v>0</v>
      </c>
      <c r="H84" s="145">
        <v>1</v>
      </c>
      <c r="J84" s="145"/>
      <c r="L84" s="67"/>
    </row>
    <row r="85" spans="2:12" ht="15" hidden="1" customHeight="1" x14ac:dyDescent="0.25">
      <c r="B85" s="830" t="s">
        <v>587</v>
      </c>
      <c r="C85" s="830"/>
      <c r="D85" s="830"/>
      <c r="F85" s="67">
        <f>IF(COUNTIF(B50:B58,"Hunter's Bond (Animal)")&lt;1,0,1)</f>
        <v>0</v>
      </c>
      <c r="H85" s="145">
        <v>1</v>
      </c>
      <c r="J85" s="145"/>
      <c r="L85" s="67"/>
    </row>
    <row r="86" spans="2:12" ht="15" hidden="1" customHeight="1" x14ac:dyDescent="0.25">
      <c r="B86" s="830" t="s">
        <v>514</v>
      </c>
      <c r="C86" s="830"/>
      <c r="D86" s="830"/>
      <c r="F86" s="67">
        <f>IF(COUNTIF(B50:B58,"Mindless")&lt;1,0,1)</f>
        <v>0</v>
      </c>
      <c r="H86" s="145"/>
      <c r="J86" s="145"/>
      <c r="L86" s="67"/>
    </row>
    <row r="87" spans="2:12" ht="15" hidden="1" customHeight="1" x14ac:dyDescent="0.25">
      <c r="B87" s="830" t="s">
        <v>517</v>
      </c>
      <c r="C87" s="830"/>
      <c r="D87" s="830"/>
      <c r="F87" s="67">
        <f>IF(COUNTIF(B50:B58,"Pounce")&lt;1,0,1)</f>
        <v>0</v>
      </c>
      <c r="H87" s="145">
        <v>1</v>
      </c>
      <c r="J87" s="145"/>
      <c r="L87" s="67"/>
    </row>
    <row r="88" spans="2:12" ht="15" hidden="1" customHeight="1" x14ac:dyDescent="0.25">
      <c r="B88" s="830" t="s">
        <v>518</v>
      </c>
      <c r="C88" s="830"/>
      <c r="D88" s="830"/>
      <c r="F88" s="67">
        <f>IF(COUNTIF(B50:B58,"Powerful Charge")&lt;1,0,1)</f>
        <v>0</v>
      </c>
      <c r="H88" s="145">
        <v>1</v>
      </c>
      <c r="J88" s="145"/>
      <c r="L88" s="67"/>
    </row>
    <row r="89" spans="2:12" ht="15" hidden="1" customHeight="1" x14ac:dyDescent="0.25">
      <c r="B89" s="830" t="s">
        <v>571</v>
      </c>
      <c r="C89" s="830"/>
      <c r="D89" s="830"/>
      <c r="F89" s="67">
        <f>IF(COUNTIF(B50:B58,"Shield Ally")&lt;1,0,1)</f>
        <v>0</v>
      </c>
      <c r="H89" s="145"/>
      <c r="J89" s="145">
        <v>1</v>
      </c>
      <c r="L89" s="67"/>
    </row>
    <row r="90" spans="2:12" ht="15" hidden="1" customHeight="1" x14ac:dyDescent="0.25">
      <c r="B90" s="830" t="s">
        <v>526</v>
      </c>
      <c r="C90" s="830"/>
      <c r="D90" s="830"/>
      <c r="F90" s="67">
        <f>IF(COUNTIF(B50:B58,"Trample")&lt;1,0,1)</f>
        <v>0</v>
      </c>
      <c r="H90" s="145">
        <v>1</v>
      </c>
      <c r="J90" s="145"/>
      <c r="L90" s="67"/>
    </row>
    <row r="91" spans="2:12" ht="15" hidden="1" customHeight="1" x14ac:dyDescent="0.25">
      <c r="B91" s="831" t="s">
        <v>203</v>
      </c>
      <c r="C91" s="831"/>
      <c r="D91" s="831"/>
      <c r="F91" s="67">
        <f>IF(COUNTIF(B50:B58,"Undead")&lt;1,0,1)</f>
        <v>0</v>
      </c>
      <c r="H91" s="145"/>
      <c r="J91" s="145">
        <v>2</v>
      </c>
      <c r="L91" s="67"/>
    </row>
    <row r="92" spans="2:12" ht="15" hidden="1" customHeight="1" x14ac:dyDescent="0.25">
      <c r="B92" s="829" t="s">
        <v>585</v>
      </c>
      <c r="C92" s="829"/>
      <c r="D92" s="829"/>
      <c r="E92" s="829"/>
      <c r="F92" s="829"/>
      <c r="G92" s="265"/>
      <c r="H92" s="175">
        <f>SUMPRODUCT($F$81:$F$91,H$81:H$91)</f>
        <v>0</v>
      </c>
      <c r="I92" s="268"/>
      <c r="J92" s="175">
        <f>SUMPRODUCT($F$81:$F$91,J$81:J$91)</f>
        <v>0</v>
      </c>
      <c r="K92" s="268"/>
      <c r="L92" s="175">
        <f>SUMPRODUCT($F$81:$F$91,L$81:L$91)</f>
        <v>0</v>
      </c>
    </row>
    <row r="93" spans="2:12" hidden="1" x14ac:dyDescent="0.25">
      <c r="B93" s="269"/>
      <c r="C93" s="269"/>
      <c r="D93" s="269"/>
    </row>
    <row r="94" spans="2:12" ht="15" hidden="1" customHeight="1" x14ac:dyDescent="0.25">
      <c r="B94" s="800" t="s">
        <v>585</v>
      </c>
      <c r="C94" s="800"/>
      <c r="D94" s="800"/>
      <c r="E94" s="800"/>
      <c r="F94" s="800"/>
    </row>
    <row r="95" spans="2:12" ht="15" hidden="1" customHeight="1" x14ac:dyDescent="0.25">
      <c r="B95" s="827" t="s">
        <v>219</v>
      </c>
      <c r="C95" s="827"/>
      <c r="D95" s="827"/>
      <c r="F95" s="67">
        <f>J71+H92</f>
        <v>0</v>
      </c>
    </row>
    <row r="96" spans="2:12" ht="15" hidden="1" customHeight="1" x14ac:dyDescent="0.25">
      <c r="B96" s="827" t="s">
        <v>218</v>
      </c>
      <c r="C96" s="827"/>
      <c r="D96" s="827"/>
      <c r="F96" s="67">
        <f>H71+H78+J92</f>
        <v>0</v>
      </c>
    </row>
    <row r="97" spans="2:6" ht="15" hidden="1" customHeight="1" x14ac:dyDescent="0.25">
      <c r="B97" s="827" t="s">
        <v>160</v>
      </c>
      <c r="C97" s="827"/>
      <c r="D97" s="827"/>
      <c r="F97" s="67">
        <f>J78</f>
        <v>0</v>
      </c>
    </row>
    <row r="98" spans="2:6" ht="15" hidden="1" customHeight="1" x14ac:dyDescent="0.25">
      <c r="B98" s="828" t="s">
        <v>61</v>
      </c>
      <c r="C98" s="828"/>
      <c r="D98" s="828"/>
      <c r="F98" s="67">
        <f>N71</f>
        <v>0</v>
      </c>
    </row>
    <row r="99" spans="2:6" ht="15" hidden="1" customHeight="1" x14ac:dyDescent="0.25">
      <c r="B99" s="828" t="s">
        <v>588</v>
      </c>
      <c r="C99" s="828"/>
      <c r="D99" s="828"/>
      <c r="F99" s="67">
        <f>IF(P71+L92&gt;0,1,0)</f>
        <v>0</v>
      </c>
    </row>
    <row r="100" spans="2:6" ht="15" hidden="1" customHeight="1" x14ac:dyDescent="0.25">
      <c r="B100" s="827" t="s">
        <v>514</v>
      </c>
      <c r="C100" s="827"/>
      <c r="D100" s="827"/>
      <c r="F100" s="67">
        <f>F86</f>
        <v>0</v>
      </c>
    </row>
    <row r="101" spans="2:6" hidden="1" x14ac:dyDescent="0.25">
      <c r="B101" s="269"/>
      <c r="C101" s="269"/>
      <c r="D101" s="269"/>
    </row>
    <row r="102" spans="2:6" x14ac:dyDescent="0.25">
      <c r="B102" s="269"/>
      <c r="C102" s="269"/>
      <c r="D102" s="269"/>
    </row>
    <row r="103" spans="2:6" x14ac:dyDescent="0.25">
      <c r="B103" s="269"/>
      <c r="C103" s="269"/>
      <c r="D103" s="269"/>
    </row>
    <row r="104" spans="2:6" x14ac:dyDescent="0.25">
      <c r="B104" s="269"/>
      <c r="C104" s="269"/>
      <c r="D104" s="269"/>
    </row>
    <row r="105" spans="2:6" x14ac:dyDescent="0.25">
      <c r="B105" s="269"/>
      <c r="C105" s="269"/>
      <c r="D105" s="269"/>
    </row>
    <row r="106" spans="2:6" x14ac:dyDescent="0.25">
      <c r="B106" s="269"/>
      <c r="C106" s="269"/>
      <c r="D106" s="269"/>
    </row>
    <row r="107" spans="2:6" x14ac:dyDescent="0.25">
      <c r="B107" s="269"/>
      <c r="C107" s="269"/>
      <c r="D107" s="269"/>
    </row>
    <row r="108" spans="2:6" x14ac:dyDescent="0.25">
      <c r="B108" s="269"/>
      <c r="C108" s="269"/>
      <c r="D108" s="269"/>
    </row>
    <row r="109" spans="2:6" x14ac:dyDescent="0.25">
      <c r="B109" s="269"/>
      <c r="C109" s="269"/>
      <c r="D109" s="269"/>
    </row>
    <row r="110" spans="2:6" x14ac:dyDescent="0.25">
      <c r="B110" s="269"/>
      <c r="C110" s="269"/>
      <c r="D110" s="269"/>
    </row>
    <row r="111" spans="2:6" x14ac:dyDescent="0.25">
      <c r="B111" s="269"/>
      <c r="C111" s="269"/>
      <c r="D111" s="269"/>
    </row>
    <row r="112" spans="2:6" x14ac:dyDescent="0.25">
      <c r="B112" s="269"/>
      <c r="C112" s="269"/>
      <c r="D112" s="269"/>
    </row>
    <row r="113" spans="2:4" x14ac:dyDescent="0.25">
      <c r="B113" s="269"/>
      <c r="C113" s="269"/>
      <c r="D113" s="269"/>
    </row>
    <row r="114" spans="2:4" x14ac:dyDescent="0.25">
      <c r="B114" s="269"/>
      <c r="C114" s="269"/>
      <c r="D114" s="269"/>
    </row>
    <row r="115" spans="2:4" x14ac:dyDescent="0.25">
      <c r="B115" s="269"/>
      <c r="C115" s="269"/>
      <c r="D115" s="269"/>
    </row>
    <row r="116" spans="2:4" x14ac:dyDescent="0.25">
      <c r="B116" s="269"/>
      <c r="C116" s="269"/>
      <c r="D116" s="269"/>
    </row>
    <row r="117" spans="2:4" x14ac:dyDescent="0.25">
      <c r="B117" s="269"/>
      <c r="C117" s="269"/>
      <c r="D117" s="269"/>
    </row>
    <row r="118" spans="2:4" x14ac:dyDescent="0.25">
      <c r="B118" s="269"/>
      <c r="C118" s="269"/>
      <c r="D118" s="269"/>
    </row>
    <row r="119" spans="2:4" x14ac:dyDescent="0.25">
      <c r="B119" s="269"/>
      <c r="C119" s="269"/>
      <c r="D119" s="269"/>
    </row>
    <row r="120" spans="2:4" x14ac:dyDescent="0.25">
      <c r="B120" s="269"/>
      <c r="C120" s="269"/>
      <c r="D120" s="269"/>
    </row>
    <row r="121" spans="2:4" x14ac:dyDescent="0.25">
      <c r="B121" s="269"/>
      <c r="C121" s="269"/>
      <c r="D121" s="269"/>
    </row>
    <row r="122" spans="2:4" x14ac:dyDescent="0.25">
      <c r="B122" s="269"/>
      <c r="C122" s="269"/>
      <c r="D122" s="269"/>
    </row>
    <row r="123" spans="2:4" x14ac:dyDescent="0.25">
      <c r="B123" s="269"/>
      <c r="C123" s="269"/>
      <c r="D123" s="269"/>
    </row>
    <row r="124" spans="2:4" x14ac:dyDescent="0.25">
      <c r="B124" s="269"/>
      <c r="C124" s="269"/>
      <c r="D124" s="269"/>
    </row>
    <row r="125" spans="2:4" x14ac:dyDescent="0.25">
      <c r="B125" s="269"/>
      <c r="C125" s="269"/>
      <c r="D125" s="269"/>
    </row>
    <row r="126" spans="2:4" x14ac:dyDescent="0.25">
      <c r="B126" s="269"/>
      <c r="C126" s="269"/>
      <c r="D126" s="269"/>
    </row>
    <row r="127" spans="2:4" x14ac:dyDescent="0.25">
      <c r="B127" s="269"/>
      <c r="C127" s="269"/>
      <c r="D127" s="269"/>
    </row>
    <row r="128" spans="2:4" x14ac:dyDescent="0.25">
      <c r="B128" s="269"/>
      <c r="C128" s="269"/>
      <c r="D128" s="269"/>
    </row>
    <row r="129" spans="2:4" x14ac:dyDescent="0.25">
      <c r="B129" s="269"/>
      <c r="C129" s="269"/>
      <c r="D129" s="269"/>
    </row>
    <row r="130" spans="2:4" x14ac:dyDescent="0.25">
      <c r="B130" s="269"/>
      <c r="C130" s="269"/>
      <c r="D130" s="269"/>
    </row>
    <row r="131" spans="2:4" x14ac:dyDescent="0.25">
      <c r="B131" s="269"/>
      <c r="C131" s="269"/>
      <c r="D131" s="269"/>
    </row>
    <row r="132" spans="2:4" x14ac:dyDescent="0.25">
      <c r="B132" s="269"/>
      <c r="C132" s="269"/>
      <c r="D132" s="269"/>
    </row>
    <row r="133" spans="2:4" x14ac:dyDescent="0.25">
      <c r="B133" s="269"/>
      <c r="C133" s="269"/>
      <c r="D133" s="269"/>
    </row>
    <row r="134" spans="2:4" x14ac:dyDescent="0.25">
      <c r="B134" s="269"/>
      <c r="C134" s="269"/>
      <c r="D134" s="269"/>
    </row>
    <row r="135" spans="2:4" x14ac:dyDescent="0.25">
      <c r="B135" s="269"/>
      <c r="C135" s="269"/>
      <c r="D135" s="269"/>
    </row>
    <row r="136" spans="2:4" x14ac:dyDescent="0.25">
      <c r="B136" s="269"/>
      <c r="C136" s="269"/>
      <c r="D136" s="269"/>
    </row>
    <row r="137" spans="2:4" x14ac:dyDescent="0.25">
      <c r="B137" s="269"/>
      <c r="C137" s="269"/>
      <c r="D137" s="269"/>
    </row>
    <row r="138" spans="2:4" x14ac:dyDescent="0.25">
      <c r="B138" s="269"/>
      <c r="C138" s="269"/>
      <c r="D138" s="269"/>
    </row>
    <row r="139" spans="2:4" x14ac:dyDescent="0.25">
      <c r="B139" s="269"/>
      <c r="C139" s="269"/>
      <c r="D139" s="269"/>
    </row>
    <row r="140" spans="2:4" x14ac:dyDescent="0.25">
      <c r="B140" s="269"/>
      <c r="C140" s="269"/>
      <c r="D140" s="269"/>
    </row>
    <row r="141" spans="2:4" x14ac:dyDescent="0.25">
      <c r="B141" s="269"/>
      <c r="C141" s="269"/>
      <c r="D141" s="269"/>
    </row>
    <row r="142" spans="2:4" x14ac:dyDescent="0.25">
      <c r="B142" s="269"/>
      <c r="C142" s="269"/>
      <c r="D142" s="269"/>
    </row>
    <row r="143" spans="2:4" x14ac:dyDescent="0.25">
      <c r="B143" s="269"/>
      <c r="C143" s="269"/>
      <c r="D143" s="269"/>
    </row>
    <row r="144" spans="2:4" x14ac:dyDescent="0.25">
      <c r="B144" s="269"/>
      <c r="C144" s="269"/>
      <c r="D144" s="269"/>
    </row>
    <row r="145" spans="2:4" x14ac:dyDescent="0.25">
      <c r="B145" s="269"/>
      <c r="C145" s="269"/>
      <c r="D145" s="269"/>
    </row>
    <row r="146" spans="2:4" x14ac:dyDescent="0.25">
      <c r="B146" s="269"/>
      <c r="C146" s="269"/>
      <c r="D146" s="269"/>
    </row>
    <row r="147" spans="2:4" x14ac:dyDescent="0.25">
      <c r="B147" s="269"/>
      <c r="C147" s="269"/>
      <c r="D147" s="269"/>
    </row>
    <row r="148" spans="2:4" x14ac:dyDescent="0.25">
      <c r="B148" s="269"/>
      <c r="C148" s="269"/>
      <c r="D148" s="269"/>
    </row>
    <row r="149" spans="2:4" x14ac:dyDescent="0.25">
      <c r="B149" s="269"/>
      <c r="C149" s="269"/>
      <c r="D149" s="269"/>
    </row>
    <row r="150" spans="2:4" x14ac:dyDescent="0.25">
      <c r="B150" s="269"/>
      <c r="C150" s="269"/>
      <c r="D150" s="269"/>
    </row>
    <row r="151" spans="2:4" x14ac:dyDescent="0.25">
      <c r="B151" s="269"/>
      <c r="C151" s="269"/>
      <c r="D151" s="269"/>
    </row>
    <row r="152" spans="2:4" x14ac:dyDescent="0.25">
      <c r="B152" s="269"/>
      <c r="C152" s="269"/>
      <c r="D152" s="269"/>
    </row>
    <row r="153" spans="2:4" x14ac:dyDescent="0.25">
      <c r="B153" s="269"/>
      <c r="C153" s="269"/>
      <c r="D153" s="269"/>
    </row>
    <row r="154" spans="2:4" x14ac:dyDescent="0.25">
      <c r="B154" s="269"/>
      <c r="C154" s="269"/>
      <c r="D154" s="269"/>
    </row>
    <row r="155" spans="2:4" x14ac:dyDescent="0.25">
      <c r="B155" s="269"/>
      <c r="C155" s="269"/>
      <c r="D155" s="269"/>
    </row>
    <row r="156" spans="2:4" x14ac:dyDescent="0.25">
      <c r="B156" s="269"/>
      <c r="C156" s="269"/>
      <c r="D156" s="269"/>
    </row>
    <row r="157" spans="2:4" x14ac:dyDescent="0.25">
      <c r="B157" s="269"/>
      <c r="C157" s="269"/>
      <c r="D157" s="269"/>
    </row>
    <row r="158" spans="2:4" x14ac:dyDescent="0.25">
      <c r="B158" s="269"/>
      <c r="C158" s="269"/>
      <c r="D158" s="269"/>
    </row>
    <row r="159" spans="2:4" x14ac:dyDescent="0.25">
      <c r="B159" s="269"/>
      <c r="C159" s="269"/>
      <c r="D159" s="269"/>
    </row>
    <row r="160" spans="2:4" x14ac:dyDescent="0.25">
      <c r="B160" s="269"/>
      <c r="C160" s="269"/>
      <c r="D160" s="269"/>
    </row>
    <row r="161" spans="2:4" x14ac:dyDescent="0.25">
      <c r="B161" s="269"/>
      <c r="C161" s="269"/>
      <c r="D161" s="269"/>
    </row>
    <row r="162" spans="2:4" x14ac:dyDescent="0.25">
      <c r="B162" s="269"/>
      <c r="C162" s="269"/>
      <c r="D162" s="269"/>
    </row>
    <row r="163" spans="2:4" x14ac:dyDescent="0.25">
      <c r="B163" s="269"/>
      <c r="C163" s="269"/>
      <c r="D163" s="269"/>
    </row>
    <row r="164" spans="2:4" x14ac:dyDescent="0.25">
      <c r="B164" s="269"/>
      <c r="C164" s="269"/>
      <c r="D164" s="269"/>
    </row>
    <row r="165" spans="2:4" x14ac:dyDescent="0.25">
      <c r="B165" s="269"/>
      <c r="C165" s="269"/>
      <c r="D165" s="269"/>
    </row>
    <row r="166" spans="2:4" x14ac:dyDescent="0.25">
      <c r="B166" s="269"/>
      <c r="C166" s="269"/>
      <c r="D166" s="269"/>
    </row>
    <row r="167" spans="2:4" x14ac:dyDescent="0.25">
      <c r="B167" s="269"/>
      <c r="C167" s="269"/>
      <c r="D167" s="269"/>
    </row>
    <row r="168" spans="2:4" x14ac:dyDescent="0.25">
      <c r="B168" s="269"/>
      <c r="C168" s="269"/>
      <c r="D168" s="269"/>
    </row>
    <row r="169" spans="2:4" x14ac:dyDescent="0.25">
      <c r="B169" s="269"/>
      <c r="C169" s="269"/>
      <c r="D169" s="269"/>
    </row>
    <row r="170" spans="2:4" x14ac:dyDescent="0.25">
      <c r="B170" s="269"/>
      <c r="C170" s="269"/>
      <c r="D170" s="269"/>
    </row>
    <row r="171" spans="2:4" x14ac:dyDescent="0.25">
      <c r="B171" s="269"/>
      <c r="C171" s="269"/>
      <c r="D171" s="269"/>
    </row>
    <row r="172" spans="2:4" x14ac:dyDescent="0.25">
      <c r="B172" s="269"/>
      <c r="C172" s="269"/>
      <c r="D172" s="269"/>
    </row>
    <row r="173" spans="2:4" x14ac:dyDescent="0.25">
      <c r="B173" s="269"/>
      <c r="C173" s="269"/>
      <c r="D173" s="269"/>
    </row>
    <row r="174" spans="2:4" x14ac:dyDescent="0.25">
      <c r="B174" s="269"/>
      <c r="C174" s="269"/>
      <c r="D174" s="269"/>
    </row>
    <row r="175" spans="2:4" x14ac:dyDescent="0.25">
      <c r="B175" s="269"/>
      <c r="C175" s="269"/>
      <c r="D175" s="269"/>
    </row>
    <row r="176" spans="2:4" x14ac:dyDescent="0.25">
      <c r="B176" s="269"/>
      <c r="C176" s="269"/>
      <c r="D176" s="269"/>
    </row>
    <row r="177" spans="2:4" x14ac:dyDescent="0.25">
      <c r="B177" s="269"/>
      <c r="C177" s="269"/>
      <c r="D177" s="269"/>
    </row>
    <row r="178" spans="2:4" x14ac:dyDescent="0.25">
      <c r="B178" s="269"/>
      <c r="C178" s="269"/>
      <c r="D178" s="269"/>
    </row>
  </sheetData>
  <sheetProtection sheet="1" objects="1" scenarios="1" selectLockedCells="1"/>
  <mergeCells count="100">
    <mergeCell ref="S48:T48"/>
    <mergeCell ref="S36:T36"/>
    <mergeCell ref="S38:T38"/>
    <mergeCell ref="S22:T22"/>
    <mergeCell ref="B71:F71"/>
    <mergeCell ref="B62:D62"/>
    <mergeCell ref="B69:D69"/>
    <mergeCell ref="B68:D68"/>
    <mergeCell ref="B66:D66"/>
    <mergeCell ref="B64:D64"/>
    <mergeCell ref="B67:D67"/>
    <mergeCell ref="B65:D65"/>
    <mergeCell ref="B40:H40"/>
    <mergeCell ref="J38:P38"/>
    <mergeCell ref="J40:P40"/>
    <mergeCell ref="B38:H38"/>
    <mergeCell ref="B78:F78"/>
    <mergeCell ref="B92:F92"/>
    <mergeCell ref="B94:F94"/>
    <mergeCell ref="B81:D81"/>
    <mergeCell ref="B80:D80"/>
    <mergeCell ref="B86:D86"/>
    <mergeCell ref="B85:D85"/>
    <mergeCell ref="B84:D84"/>
    <mergeCell ref="B83:D83"/>
    <mergeCell ref="B82:D82"/>
    <mergeCell ref="B91:D91"/>
    <mergeCell ref="B90:D90"/>
    <mergeCell ref="B89:D89"/>
    <mergeCell ref="B88:D88"/>
    <mergeCell ref="B87:D87"/>
    <mergeCell ref="B96:D96"/>
    <mergeCell ref="B95:D95"/>
    <mergeCell ref="B100:D100"/>
    <mergeCell ref="B99:D99"/>
    <mergeCell ref="B97:D97"/>
    <mergeCell ref="B98:D98"/>
    <mergeCell ref="B77:D77"/>
    <mergeCell ref="B76:D76"/>
    <mergeCell ref="B73:D73"/>
    <mergeCell ref="B75:D75"/>
    <mergeCell ref="B70:D70"/>
    <mergeCell ref="B34:P34"/>
    <mergeCell ref="B44:H44"/>
    <mergeCell ref="B32:F32"/>
    <mergeCell ref="J32:P32"/>
    <mergeCell ref="S18:T18"/>
    <mergeCell ref="J18:N18"/>
    <mergeCell ref="B18:D18"/>
    <mergeCell ref="B42:H42"/>
    <mergeCell ref="J42:P42"/>
    <mergeCell ref="J44:P44"/>
    <mergeCell ref="B36:H36"/>
    <mergeCell ref="J36:P36"/>
    <mergeCell ref="B30:F30"/>
    <mergeCell ref="J24:P24"/>
    <mergeCell ref="J26:P26"/>
    <mergeCell ref="J28:P28"/>
    <mergeCell ref="B54:H54"/>
    <mergeCell ref="B46:H46"/>
    <mergeCell ref="J46:P46"/>
    <mergeCell ref="J50:P58"/>
    <mergeCell ref="B48:H48"/>
    <mergeCell ref="J48:P48"/>
    <mergeCell ref="B50:H50"/>
    <mergeCell ref="B52:H52"/>
    <mergeCell ref="B56:H56"/>
    <mergeCell ref="B58:H58"/>
    <mergeCell ref="S4:T4"/>
    <mergeCell ref="F8:H8"/>
    <mergeCell ref="F10:H10"/>
    <mergeCell ref="B6:H6"/>
    <mergeCell ref="J6:P6"/>
    <mergeCell ref="L4:N4"/>
    <mergeCell ref="J10:L10"/>
    <mergeCell ref="F4:J4"/>
    <mergeCell ref="N8:P8"/>
    <mergeCell ref="N10:P10"/>
    <mergeCell ref="J8:L8"/>
    <mergeCell ref="D22:H22"/>
    <mergeCell ref="B20:P20"/>
    <mergeCell ref="B14:P14"/>
    <mergeCell ref="J12:L12"/>
    <mergeCell ref="N12:P12"/>
    <mergeCell ref="B63:D63"/>
    <mergeCell ref="F2:L2"/>
    <mergeCell ref="B2:D2"/>
    <mergeCell ref="B4:D4"/>
    <mergeCell ref="B8:D8"/>
    <mergeCell ref="B10:D10"/>
    <mergeCell ref="J30:P30"/>
    <mergeCell ref="B26:F26"/>
    <mergeCell ref="B24:F24"/>
    <mergeCell ref="B28:F28"/>
    <mergeCell ref="B12:D12"/>
    <mergeCell ref="J22:P22"/>
    <mergeCell ref="F12:H12"/>
    <mergeCell ref="F16:L16"/>
    <mergeCell ref="F18:H18"/>
    <mergeCell ref="B16:D16"/>
  </mergeCells>
  <dataValidations count="10">
    <dataValidation type="list" allowBlank="1" showInputMessage="1" showErrorMessage="1" sqref="J45:P45 J38:P38 J40:P40 J42:P42 J44:P44 J46:P46">
      <formula1>Resources</formula1>
    </dataValidation>
    <dataValidation type="list" allowBlank="1" showInputMessage="1" showErrorMessage="1" sqref="B45:H45 B38:H38 B40:H40 B42:H42 B44:H44 B46:H46">
      <formula1>Tactics</formula1>
    </dataValidation>
    <dataValidation type="list" allowBlank="1" showInputMessage="1" showErrorMessage="1" sqref="P17 O18">
      <formula1>HD</formula1>
    </dataValidation>
    <dataValidation type="list" allowBlank="1" showInputMessage="1" showErrorMessage="1" sqref="H32">
      <formula1>YN</formula1>
    </dataValidation>
    <dataValidation type="list" allowBlank="1" showInputMessage="1" showErrorMessage="1" sqref="P18">
      <formula1>HD</formula1>
    </dataValidation>
    <dataValidation type="list" allowBlank="1" showInputMessage="1" showErrorMessage="1" sqref="P4">
      <formula1>YN</formula1>
    </dataValidation>
    <dataValidation type="list" allowBlank="1" showInputMessage="1" showErrorMessage="1" sqref="F4:J4">
      <formula1>ArmySize</formula1>
    </dataValidation>
    <dataValidation type="list" allowBlank="1" showInputMessage="1" showErrorMessage="1" sqref="N12:P12">
      <formula1>Morale</formula1>
    </dataValidation>
    <dataValidation type="list" allowBlank="1" showInputMessage="1" showErrorMessage="1" sqref="J24:P24 J26:P26 J28:P28 J30:P30 J32:P32">
      <formula1>Boons</formula1>
    </dataValidation>
    <dataValidation type="list" allowBlank="1" showInputMessage="1" showErrorMessage="1" sqref="B50:H50 B52:H52 B54:H54 B56:H56 B58:H58">
      <formula1>ArmySA</formula1>
    </dataValidation>
  </dataValidation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Y178"/>
  <sheetViews>
    <sheetView topLeftCell="A2" workbookViewId="0">
      <selection activeCell="F2" sqref="A1:XFD1048576"/>
    </sheetView>
  </sheetViews>
  <sheetFormatPr defaultColWidth="9.140625" defaultRowHeight="15" x14ac:dyDescent="0.25"/>
  <cols>
    <col min="1" max="1" width="0.85546875" style="61" customWidth="1"/>
    <col min="2" max="2" width="9.85546875" style="61" customWidth="1"/>
    <col min="3" max="3" width="0.85546875" style="61" customWidth="1"/>
    <col min="4" max="4" width="9.7109375" style="61" customWidth="1"/>
    <col min="5" max="5" width="0.85546875" style="298" customWidth="1"/>
    <col min="6" max="6" width="6.28515625" style="298" customWidth="1"/>
    <col min="7" max="7" width="0.85546875" style="298" customWidth="1"/>
    <col min="8" max="8" width="6.28515625" style="61" customWidth="1"/>
    <col min="9" max="9" width="0.85546875" style="664" customWidth="1"/>
    <col min="10" max="10" width="9.85546875" style="61" customWidth="1"/>
    <col min="11" max="11" width="0.85546875" style="298" customWidth="1"/>
    <col min="12" max="12" width="9.7109375" style="298" customWidth="1"/>
    <col min="13" max="13" width="0.85546875" style="298" customWidth="1"/>
    <col min="14" max="14" width="6.28515625" style="298" bestFit="1" customWidth="1"/>
    <col min="15" max="15" width="0.85546875" style="298" customWidth="1"/>
    <col min="16" max="16" width="6.28515625" style="298" bestFit="1" customWidth="1"/>
    <col min="17" max="17" width="0.85546875" style="298" customWidth="1"/>
    <col min="18" max="18" width="9.140625" style="61"/>
    <col min="19" max="20" width="9.85546875" style="61" hidden="1" customWidth="1"/>
    <col min="21" max="21" width="0.85546875" style="61" hidden="1" customWidth="1"/>
    <col min="22" max="22" width="9.140625" style="61" hidden="1" customWidth="1"/>
    <col min="23" max="16384" width="9.140625" style="61"/>
  </cols>
  <sheetData>
    <row r="1" spans="1:22" ht="5.0999999999999996" customHeight="1" thickBot="1" x14ac:dyDescent="0.3">
      <c r="A1" s="241"/>
      <c r="B1" s="242"/>
      <c r="C1" s="242"/>
      <c r="D1" s="242"/>
      <c r="E1" s="242"/>
      <c r="F1" s="242"/>
      <c r="G1" s="242"/>
      <c r="H1" s="242"/>
      <c r="I1" s="242"/>
      <c r="J1" s="242"/>
      <c r="K1" s="242"/>
      <c r="L1" s="242"/>
      <c r="M1" s="242"/>
      <c r="N1" s="242"/>
      <c r="O1" s="242"/>
      <c r="P1" s="242"/>
      <c r="Q1" s="243"/>
    </row>
    <row r="2" spans="1:22" ht="15.75" thickBot="1" x14ac:dyDescent="0.3">
      <c r="A2" s="504"/>
      <c r="B2" s="800" t="s">
        <v>78</v>
      </c>
      <c r="C2" s="800"/>
      <c r="D2" s="800"/>
      <c r="E2" s="62"/>
      <c r="F2" s="797"/>
      <c r="G2" s="798"/>
      <c r="H2" s="798"/>
      <c r="I2" s="798"/>
      <c r="J2" s="798"/>
      <c r="K2" s="798"/>
      <c r="L2" s="799"/>
      <c r="M2" s="60"/>
      <c r="N2" s="663" t="s">
        <v>460</v>
      </c>
      <c r="O2" s="49"/>
      <c r="P2" s="257" t="str">
        <f>V6</f>
        <v>n/a</v>
      </c>
      <c r="Q2" s="238"/>
    </row>
    <row r="3" spans="1:22" s="65" customFormat="1" ht="3" customHeight="1" thickBot="1" x14ac:dyDescent="0.3">
      <c r="A3" s="505"/>
      <c r="B3" s="62"/>
      <c r="C3" s="62"/>
      <c r="D3" s="62"/>
      <c r="E3" s="62"/>
      <c r="F3" s="62"/>
      <c r="G3" s="62"/>
      <c r="H3" s="63"/>
      <c r="I3" s="298"/>
      <c r="J3" s="62"/>
      <c r="K3" s="62"/>
      <c r="L3" s="62"/>
      <c r="M3" s="62"/>
      <c r="N3" s="62"/>
      <c r="O3" s="62"/>
      <c r="P3" s="298"/>
      <c r="Q3" s="239"/>
    </row>
    <row r="4" spans="1:22" ht="15.75" thickBot="1" x14ac:dyDescent="0.3">
      <c r="A4" s="505"/>
      <c r="B4" s="800" t="s">
        <v>43</v>
      </c>
      <c r="C4" s="800"/>
      <c r="D4" s="800"/>
      <c r="E4" s="62"/>
      <c r="F4" s="797"/>
      <c r="G4" s="798"/>
      <c r="H4" s="798"/>
      <c r="I4" s="798"/>
      <c r="J4" s="799"/>
      <c r="K4" s="66"/>
      <c r="L4" s="814" t="s">
        <v>459</v>
      </c>
      <c r="M4" s="815"/>
      <c r="N4" s="815"/>
      <c r="P4" s="254"/>
      <c r="Q4" s="239"/>
      <c r="S4" s="765" t="s">
        <v>478</v>
      </c>
      <c r="T4" s="765"/>
      <c r="V4" s="258">
        <f>IF(F4="Fine",-8,IF(F4="Diminutive",-6,IF(F4="Tiny",-4,IF(F4="Small",-2,IF(F4="Large",2,IF(F4="Huge",4,IF(F4="Gargantuan",6,IF(F4="Colossal",8,0))))))))</f>
        <v>0</v>
      </c>
    </row>
    <row r="5" spans="1:22" s="65" customFormat="1" ht="3" customHeight="1" x14ac:dyDescent="0.25">
      <c r="A5" s="505"/>
      <c r="B5" s="62"/>
      <c r="C5" s="62"/>
      <c r="D5" s="62"/>
      <c r="E5" s="62"/>
      <c r="F5" s="62"/>
      <c r="G5" s="62"/>
      <c r="H5" s="67"/>
      <c r="I5" s="67"/>
      <c r="J5" s="298"/>
      <c r="K5" s="298"/>
      <c r="L5" s="298"/>
      <c r="M5" s="298"/>
      <c r="N5" s="298"/>
      <c r="O5" s="298"/>
      <c r="P5" s="298"/>
      <c r="Q5" s="239"/>
    </row>
    <row r="6" spans="1:22" x14ac:dyDescent="0.25">
      <c r="A6" s="505"/>
      <c r="B6" s="715" t="s">
        <v>217</v>
      </c>
      <c r="C6" s="715"/>
      <c r="D6" s="715"/>
      <c r="E6" s="715"/>
      <c r="F6" s="715"/>
      <c r="G6" s="715"/>
      <c r="H6" s="715"/>
      <c r="I6" s="504"/>
      <c r="J6" s="715" t="s">
        <v>220</v>
      </c>
      <c r="K6" s="715"/>
      <c r="L6" s="715"/>
      <c r="M6" s="715"/>
      <c r="N6" s="715"/>
      <c r="O6" s="715"/>
      <c r="P6" s="715"/>
      <c r="Q6" s="239"/>
      <c r="S6" s="61" t="s">
        <v>1691</v>
      </c>
      <c r="V6" s="61" t="str">
        <f>IF(P16&lt;&gt;"",IF(P16+V4&gt;-5,IF(P16+V4&lt;1,VLOOKUP(P16+V4,'Drop Down'!C88:D93,2,FALSE),P16+V4),"n/a"),"n/a")</f>
        <v>n/a</v>
      </c>
    </row>
    <row r="7" spans="1:22" ht="3" customHeight="1" thickBot="1" x14ac:dyDescent="0.3">
      <c r="A7" s="505"/>
      <c r="B7" s="664"/>
      <c r="C7" s="664"/>
      <c r="D7" s="664"/>
      <c r="H7" s="664"/>
      <c r="J7" s="664"/>
      <c r="Q7" s="239"/>
    </row>
    <row r="8" spans="1:22" ht="15.75" thickBot="1" x14ac:dyDescent="0.3">
      <c r="A8" s="505"/>
      <c r="B8" s="765" t="s">
        <v>462</v>
      </c>
      <c r="C8" s="765"/>
      <c r="D8" s="765"/>
      <c r="E8" s="556"/>
      <c r="F8" s="811" t="str">
        <f>IF(P2="n/a","n/a",ROUNDDOWN(V18*P2,0))</f>
        <v>n/a</v>
      </c>
      <c r="G8" s="812"/>
      <c r="H8" s="813"/>
      <c r="I8" s="504"/>
      <c r="J8" s="765" t="s">
        <v>157</v>
      </c>
      <c r="K8" s="765"/>
      <c r="L8" s="765"/>
      <c r="M8" s="504"/>
      <c r="N8" s="676" t="str">
        <f>IF(F18&lt;&gt;"",IF(ROUNDDOWN(F18/15,0)&lt;1,1,ROUNDDOWN(F18/15,0)),"n/a")</f>
        <v>n/a</v>
      </c>
      <c r="O8" s="804"/>
      <c r="P8" s="677"/>
      <c r="Q8" s="239"/>
    </row>
    <row r="9" spans="1:22" ht="3" customHeight="1" thickBot="1" x14ac:dyDescent="0.3">
      <c r="A9" s="505"/>
      <c r="B9" s="60"/>
      <c r="C9" s="60"/>
      <c r="D9" s="60"/>
      <c r="H9" s="664"/>
      <c r="J9" s="664"/>
      <c r="L9" s="60"/>
      <c r="Q9" s="239"/>
    </row>
    <row r="10" spans="1:22" ht="15.75" thickBot="1" x14ac:dyDescent="0.3">
      <c r="A10" s="505"/>
      <c r="B10" s="765" t="s">
        <v>463</v>
      </c>
      <c r="C10" s="765"/>
      <c r="D10" s="765"/>
      <c r="E10" s="556"/>
      <c r="F10" s="676" t="str">
        <f>IF(P2="n/a","n/a",CONCATENATE("+",(P2+F95),IF(F99&gt;0,", ranged","")))</f>
        <v>n/a</v>
      </c>
      <c r="G10" s="804"/>
      <c r="H10" s="677"/>
      <c r="I10" s="504"/>
      <c r="J10" s="765" t="s">
        <v>61</v>
      </c>
      <c r="K10" s="765"/>
      <c r="L10" s="765"/>
      <c r="M10" s="504"/>
      <c r="N10" s="676" t="str">
        <f>IF(P2="n/a","n/a",(IF(P2/2&lt;1,1,ROUNDDOWN(P2/2,0))+F98))</f>
        <v>n/a</v>
      </c>
      <c r="O10" s="804"/>
      <c r="P10" s="677"/>
      <c r="Q10" s="239"/>
    </row>
    <row r="11" spans="1:22" ht="3" customHeight="1" thickBot="1" x14ac:dyDescent="0.3">
      <c r="A11" s="505"/>
      <c r="B11" s="60"/>
      <c r="C11" s="60"/>
      <c r="D11" s="60"/>
      <c r="H11" s="664"/>
      <c r="J11" s="664"/>
      <c r="L11" s="60"/>
      <c r="Q11" s="239"/>
    </row>
    <row r="12" spans="1:22" ht="15.75" thickBot="1" x14ac:dyDescent="0.3">
      <c r="A12" s="505"/>
      <c r="B12" s="765" t="s">
        <v>464</v>
      </c>
      <c r="C12" s="765"/>
      <c r="D12" s="765"/>
      <c r="E12" s="556"/>
      <c r="F12" s="676" t="str">
        <f>IF(P2="n/a","n/a",10+P2+F96)</f>
        <v>n/a</v>
      </c>
      <c r="G12" s="804"/>
      <c r="H12" s="677"/>
      <c r="I12" s="504"/>
      <c r="J12" s="765" t="s">
        <v>160</v>
      </c>
      <c r="K12" s="765"/>
      <c r="L12" s="765"/>
      <c r="M12" s="504"/>
      <c r="N12" s="762" t="s">
        <v>601</v>
      </c>
      <c r="O12" s="763"/>
      <c r="P12" s="764"/>
      <c r="Q12" s="239"/>
    </row>
    <row r="13" spans="1:22" ht="3" customHeight="1" x14ac:dyDescent="0.25">
      <c r="A13" s="505"/>
      <c r="B13" s="664"/>
      <c r="C13" s="664"/>
      <c r="D13" s="664"/>
      <c r="H13" s="664"/>
      <c r="J13" s="664"/>
      <c r="Q13" s="239"/>
    </row>
    <row r="14" spans="1:22" x14ac:dyDescent="0.25">
      <c r="A14" s="505"/>
      <c r="B14" s="715" t="s">
        <v>470</v>
      </c>
      <c r="C14" s="715"/>
      <c r="D14" s="715"/>
      <c r="E14" s="715"/>
      <c r="F14" s="715"/>
      <c r="G14" s="715"/>
      <c r="H14" s="715"/>
      <c r="I14" s="715"/>
      <c r="J14" s="715"/>
      <c r="K14" s="715"/>
      <c r="L14" s="715"/>
      <c r="M14" s="715"/>
      <c r="N14" s="715"/>
      <c r="O14" s="715"/>
      <c r="P14" s="715"/>
      <c r="Q14" s="239"/>
    </row>
    <row r="15" spans="1:22" ht="3" customHeight="1" thickBot="1" x14ac:dyDescent="0.3">
      <c r="A15" s="505"/>
      <c r="B15" s="664"/>
      <c r="C15" s="664"/>
      <c r="D15" s="664"/>
      <c r="H15" s="664"/>
      <c r="J15" s="664"/>
      <c r="P15" s="71"/>
      <c r="Q15" s="239"/>
    </row>
    <row r="16" spans="1:22" ht="15.75" thickBot="1" x14ac:dyDescent="0.3">
      <c r="A16" s="505"/>
      <c r="B16" s="800" t="s">
        <v>84</v>
      </c>
      <c r="C16" s="800"/>
      <c r="D16" s="800"/>
      <c r="E16" s="62"/>
      <c r="F16" s="797"/>
      <c r="G16" s="798"/>
      <c r="H16" s="798"/>
      <c r="I16" s="798"/>
      <c r="J16" s="798"/>
      <c r="K16" s="798"/>
      <c r="L16" s="799"/>
      <c r="M16" s="658"/>
      <c r="N16" s="663" t="s">
        <v>159</v>
      </c>
      <c r="O16" s="658"/>
      <c r="P16" s="255"/>
      <c r="Q16" s="239"/>
    </row>
    <row r="17" spans="1:22" ht="3" customHeight="1" thickBot="1" x14ac:dyDescent="0.3">
      <c r="A17" s="505"/>
      <c r="B17" s="664"/>
      <c r="C17" s="664"/>
      <c r="D17" s="664"/>
      <c r="H17" s="664"/>
      <c r="I17" s="504"/>
      <c r="J17" s="664"/>
      <c r="N17" s="62" t="s">
        <v>162</v>
      </c>
      <c r="O17" s="658"/>
      <c r="P17" s="235"/>
      <c r="Q17" s="239"/>
    </row>
    <row r="18" spans="1:22" ht="15.75" thickBot="1" x14ac:dyDescent="0.3">
      <c r="A18" s="505"/>
      <c r="B18" s="765" t="s">
        <v>157</v>
      </c>
      <c r="C18" s="765"/>
      <c r="D18" s="765"/>
      <c r="E18" s="556"/>
      <c r="F18" s="805"/>
      <c r="G18" s="806"/>
      <c r="H18" s="807"/>
      <c r="I18" s="504"/>
      <c r="J18" s="765" t="s">
        <v>471</v>
      </c>
      <c r="K18" s="765"/>
      <c r="L18" s="765"/>
      <c r="M18" s="765"/>
      <c r="N18" s="765"/>
      <c r="O18" s="503"/>
      <c r="P18" s="254"/>
      <c r="Q18" s="239"/>
      <c r="S18" s="765" t="s">
        <v>461</v>
      </c>
      <c r="T18" s="765"/>
      <c r="V18" s="258">
        <f>IF(P18="d6",3.5,IF(P18="d8",4.5,IF(P18="d10",5.5,IF(P18="d12",6.5,0))))</f>
        <v>0</v>
      </c>
    </row>
    <row r="19" spans="1:22" s="65" customFormat="1" ht="3" customHeight="1" x14ac:dyDescent="0.25">
      <c r="A19" s="505"/>
      <c r="B19" s="234"/>
      <c r="C19" s="234"/>
      <c r="D19" s="234"/>
      <c r="E19" s="67"/>
      <c r="F19" s="67"/>
      <c r="G19" s="67"/>
      <c r="H19" s="67"/>
      <c r="I19" s="63"/>
      <c r="J19" s="234"/>
      <c r="K19" s="63"/>
      <c r="L19" s="63"/>
      <c r="M19" s="63"/>
      <c r="N19" s="63"/>
      <c r="O19" s="63"/>
      <c r="P19" s="63"/>
      <c r="Q19" s="239"/>
    </row>
    <row r="20" spans="1:22" x14ac:dyDescent="0.25">
      <c r="A20" s="505"/>
      <c r="B20" s="715" t="s">
        <v>468</v>
      </c>
      <c r="C20" s="715"/>
      <c r="D20" s="715"/>
      <c r="E20" s="715"/>
      <c r="F20" s="715"/>
      <c r="G20" s="715"/>
      <c r="H20" s="715"/>
      <c r="I20" s="715"/>
      <c r="J20" s="715"/>
      <c r="K20" s="715"/>
      <c r="L20" s="715"/>
      <c r="M20" s="715"/>
      <c r="N20" s="715"/>
      <c r="O20" s="715"/>
      <c r="P20" s="715"/>
      <c r="Q20" s="239"/>
    </row>
    <row r="21" spans="1:22" ht="3" customHeight="1" thickBot="1" x14ac:dyDescent="0.3">
      <c r="A21" s="505"/>
      <c r="B21" s="193"/>
      <c r="C21" s="193"/>
      <c r="D21" s="193"/>
      <c r="E21" s="193"/>
      <c r="F21" s="193"/>
      <c r="G21" s="193"/>
      <c r="H21" s="193"/>
      <c r="I21" s="193"/>
      <c r="J21" s="193"/>
      <c r="K21" s="193"/>
      <c r="L21" s="193"/>
      <c r="M21" s="193"/>
      <c r="N21" s="193"/>
      <c r="O21" s="193"/>
      <c r="P21" s="193"/>
      <c r="Q21" s="239"/>
    </row>
    <row r="22" spans="1:22" s="233" customFormat="1" ht="15.75" thickBot="1" x14ac:dyDescent="0.3">
      <c r="A22" s="505"/>
      <c r="B22" s="663" t="s">
        <v>78</v>
      </c>
      <c r="C22" s="62"/>
      <c r="D22" s="808"/>
      <c r="E22" s="809"/>
      <c r="F22" s="809"/>
      <c r="G22" s="809"/>
      <c r="H22" s="810"/>
      <c r="I22" s="248"/>
      <c r="J22" s="715" t="s">
        <v>482</v>
      </c>
      <c r="K22" s="715"/>
      <c r="L22" s="715"/>
      <c r="M22" s="715"/>
      <c r="N22" s="715"/>
      <c r="O22" s="715"/>
      <c r="P22" s="715"/>
      <c r="Q22" s="239"/>
      <c r="S22" s="765" t="s">
        <v>482</v>
      </c>
      <c r="T22" s="765"/>
      <c r="V22" s="233" t="str">
        <f>CONCATENATE(IF(J24&lt;&gt;0,J24,""),IF(J26&lt;&gt;0,CONCATENATE(", ",J26),""),IF(J28&lt;&gt;0,CONCATENATE(", ",J28),""),IF(J30&lt;&gt;0,CONCATENATE(", ",J30),""),IF(J32&lt;&gt;0,CONCATENATE(", ",J32),""))</f>
        <v/>
      </c>
    </row>
    <row r="23" spans="1:22" s="233" customFormat="1" ht="3" customHeight="1" thickBot="1" x14ac:dyDescent="0.3">
      <c r="A23" s="505"/>
      <c r="B23" s="153"/>
      <c r="C23" s="153"/>
      <c r="D23" s="153"/>
      <c r="E23" s="153"/>
      <c r="F23" s="153"/>
      <c r="G23" s="153"/>
      <c r="H23" s="153"/>
      <c r="I23" s="153"/>
      <c r="J23" s="153"/>
      <c r="K23" s="153"/>
      <c r="L23" s="153"/>
      <c r="M23" s="153"/>
      <c r="N23" s="153"/>
      <c r="O23" s="153"/>
      <c r="P23" s="153"/>
      <c r="Q23" s="239"/>
    </row>
    <row r="24" spans="1:22" s="233" customFormat="1" ht="15.75" thickBot="1" x14ac:dyDescent="0.3">
      <c r="A24" s="505"/>
      <c r="B24" s="765" t="s">
        <v>55</v>
      </c>
      <c r="C24" s="765"/>
      <c r="D24" s="765"/>
      <c r="E24" s="765"/>
      <c r="F24" s="765"/>
      <c r="G24" s="250"/>
      <c r="H24" s="150">
        <f>IF(H32="Yes",H26+H28+3,H26+H28)</f>
        <v>0</v>
      </c>
      <c r="I24" s="153"/>
      <c r="J24" s="801"/>
      <c r="K24" s="802"/>
      <c r="L24" s="802"/>
      <c r="M24" s="802"/>
      <c r="N24" s="802"/>
      <c r="O24" s="802"/>
      <c r="P24" s="803"/>
      <c r="Q24" s="239"/>
    </row>
    <row r="25" spans="1:22" s="233" customFormat="1" ht="3" customHeight="1" thickBot="1" x14ac:dyDescent="0.3">
      <c r="A25" s="505"/>
      <c r="G25" s="260"/>
      <c r="I25" s="153"/>
      <c r="J25" s="69"/>
      <c r="K25" s="69"/>
      <c r="L25" s="69"/>
      <c r="M25" s="69"/>
      <c r="N25" s="69"/>
      <c r="O25" s="69"/>
      <c r="P25" s="69"/>
      <c r="Q25" s="239"/>
    </row>
    <row r="26" spans="1:22" s="233" customFormat="1" ht="15.75" thickBot="1" x14ac:dyDescent="0.3">
      <c r="A26" s="505"/>
      <c r="B26" s="765" t="s">
        <v>483</v>
      </c>
      <c r="C26" s="765"/>
      <c r="D26" s="765"/>
      <c r="E26" s="765"/>
      <c r="F26" s="765"/>
      <c r="G26" s="250"/>
      <c r="H26" s="270"/>
      <c r="I26" s="153"/>
      <c r="J26" s="801"/>
      <c r="K26" s="802"/>
      <c r="L26" s="802"/>
      <c r="M26" s="802"/>
      <c r="N26" s="802"/>
      <c r="O26" s="802"/>
      <c r="P26" s="803"/>
      <c r="Q26" s="239"/>
    </row>
    <row r="27" spans="1:22" s="233" customFormat="1" ht="3" customHeight="1" thickBot="1" x14ac:dyDescent="0.3">
      <c r="A27" s="505"/>
      <c r="B27" s="153"/>
      <c r="C27" s="153"/>
      <c r="D27" s="153"/>
      <c r="E27" s="153"/>
      <c r="F27" s="153"/>
      <c r="G27" s="153"/>
      <c r="H27" s="153"/>
      <c r="I27" s="153"/>
      <c r="J27" s="69"/>
      <c r="K27" s="69"/>
      <c r="L27" s="69"/>
      <c r="M27" s="69"/>
      <c r="N27" s="69"/>
      <c r="O27" s="69"/>
      <c r="P27" s="69"/>
      <c r="Q27" s="239"/>
    </row>
    <row r="28" spans="1:22" s="233" customFormat="1" ht="15.75" thickBot="1" x14ac:dyDescent="0.3">
      <c r="A28" s="505"/>
      <c r="B28" s="765" t="s">
        <v>479</v>
      </c>
      <c r="C28" s="765"/>
      <c r="D28" s="765"/>
      <c r="E28" s="765"/>
      <c r="F28" s="765"/>
      <c r="G28" s="250"/>
      <c r="H28" s="270"/>
      <c r="I28" s="153"/>
      <c r="J28" s="801"/>
      <c r="K28" s="802"/>
      <c r="L28" s="802"/>
      <c r="M28" s="802"/>
      <c r="N28" s="802"/>
      <c r="O28" s="802"/>
      <c r="P28" s="803"/>
      <c r="Q28" s="239"/>
    </row>
    <row r="29" spans="1:22" ht="3" customHeight="1" thickBot="1" x14ac:dyDescent="0.3">
      <c r="A29" s="505"/>
      <c r="B29" s="664"/>
      <c r="C29" s="664"/>
      <c r="D29" s="664"/>
      <c r="H29" s="664"/>
      <c r="J29" s="69"/>
      <c r="K29" s="69"/>
      <c r="L29" s="69"/>
      <c r="M29" s="69"/>
      <c r="N29" s="69"/>
      <c r="O29" s="69"/>
      <c r="P29" s="69"/>
      <c r="Q29" s="239"/>
    </row>
    <row r="30" spans="1:22" ht="15.75" thickBot="1" x14ac:dyDescent="0.3">
      <c r="A30" s="505"/>
      <c r="B30" s="765" t="s">
        <v>481</v>
      </c>
      <c r="C30" s="765"/>
      <c r="D30" s="765"/>
      <c r="E30" s="765"/>
      <c r="F30" s="765"/>
      <c r="H30" s="270"/>
      <c r="J30" s="801"/>
      <c r="K30" s="802"/>
      <c r="L30" s="802"/>
      <c r="M30" s="802"/>
      <c r="N30" s="802"/>
      <c r="O30" s="802"/>
      <c r="P30" s="803"/>
      <c r="Q30" s="239"/>
    </row>
    <row r="31" spans="1:22" ht="3" customHeight="1" thickBot="1" x14ac:dyDescent="0.3">
      <c r="A31" s="505"/>
      <c r="B31" s="664"/>
      <c r="C31" s="664"/>
      <c r="D31" s="664"/>
      <c r="H31" s="664"/>
      <c r="J31" s="73"/>
      <c r="K31" s="73"/>
      <c r="L31" s="73"/>
      <c r="M31" s="73"/>
      <c r="N31" s="73"/>
      <c r="O31" s="73"/>
      <c r="P31" s="73"/>
      <c r="Q31" s="239"/>
    </row>
    <row r="32" spans="1:22" ht="15.75" thickBot="1" x14ac:dyDescent="0.3">
      <c r="A32" s="505"/>
      <c r="B32" s="765" t="s">
        <v>467</v>
      </c>
      <c r="C32" s="765"/>
      <c r="D32" s="765"/>
      <c r="E32" s="765"/>
      <c r="F32" s="765"/>
      <c r="H32" s="256"/>
      <c r="J32" s="801"/>
      <c r="K32" s="802"/>
      <c r="L32" s="802"/>
      <c r="M32" s="802"/>
      <c r="N32" s="802"/>
      <c r="O32" s="802"/>
      <c r="P32" s="803"/>
      <c r="Q32" s="239"/>
    </row>
    <row r="33" spans="1:25" ht="3" customHeight="1" x14ac:dyDescent="0.25">
      <c r="A33" s="505"/>
      <c r="B33" s="664"/>
      <c r="C33" s="664"/>
      <c r="D33" s="664"/>
      <c r="H33" s="664"/>
      <c r="J33" s="73"/>
      <c r="K33" s="73"/>
      <c r="L33" s="73"/>
      <c r="M33" s="73"/>
      <c r="N33" s="73"/>
      <c r="O33" s="73"/>
      <c r="P33" s="73"/>
      <c r="Q33" s="239"/>
    </row>
    <row r="34" spans="1:25" x14ac:dyDescent="0.25">
      <c r="A34" s="505"/>
      <c r="B34" s="715" t="s">
        <v>469</v>
      </c>
      <c r="C34" s="715"/>
      <c r="D34" s="715"/>
      <c r="E34" s="715"/>
      <c r="F34" s="715"/>
      <c r="G34" s="715"/>
      <c r="H34" s="715"/>
      <c r="I34" s="715"/>
      <c r="J34" s="715"/>
      <c r="K34" s="715"/>
      <c r="L34" s="715"/>
      <c r="M34" s="715"/>
      <c r="N34" s="715"/>
      <c r="O34" s="715"/>
      <c r="P34" s="715"/>
      <c r="Q34" s="239"/>
    </row>
    <row r="35" spans="1:25" ht="3" customHeight="1" x14ac:dyDescent="0.25">
      <c r="A35" s="505"/>
      <c r="B35" s="664"/>
      <c r="C35" s="664"/>
      <c r="D35" s="664"/>
      <c r="H35" s="664"/>
      <c r="J35" s="664"/>
      <c r="Q35" s="239"/>
    </row>
    <row r="36" spans="1:25" x14ac:dyDescent="0.25">
      <c r="A36" s="505"/>
      <c r="B36" s="715" t="s">
        <v>158</v>
      </c>
      <c r="C36" s="715"/>
      <c r="D36" s="715"/>
      <c r="E36" s="715"/>
      <c r="F36" s="715"/>
      <c r="G36" s="715"/>
      <c r="H36" s="715"/>
      <c r="I36" s="504"/>
      <c r="J36" s="715" t="s">
        <v>56</v>
      </c>
      <c r="K36" s="715"/>
      <c r="L36" s="715"/>
      <c r="M36" s="715"/>
      <c r="N36" s="715"/>
      <c r="O36" s="715"/>
      <c r="P36" s="715"/>
      <c r="Q36" s="239"/>
      <c r="S36" s="765" t="s">
        <v>158</v>
      </c>
      <c r="T36" s="765"/>
      <c r="U36" s="193"/>
      <c r="V36" s="504" t="str">
        <f>CONCATENATE(IF(B38&lt;&gt;0,B38,""),IF(B40&lt;&gt;0,CONCATENATE(", ",B40),""),IF(B42&lt;&gt;0,CONCATENATE(", ",B42),""),IF(B44&lt;&gt;0,CONCATENATE(", ",B44),""),IF(B46&lt;&gt;0,CONCATENATE(", ",B46),""))</f>
        <v/>
      </c>
      <c r="W36" s="504"/>
      <c r="X36" s="504"/>
      <c r="Y36" s="504"/>
    </row>
    <row r="37" spans="1:25" s="664" customFormat="1" ht="3" customHeight="1" thickBot="1" x14ac:dyDescent="0.3">
      <c r="A37" s="505"/>
      <c r="B37" s="69"/>
      <c r="C37" s="69"/>
      <c r="D37" s="69"/>
      <c r="E37" s="69"/>
      <c r="F37" s="69"/>
      <c r="G37" s="69"/>
      <c r="H37" s="69"/>
      <c r="I37" s="69"/>
      <c r="J37" s="69"/>
      <c r="K37" s="69"/>
      <c r="L37" s="69"/>
      <c r="M37" s="69"/>
      <c r="N37" s="69"/>
      <c r="O37" s="69"/>
      <c r="P37" s="69"/>
      <c r="Q37" s="239"/>
    </row>
    <row r="38" spans="1:25" s="664" customFormat="1" ht="15.75" thickBot="1" x14ac:dyDescent="0.3">
      <c r="A38" s="505"/>
      <c r="B38" s="801"/>
      <c r="C38" s="802"/>
      <c r="D38" s="802"/>
      <c r="E38" s="802"/>
      <c r="F38" s="802"/>
      <c r="G38" s="802"/>
      <c r="H38" s="803"/>
      <c r="I38" s="69"/>
      <c r="J38" s="801"/>
      <c r="K38" s="802"/>
      <c r="L38" s="802"/>
      <c r="M38" s="802"/>
      <c r="N38" s="802"/>
      <c r="O38" s="802"/>
      <c r="P38" s="803"/>
      <c r="Q38" s="239"/>
      <c r="S38" s="765" t="s">
        <v>56</v>
      </c>
      <c r="T38" s="765"/>
      <c r="V38" s="664" t="str">
        <f>CONCATENATE(IF(J38&lt;&gt;0,J38,""),IF(J40&lt;&gt;0,CONCATENATE(", ",J40),""),IF(J42&lt;&gt;0,CONCATENATE(", ",J42),""),IF(J44&lt;&gt;0,CONCATENATE(", ",J44),""),IF(J46&lt;&gt;0,CONCATENATE(", ",J46),""))</f>
        <v/>
      </c>
    </row>
    <row r="39" spans="1:25" s="664" customFormat="1" ht="3" customHeight="1" thickBot="1" x14ac:dyDescent="0.3">
      <c r="A39" s="505"/>
      <c r="B39" s="69"/>
      <c r="C39" s="69"/>
      <c r="D39" s="69"/>
      <c r="E39" s="69"/>
      <c r="F39" s="69"/>
      <c r="G39" s="69"/>
      <c r="H39" s="69"/>
      <c r="I39" s="69"/>
      <c r="J39" s="69"/>
      <c r="K39" s="69"/>
      <c r="L39" s="69"/>
      <c r="M39" s="69"/>
      <c r="N39" s="69"/>
      <c r="O39" s="69"/>
      <c r="P39" s="69"/>
      <c r="Q39" s="239"/>
    </row>
    <row r="40" spans="1:25" s="664" customFormat="1" ht="15.75" thickBot="1" x14ac:dyDescent="0.3">
      <c r="A40" s="505"/>
      <c r="B40" s="801"/>
      <c r="C40" s="802"/>
      <c r="D40" s="802"/>
      <c r="E40" s="802"/>
      <c r="F40" s="802"/>
      <c r="G40" s="802"/>
      <c r="H40" s="803"/>
      <c r="I40" s="69"/>
      <c r="J40" s="801"/>
      <c r="K40" s="802"/>
      <c r="L40" s="802"/>
      <c r="M40" s="802"/>
      <c r="N40" s="802"/>
      <c r="O40" s="802"/>
      <c r="P40" s="803"/>
      <c r="Q40" s="239"/>
    </row>
    <row r="41" spans="1:25" s="664" customFormat="1" ht="3" customHeight="1" thickBot="1" x14ac:dyDescent="0.3">
      <c r="A41" s="505"/>
      <c r="B41" s="69"/>
      <c r="C41" s="69"/>
      <c r="D41" s="69"/>
      <c r="E41" s="69"/>
      <c r="F41" s="69"/>
      <c r="G41" s="69"/>
      <c r="H41" s="69"/>
      <c r="I41" s="69"/>
      <c r="J41" s="69"/>
      <c r="K41" s="69"/>
      <c r="L41" s="69"/>
      <c r="M41" s="69"/>
      <c r="N41" s="69"/>
      <c r="O41" s="69"/>
      <c r="P41" s="69"/>
      <c r="Q41" s="239"/>
    </row>
    <row r="42" spans="1:25" s="664" customFormat="1" ht="15.75" thickBot="1" x14ac:dyDescent="0.3">
      <c r="A42" s="505"/>
      <c r="B42" s="801"/>
      <c r="C42" s="802"/>
      <c r="D42" s="802"/>
      <c r="E42" s="802"/>
      <c r="F42" s="802"/>
      <c r="G42" s="802"/>
      <c r="H42" s="803"/>
      <c r="I42" s="69"/>
      <c r="J42" s="801"/>
      <c r="K42" s="802"/>
      <c r="L42" s="802"/>
      <c r="M42" s="802"/>
      <c r="N42" s="802"/>
      <c r="O42" s="802"/>
      <c r="P42" s="803"/>
      <c r="Q42" s="239"/>
    </row>
    <row r="43" spans="1:25" s="664" customFormat="1" ht="3" customHeight="1" thickBot="1" x14ac:dyDescent="0.3">
      <c r="A43" s="505"/>
      <c r="B43" s="69"/>
      <c r="C43" s="69"/>
      <c r="D43" s="69"/>
      <c r="E43" s="69"/>
      <c r="F43" s="69"/>
      <c r="G43" s="69"/>
      <c r="H43" s="69"/>
      <c r="I43" s="69"/>
      <c r="J43" s="69"/>
      <c r="K43" s="69"/>
      <c r="L43" s="69"/>
      <c r="M43" s="69"/>
      <c r="N43" s="69"/>
      <c r="O43" s="69"/>
      <c r="P43" s="69"/>
      <c r="Q43" s="239"/>
    </row>
    <row r="44" spans="1:25" s="664" customFormat="1" ht="15.75" thickBot="1" x14ac:dyDescent="0.3">
      <c r="A44" s="505"/>
      <c r="B44" s="801"/>
      <c r="C44" s="802"/>
      <c r="D44" s="802"/>
      <c r="E44" s="802"/>
      <c r="F44" s="802"/>
      <c r="G44" s="802"/>
      <c r="H44" s="803"/>
      <c r="I44" s="69"/>
      <c r="J44" s="801"/>
      <c r="K44" s="802"/>
      <c r="L44" s="802"/>
      <c r="M44" s="802"/>
      <c r="N44" s="802"/>
      <c r="O44" s="802"/>
      <c r="P44" s="803"/>
      <c r="Q44" s="239"/>
    </row>
    <row r="45" spans="1:25" s="664" customFormat="1" ht="3" customHeight="1" thickBot="1" x14ac:dyDescent="0.3">
      <c r="A45" s="505"/>
      <c r="B45" s="261"/>
      <c r="C45" s="261"/>
      <c r="D45" s="261"/>
      <c r="E45" s="261"/>
      <c r="F45" s="261"/>
      <c r="G45" s="261"/>
      <c r="H45" s="261"/>
      <c r="I45" s="69"/>
      <c r="J45" s="69"/>
      <c r="K45" s="69"/>
      <c r="L45" s="69"/>
      <c r="M45" s="69"/>
      <c r="N45" s="69"/>
      <c r="O45" s="69"/>
      <c r="P45" s="69"/>
      <c r="Q45" s="239"/>
    </row>
    <row r="46" spans="1:25" s="664" customFormat="1" ht="15.75" thickBot="1" x14ac:dyDescent="0.3">
      <c r="A46" s="505"/>
      <c r="B46" s="801"/>
      <c r="C46" s="802"/>
      <c r="D46" s="802"/>
      <c r="E46" s="802"/>
      <c r="F46" s="802"/>
      <c r="G46" s="802"/>
      <c r="H46" s="803"/>
      <c r="I46" s="69"/>
      <c r="J46" s="801"/>
      <c r="K46" s="802"/>
      <c r="L46" s="802"/>
      <c r="M46" s="802"/>
      <c r="N46" s="802"/>
      <c r="O46" s="802"/>
      <c r="P46" s="803"/>
      <c r="Q46" s="239"/>
    </row>
    <row r="47" spans="1:25" ht="3" customHeight="1" x14ac:dyDescent="0.25">
      <c r="A47" s="505"/>
      <c r="B47" s="664"/>
      <c r="C47" s="664"/>
      <c r="D47" s="664"/>
      <c r="H47" s="664"/>
      <c r="J47" s="664"/>
      <c r="Q47" s="239"/>
    </row>
    <row r="48" spans="1:25" x14ac:dyDescent="0.25">
      <c r="A48" s="505"/>
      <c r="B48" s="715" t="s">
        <v>161</v>
      </c>
      <c r="C48" s="715"/>
      <c r="D48" s="715"/>
      <c r="E48" s="715"/>
      <c r="F48" s="715"/>
      <c r="G48" s="715"/>
      <c r="H48" s="715"/>
      <c r="I48" s="504"/>
      <c r="J48" s="715" t="s">
        <v>480</v>
      </c>
      <c r="K48" s="715"/>
      <c r="L48" s="715"/>
      <c r="M48" s="715"/>
      <c r="N48" s="715"/>
      <c r="O48" s="715"/>
      <c r="P48" s="715"/>
      <c r="Q48" s="239"/>
      <c r="S48" s="765" t="s">
        <v>161</v>
      </c>
      <c r="T48" s="765"/>
      <c r="V48" s="61" t="str">
        <f>CONCATENATE(IF(B50&lt;&gt;0,B50,""),IF(B52&lt;&gt;0,CONCATENATE(", ",B52),""),IF(B54&lt;&gt;0,CONCATENATE(", ",B54),""),IF(B56&lt;&gt;0,CONCATENATE(", ",B56),""),IF(B58&lt;&gt;0,CONCATENATE(", ",B58),""))</f>
        <v/>
      </c>
    </row>
    <row r="49" spans="1:17" s="664" customFormat="1" ht="3" customHeight="1" thickBot="1" x14ac:dyDescent="0.3">
      <c r="A49" s="505"/>
      <c r="B49" s="69"/>
      <c r="C49" s="69"/>
      <c r="D49" s="69"/>
      <c r="E49" s="69"/>
      <c r="F49" s="69"/>
      <c r="G49" s="69"/>
      <c r="H49" s="69"/>
      <c r="I49" s="69"/>
      <c r="J49" s="69"/>
      <c r="K49" s="69"/>
      <c r="L49" s="69"/>
      <c r="M49" s="69"/>
      <c r="N49" s="69"/>
      <c r="O49" s="69"/>
      <c r="P49" s="69"/>
      <c r="Q49" s="239"/>
    </row>
    <row r="50" spans="1:17" s="664" customFormat="1" ht="15.75" thickBot="1" x14ac:dyDescent="0.3">
      <c r="A50" s="505"/>
      <c r="B50" s="801"/>
      <c r="C50" s="802"/>
      <c r="D50" s="802"/>
      <c r="E50" s="802"/>
      <c r="F50" s="802"/>
      <c r="G50" s="802"/>
      <c r="H50" s="803"/>
      <c r="I50" s="69"/>
      <c r="J50" s="816"/>
      <c r="K50" s="817"/>
      <c r="L50" s="817"/>
      <c r="M50" s="817"/>
      <c r="N50" s="817"/>
      <c r="O50" s="817"/>
      <c r="P50" s="818"/>
      <c r="Q50" s="239"/>
    </row>
    <row r="51" spans="1:17" s="664" customFormat="1" ht="3" customHeight="1" thickBot="1" x14ac:dyDescent="0.3">
      <c r="A51" s="505"/>
      <c r="B51" s="69"/>
      <c r="C51" s="69"/>
      <c r="D51" s="69"/>
      <c r="E51" s="69"/>
      <c r="F51" s="69"/>
      <c r="G51" s="69"/>
      <c r="H51" s="69"/>
      <c r="I51" s="69"/>
      <c r="J51" s="819"/>
      <c r="K51" s="820"/>
      <c r="L51" s="820"/>
      <c r="M51" s="820"/>
      <c r="N51" s="820"/>
      <c r="O51" s="820"/>
      <c r="P51" s="821"/>
      <c r="Q51" s="239"/>
    </row>
    <row r="52" spans="1:17" s="664" customFormat="1" ht="15.75" thickBot="1" x14ac:dyDescent="0.3">
      <c r="A52" s="505"/>
      <c r="B52" s="801"/>
      <c r="C52" s="802"/>
      <c r="D52" s="802"/>
      <c r="E52" s="802"/>
      <c r="F52" s="802"/>
      <c r="G52" s="802"/>
      <c r="H52" s="803"/>
      <c r="I52" s="69"/>
      <c r="J52" s="819"/>
      <c r="K52" s="820"/>
      <c r="L52" s="820"/>
      <c r="M52" s="820"/>
      <c r="N52" s="820"/>
      <c r="O52" s="820"/>
      <c r="P52" s="821"/>
      <c r="Q52" s="239"/>
    </row>
    <row r="53" spans="1:17" s="664" customFormat="1" ht="3" customHeight="1" thickBot="1" x14ac:dyDescent="0.3">
      <c r="A53" s="505"/>
      <c r="B53" s="69"/>
      <c r="C53" s="69"/>
      <c r="D53" s="69"/>
      <c r="E53" s="69"/>
      <c r="F53" s="69"/>
      <c r="G53" s="69"/>
      <c r="H53" s="69"/>
      <c r="I53" s="69"/>
      <c r="J53" s="819"/>
      <c r="K53" s="820"/>
      <c r="L53" s="820"/>
      <c r="M53" s="820"/>
      <c r="N53" s="820"/>
      <c r="O53" s="820"/>
      <c r="P53" s="821"/>
      <c r="Q53" s="239"/>
    </row>
    <row r="54" spans="1:17" s="664" customFormat="1" ht="15.75" thickBot="1" x14ac:dyDescent="0.3">
      <c r="A54" s="505"/>
      <c r="B54" s="801"/>
      <c r="C54" s="802"/>
      <c r="D54" s="802"/>
      <c r="E54" s="802"/>
      <c r="F54" s="802"/>
      <c r="G54" s="802"/>
      <c r="H54" s="803"/>
      <c r="I54" s="69"/>
      <c r="J54" s="819"/>
      <c r="K54" s="820"/>
      <c r="L54" s="820"/>
      <c r="M54" s="820"/>
      <c r="N54" s="820"/>
      <c r="O54" s="820"/>
      <c r="P54" s="821"/>
      <c r="Q54" s="239"/>
    </row>
    <row r="55" spans="1:17" s="664" customFormat="1" ht="3" customHeight="1" thickBot="1" x14ac:dyDescent="0.3">
      <c r="A55" s="505"/>
      <c r="B55" s="72"/>
      <c r="C55" s="72"/>
      <c r="D55" s="72"/>
      <c r="E55" s="72"/>
      <c r="F55" s="72"/>
      <c r="G55" s="72"/>
      <c r="H55" s="72"/>
      <c r="I55" s="69"/>
      <c r="J55" s="819"/>
      <c r="K55" s="820"/>
      <c r="L55" s="820"/>
      <c r="M55" s="820"/>
      <c r="N55" s="820"/>
      <c r="O55" s="820"/>
      <c r="P55" s="821"/>
      <c r="Q55" s="239"/>
    </row>
    <row r="56" spans="1:17" s="664" customFormat="1" ht="15.75" thickBot="1" x14ac:dyDescent="0.3">
      <c r="A56" s="505"/>
      <c r="B56" s="801"/>
      <c r="C56" s="802"/>
      <c r="D56" s="802"/>
      <c r="E56" s="802"/>
      <c r="F56" s="802"/>
      <c r="G56" s="802"/>
      <c r="H56" s="803"/>
      <c r="I56" s="69"/>
      <c r="J56" s="819"/>
      <c r="K56" s="820"/>
      <c r="L56" s="820"/>
      <c r="M56" s="820"/>
      <c r="N56" s="820"/>
      <c r="O56" s="820"/>
      <c r="P56" s="821"/>
      <c r="Q56" s="239"/>
    </row>
    <row r="57" spans="1:17" s="664" customFormat="1" ht="3" customHeight="1" thickBot="1" x14ac:dyDescent="0.3">
      <c r="A57" s="505"/>
      <c r="B57" s="72"/>
      <c r="C57" s="72"/>
      <c r="D57" s="72"/>
      <c r="E57" s="72"/>
      <c r="F57" s="72"/>
      <c r="G57" s="72"/>
      <c r="H57" s="72"/>
      <c r="I57" s="69"/>
      <c r="J57" s="819"/>
      <c r="K57" s="820"/>
      <c r="L57" s="820"/>
      <c r="M57" s="820"/>
      <c r="N57" s="820"/>
      <c r="O57" s="820"/>
      <c r="P57" s="821"/>
      <c r="Q57" s="239"/>
    </row>
    <row r="58" spans="1:17" s="664" customFormat="1" ht="15.75" thickBot="1" x14ac:dyDescent="0.3">
      <c r="A58" s="505"/>
      <c r="B58" s="801"/>
      <c r="C58" s="802"/>
      <c r="D58" s="802"/>
      <c r="E58" s="802"/>
      <c r="F58" s="802"/>
      <c r="G58" s="802"/>
      <c r="H58" s="803"/>
      <c r="I58" s="69"/>
      <c r="J58" s="822"/>
      <c r="K58" s="823"/>
      <c r="L58" s="823"/>
      <c r="M58" s="823"/>
      <c r="N58" s="823"/>
      <c r="O58" s="823"/>
      <c r="P58" s="824"/>
      <c r="Q58" s="239"/>
    </row>
    <row r="59" spans="1:17" ht="3" customHeight="1" thickBot="1" x14ac:dyDescent="0.3">
      <c r="A59" s="246"/>
      <c r="B59" s="247"/>
      <c r="C59" s="247"/>
      <c r="D59" s="247"/>
      <c r="E59" s="247"/>
      <c r="F59" s="247"/>
      <c r="G59" s="247"/>
      <c r="H59" s="247"/>
      <c r="I59" s="247"/>
      <c r="J59" s="247"/>
      <c r="K59" s="247"/>
      <c r="L59" s="247"/>
      <c r="M59" s="247"/>
      <c r="N59" s="247"/>
      <c r="O59" s="247"/>
      <c r="P59" s="247"/>
      <c r="Q59" s="240"/>
    </row>
    <row r="60" spans="1:17" x14ac:dyDescent="0.25">
      <c r="A60" s="664"/>
      <c r="B60" s="664"/>
      <c r="C60" s="664"/>
      <c r="D60" s="664"/>
      <c r="H60" s="664"/>
      <c r="J60" s="664"/>
    </row>
    <row r="61" spans="1:17" hidden="1" x14ac:dyDescent="0.25">
      <c r="B61" s="664"/>
    </row>
    <row r="62" spans="1:17" ht="15" hidden="1" customHeight="1" x14ac:dyDescent="0.25">
      <c r="B62" s="800" t="s">
        <v>56</v>
      </c>
      <c r="C62" s="800"/>
      <c r="D62" s="800"/>
      <c r="F62" s="262" t="s">
        <v>367</v>
      </c>
      <c r="H62" s="661" t="s">
        <v>218</v>
      </c>
      <c r="J62" s="661" t="s">
        <v>219</v>
      </c>
      <c r="L62" s="262" t="s">
        <v>582</v>
      </c>
      <c r="N62" s="262" t="s">
        <v>583</v>
      </c>
      <c r="P62" s="666" t="s">
        <v>588</v>
      </c>
    </row>
    <row r="63" spans="1:17" ht="15" hidden="1" customHeight="1" x14ac:dyDescent="0.25">
      <c r="B63" s="796" t="s">
        <v>194</v>
      </c>
      <c r="C63" s="796"/>
      <c r="D63" s="796"/>
      <c r="F63" s="67">
        <f>IF(COUNTIF(J38:J46,"Healing Potions")&lt;1,0,1)</f>
        <v>0</v>
      </c>
      <c r="H63" s="661"/>
      <c r="J63" s="661"/>
      <c r="L63" s="377">
        <v>3</v>
      </c>
      <c r="N63" s="67">
        <f>IF($L63*$F$73&lt;1,1,ROUNDDOWN($L63*$F$73,0))</f>
        <v>3</v>
      </c>
      <c r="P63" s="666"/>
    </row>
    <row r="64" spans="1:17" ht="15" hidden="1" customHeight="1" x14ac:dyDescent="0.25">
      <c r="B64" s="826" t="s">
        <v>580</v>
      </c>
      <c r="C64" s="826"/>
      <c r="D64" s="826"/>
      <c r="F64" s="67">
        <f>IF(COUNTIF(J38:J46,"Improved Armor (Masterwork)")&lt;1,0,1)</f>
        <v>0</v>
      </c>
      <c r="H64" s="662">
        <v>1</v>
      </c>
      <c r="J64" s="662"/>
      <c r="L64" s="67">
        <v>1</v>
      </c>
      <c r="N64" s="67">
        <f t="shared" ref="N64:N70" si="0">IF($L64*$F$73&lt;1,1,ROUNDDOWN($L64*$F$73,0))</f>
        <v>1</v>
      </c>
      <c r="P64" s="67"/>
    </row>
    <row r="65" spans="2:16" ht="15" hidden="1" customHeight="1" x14ac:dyDescent="0.25">
      <c r="B65" s="826" t="s">
        <v>193</v>
      </c>
      <c r="C65" s="826"/>
      <c r="D65" s="826"/>
      <c r="F65" s="67">
        <f>IF(COUNTIF(J38:J46,"Improved Armor (Magic)")&lt;1,0,1)</f>
        <v>0</v>
      </c>
      <c r="H65" s="662">
        <v>2</v>
      </c>
      <c r="J65" s="662"/>
      <c r="L65" s="67">
        <v>2</v>
      </c>
      <c r="N65" s="67">
        <f t="shared" si="0"/>
        <v>2</v>
      </c>
      <c r="P65" s="67"/>
    </row>
    <row r="66" spans="2:16" ht="15" hidden="1" customHeight="1" x14ac:dyDescent="0.25">
      <c r="B66" s="826" t="s">
        <v>581</v>
      </c>
      <c r="C66" s="826"/>
      <c r="D66" s="826"/>
      <c r="F66" s="67">
        <f>IF(COUNTIF(J38:J46,"Improved Weapons (Masterwork)")&lt;1,0,1)</f>
        <v>0</v>
      </c>
      <c r="H66" s="662"/>
      <c r="J66" s="662">
        <v>1</v>
      </c>
      <c r="L66" s="67">
        <v>1</v>
      </c>
      <c r="N66" s="67">
        <f t="shared" si="0"/>
        <v>1</v>
      </c>
      <c r="P66" s="67"/>
    </row>
    <row r="67" spans="2:16" ht="15" hidden="1" customHeight="1" x14ac:dyDescent="0.25">
      <c r="B67" s="826" t="s">
        <v>192</v>
      </c>
      <c r="C67" s="826"/>
      <c r="D67" s="826"/>
      <c r="F67" s="67">
        <f>IF(COUNTIF(J38:J46,"Improved Weapons (Magic)")&lt;1,0,1)</f>
        <v>0</v>
      </c>
      <c r="H67" s="662"/>
      <c r="J67" s="662">
        <v>2</v>
      </c>
      <c r="L67" s="67">
        <v>2</v>
      </c>
      <c r="N67" s="67">
        <f t="shared" si="0"/>
        <v>2</v>
      </c>
      <c r="P67" s="67"/>
    </row>
    <row r="68" spans="2:16" ht="15" hidden="1" customHeight="1" x14ac:dyDescent="0.25">
      <c r="B68" s="826" t="s">
        <v>486</v>
      </c>
      <c r="C68" s="826"/>
      <c r="D68" s="826"/>
      <c r="F68" s="67">
        <f>IF(COUNTIF(J38:J46,"Mounts")&lt;1,0,1)</f>
        <v>0</v>
      </c>
      <c r="H68" s="662">
        <v>2</v>
      </c>
      <c r="J68" s="662">
        <v>2</v>
      </c>
      <c r="L68" s="67">
        <v>1</v>
      </c>
      <c r="N68" s="67">
        <f t="shared" si="0"/>
        <v>1</v>
      </c>
      <c r="P68" s="67"/>
    </row>
    <row r="69" spans="2:16" ht="15" hidden="1" customHeight="1" x14ac:dyDescent="0.25">
      <c r="B69" s="826" t="s">
        <v>195</v>
      </c>
      <c r="C69" s="826"/>
      <c r="D69" s="826"/>
      <c r="F69" s="67">
        <f>IF(COUNTIF(J38:J46,"Ranged Weapons")&lt;1,0,1)</f>
        <v>0</v>
      </c>
      <c r="H69" s="662"/>
      <c r="J69" s="662"/>
      <c r="L69" s="67">
        <v>1</v>
      </c>
      <c r="N69" s="67">
        <f t="shared" si="0"/>
        <v>1</v>
      </c>
      <c r="P69" s="67">
        <v>1</v>
      </c>
    </row>
    <row r="70" spans="2:16" ht="15" hidden="1" customHeight="1" x14ac:dyDescent="0.25">
      <c r="B70" s="825" t="s">
        <v>196</v>
      </c>
      <c r="C70" s="825"/>
      <c r="D70" s="825"/>
      <c r="F70" s="67">
        <f>IF(COUNTIF(J38:J46,"Siege Weapons")&lt;1,0,1)</f>
        <v>0</v>
      </c>
      <c r="H70" s="662"/>
      <c r="J70" s="662">
        <v>2</v>
      </c>
      <c r="L70" s="67">
        <v>3</v>
      </c>
      <c r="N70" s="67">
        <f t="shared" si="0"/>
        <v>3</v>
      </c>
      <c r="P70" s="67"/>
    </row>
    <row r="71" spans="2:16" ht="15" hidden="1" customHeight="1" x14ac:dyDescent="0.25">
      <c r="B71" s="829" t="s">
        <v>585</v>
      </c>
      <c r="C71" s="829"/>
      <c r="D71" s="829"/>
      <c r="E71" s="829"/>
      <c r="F71" s="829"/>
      <c r="G71" s="265"/>
      <c r="H71" s="175">
        <f>SUMPRODUCT($F$64:$F$70,H$64:H$70)</f>
        <v>0</v>
      </c>
      <c r="I71" s="175"/>
      <c r="J71" s="175">
        <f t="shared" ref="J71:P71" si="1">SUMPRODUCT($F$64:$F$70,J$64:J$70)</f>
        <v>0</v>
      </c>
      <c r="K71" s="175"/>
      <c r="L71" s="175">
        <f t="shared" si="1"/>
        <v>0</v>
      </c>
      <c r="M71" s="175"/>
      <c r="N71" s="175">
        <f>SUMPRODUCT($F$63:$F$70,N$63:N$70)</f>
        <v>0</v>
      </c>
      <c r="O71" s="175"/>
      <c r="P71" s="175">
        <f t="shared" si="1"/>
        <v>0</v>
      </c>
    </row>
    <row r="72" spans="2:16" hidden="1" x14ac:dyDescent="0.25">
      <c r="B72" s="664"/>
      <c r="C72" s="664"/>
      <c r="D72" s="664"/>
      <c r="F72" s="67"/>
      <c r="H72" s="662"/>
      <c r="J72" s="662"/>
      <c r="L72" s="67"/>
      <c r="N72" s="67"/>
    </row>
    <row r="73" spans="2:16" ht="15" hidden="1" customHeight="1" x14ac:dyDescent="0.25">
      <c r="B73" s="827" t="s">
        <v>584</v>
      </c>
      <c r="C73" s="827"/>
      <c r="D73" s="827"/>
      <c r="F73" s="266">
        <f>IF(F4="Fine",1/8,IF(F4="Diminutive",1/6,IF(F4="Tiny",1/4,IF(F4="Small",1/2,IF(F4="Large",2,IF(F4="Huge",4,IF(F4="Gargantuan",10,IF(F4="Colossal",20,1))))))))</f>
        <v>1</v>
      </c>
      <c r="H73" s="662"/>
      <c r="I73" s="662"/>
      <c r="J73" s="662"/>
      <c r="K73" s="662"/>
      <c r="L73" s="662"/>
      <c r="M73" s="662"/>
      <c r="N73" s="662"/>
    </row>
    <row r="74" spans="2:16" hidden="1" x14ac:dyDescent="0.25">
      <c r="B74" s="664"/>
    </row>
    <row r="75" spans="2:16" ht="15" hidden="1" customHeight="1" x14ac:dyDescent="0.25">
      <c r="B75" s="800" t="s">
        <v>482</v>
      </c>
      <c r="C75" s="800"/>
      <c r="D75" s="800"/>
      <c r="F75" s="262" t="s">
        <v>367</v>
      </c>
      <c r="G75" s="262"/>
      <c r="H75" s="661" t="s">
        <v>218</v>
      </c>
      <c r="I75" s="556"/>
      <c r="J75" s="661" t="s">
        <v>160</v>
      </c>
    </row>
    <row r="76" spans="2:16" ht="15" hidden="1" customHeight="1" x14ac:dyDescent="0.25">
      <c r="B76" s="826" t="s">
        <v>534</v>
      </c>
      <c r="C76" s="826"/>
      <c r="D76" s="826"/>
      <c r="F76" s="67">
        <f>IF(COUNTIF(J24:J32,"Defensive Tactics")&lt;1,0,1)</f>
        <v>0</v>
      </c>
      <c r="G76" s="67"/>
      <c r="H76" s="662">
        <v>2</v>
      </c>
      <c r="I76" s="556"/>
      <c r="J76" s="662"/>
    </row>
    <row r="77" spans="2:16" ht="15" hidden="1" customHeight="1" x14ac:dyDescent="0.25">
      <c r="B77" s="825" t="s">
        <v>50</v>
      </c>
      <c r="C77" s="825"/>
      <c r="D77" s="825"/>
      <c r="F77" s="67">
        <f>IF(COUNTIF(J24:J32,"Loyalty")&lt;1,0,1)</f>
        <v>0</v>
      </c>
      <c r="G77" s="67"/>
      <c r="H77" s="662"/>
      <c r="I77" s="556"/>
      <c r="J77" s="662">
        <f>IF(H24&lt;12,2,4)</f>
        <v>2</v>
      </c>
    </row>
    <row r="78" spans="2:16" ht="15" hidden="1" customHeight="1" x14ac:dyDescent="0.25">
      <c r="B78" s="829" t="s">
        <v>585</v>
      </c>
      <c r="C78" s="829"/>
      <c r="D78" s="829"/>
      <c r="E78" s="829"/>
      <c r="F78" s="829"/>
      <c r="G78" s="267"/>
      <c r="H78" s="175">
        <f>SUMPRODUCT($F$76:$F$77,H$76:H$77)</f>
        <v>0</v>
      </c>
      <c r="I78" s="175"/>
      <c r="J78" s="175">
        <f>SUMPRODUCT($F$76:$F$77,J$76:J$77)</f>
        <v>0</v>
      </c>
    </row>
    <row r="79" spans="2:16" hidden="1" x14ac:dyDescent="0.25">
      <c r="B79" s="664"/>
    </row>
    <row r="80" spans="2:16" ht="15" hidden="1" customHeight="1" x14ac:dyDescent="0.25">
      <c r="B80" s="800" t="s">
        <v>161</v>
      </c>
      <c r="C80" s="800"/>
      <c r="D80" s="800"/>
      <c r="F80" s="262" t="s">
        <v>367</v>
      </c>
      <c r="H80" s="661" t="s">
        <v>219</v>
      </c>
      <c r="J80" s="661" t="s">
        <v>218</v>
      </c>
      <c r="L80" s="262" t="s">
        <v>588</v>
      </c>
    </row>
    <row r="81" spans="2:12" ht="15" hidden="1" customHeight="1" x14ac:dyDescent="0.25">
      <c r="B81" s="830" t="s">
        <v>542</v>
      </c>
      <c r="C81" s="830"/>
      <c r="D81" s="830"/>
      <c r="F81" s="67">
        <f>IF(COUNTIF(B50:B58,"Animal Companion")&lt;1,0,1)</f>
        <v>0</v>
      </c>
      <c r="H81" s="662">
        <v>1</v>
      </c>
      <c r="J81" s="662"/>
      <c r="L81" s="67"/>
    </row>
    <row r="82" spans="2:12" ht="15" hidden="1" customHeight="1" x14ac:dyDescent="0.25">
      <c r="B82" s="830" t="s">
        <v>545</v>
      </c>
      <c r="C82" s="830"/>
      <c r="D82" s="830"/>
      <c r="F82" s="67">
        <f>IF(COUNTIF(B50:B58,"Bomb")&lt;1,0,1)</f>
        <v>0</v>
      </c>
      <c r="H82" s="662"/>
      <c r="J82" s="662"/>
      <c r="L82" s="67">
        <v>1</v>
      </c>
    </row>
    <row r="83" spans="2:12" ht="15" hidden="1" customHeight="1" x14ac:dyDescent="0.25">
      <c r="B83" s="830" t="s">
        <v>197</v>
      </c>
      <c r="C83" s="830"/>
      <c r="D83" s="830"/>
      <c r="F83" s="67">
        <f>IF(COUNTIF(B50:B58,"Breath Weapon")&lt;1,0,1)</f>
        <v>0</v>
      </c>
      <c r="H83" s="662"/>
      <c r="J83" s="662"/>
      <c r="L83" s="67">
        <v>1</v>
      </c>
    </row>
    <row r="84" spans="2:12" ht="15" hidden="1" customHeight="1" x14ac:dyDescent="0.25">
      <c r="B84" s="830" t="s">
        <v>554</v>
      </c>
      <c r="C84" s="830"/>
      <c r="D84" s="830"/>
      <c r="F84" s="67">
        <f>IF(COUNTIF(B50:B58,"Eidolon")&lt;1,0,1)</f>
        <v>0</v>
      </c>
      <c r="H84" s="662">
        <v>1</v>
      </c>
      <c r="J84" s="662"/>
      <c r="L84" s="67"/>
    </row>
    <row r="85" spans="2:12" ht="15" hidden="1" customHeight="1" x14ac:dyDescent="0.25">
      <c r="B85" s="830" t="s">
        <v>587</v>
      </c>
      <c r="C85" s="830"/>
      <c r="D85" s="830"/>
      <c r="F85" s="67">
        <f>IF(COUNTIF(B50:B58,"Hunter's Bond (Animal)")&lt;1,0,1)</f>
        <v>0</v>
      </c>
      <c r="H85" s="662">
        <v>1</v>
      </c>
      <c r="J85" s="662"/>
      <c r="L85" s="67"/>
    </row>
    <row r="86" spans="2:12" ht="15" hidden="1" customHeight="1" x14ac:dyDescent="0.25">
      <c r="B86" s="830" t="s">
        <v>514</v>
      </c>
      <c r="C86" s="830"/>
      <c r="D86" s="830"/>
      <c r="F86" s="67">
        <f>IF(COUNTIF(B50:B58,"Mindless")&lt;1,0,1)</f>
        <v>0</v>
      </c>
      <c r="H86" s="662"/>
      <c r="J86" s="662"/>
      <c r="L86" s="67"/>
    </row>
    <row r="87" spans="2:12" ht="15" hidden="1" customHeight="1" x14ac:dyDescent="0.25">
      <c r="B87" s="830" t="s">
        <v>517</v>
      </c>
      <c r="C87" s="830"/>
      <c r="D87" s="830"/>
      <c r="F87" s="67">
        <f>IF(COUNTIF(B50:B58,"Pounce")&lt;1,0,1)</f>
        <v>0</v>
      </c>
      <c r="H87" s="662">
        <v>1</v>
      </c>
      <c r="J87" s="662"/>
      <c r="L87" s="67"/>
    </row>
    <row r="88" spans="2:12" ht="15" hidden="1" customHeight="1" x14ac:dyDescent="0.25">
      <c r="B88" s="830" t="s">
        <v>518</v>
      </c>
      <c r="C88" s="830"/>
      <c r="D88" s="830"/>
      <c r="F88" s="67">
        <f>IF(COUNTIF(B50:B58,"Powerful Charge")&lt;1,0,1)</f>
        <v>0</v>
      </c>
      <c r="H88" s="662">
        <v>1</v>
      </c>
      <c r="J88" s="662"/>
      <c r="L88" s="67"/>
    </row>
    <row r="89" spans="2:12" ht="15" hidden="1" customHeight="1" x14ac:dyDescent="0.25">
      <c r="B89" s="830" t="s">
        <v>571</v>
      </c>
      <c r="C89" s="830"/>
      <c r="D89" s="830"/>
      <c r="F89" s="67">
        <f>IF(COUNTIF(B50:B58,"Shield Ally")&lt;1,0,1)</f>
        <v>0</v>
      </c>
      <c r="H89" s="662"/>
      <c r="J89" s="662">
        <v>1</v>
      </c>
      <c r="L89" s="67"/>
    </row>
    <row r="90" spans="2:12" ht="15" hidden="1" customHeight="1" x14ac:dyDescent="0.25">
      <c r="B90" s="830" t="s">
        <v>526</v>
      </c>
      <c r="C90" s="830"/>
      <c r="D90" s="830"/>
      <c r="F90" s="67">
        <f>IF(COUNTIF(B50:B58,"Trample")&lt;1,0,1)</f>
        <v>0</v>
      </c>
      <c r="H90" s="662">
        <v>1</v>
      </c>
      <c r="J90" s="662"/>
      <c r="L90" s="67"/>
    </row>
    <row r="91" spans="2:12" ht="15" hidden="1" customHeight="1" x14ac:dyDescent="0.25">
      <c r="B91" s="831" t="s">
        <v>203</v>
      </c>
      <c r="C91" s="831"/>
      <c r="D91" s="831"/>
      <c r="F91" s="67">
        <f>IF(COUNTIF(B50:B58,"Undead")&lt;1,0,1)</f>
        <v>0</v>
      </c>
      <c r="H91" s="662"/>
      <c r="J91" s="662">
        <v>2</v>
      </c>
      <c r="L91" s="67"/>
    </row>
    <row r="92" spans="2:12" ht="15" hidden="1" customHeight="1" x14ac:dyDescent="0.25">
      <c r="B92" s="829" t="s">
        <v>585</v>
      </c>
      <c r="C92" s="829"/>
      <c r="D92" s="829"/>
      <c r="E92" s="829"/>
      <c r="F92" s="829"/>
      <c r="G92" s="265"/>
      <c r="H92" s="175">
        <f>SUMPRODUCT($F$81:$F$91,H$81:H$91)</f>
        <v>0</v>
      </c>
      <c r="I92" s="268"/>
      <c r="J92" s="175">
        <f>SUMPRODUCT($F$81:$F$91,J$81:J$91)</f>
        <v>0</v>
      </c>
      <c r="K92" s="268"/>
      <c r="L92" s="175">
        <f>SUMPRODUCT($F$81:$F$91,L$81:L$91)</f>
        <v>0</v>
      </c>
    </row>
    <row r="93" spans="2:12" hidden="1" x14ac:dyDescent="0.25">
      <c r="B93" s="665"/>
      <c r="C93" s="665"/>
      <c r="D93" s="665"/>
    </row>
    <row r="94" spans="2:12" ht="15" hidden="1" customHeight="1" x14ac:dyDescent="0.25">
      <c r="B94" s="800" t="s">
        <v>585</v>
      </c>
      <c r="C94" s="800"/>
      <c r="D94" s="800"/>
      <c r="E94" s="800"/>
      <c r="F94" s="800"/>
    </row>
    <row r="95" spans="2:12" ht="15" hidden="1" customHeight="1" x14ac:dyDescent="0.25">
      <c r="B95" s="827" t="s">
        <v>219</v>
      </c>
      <c r="C95" s="827"/>
      <c r="D95" s="827"/>
      <c r="F95" s="67">
        <f>J71+H92</f>
        <v>0</v>
      </c>
    </row>
    <row r="96" spans="2:12" ht="15" hidden="1" customHeight="1" x14ac:dyDescent="0.25">
      <c r="B96" s="827" t="s">
        <v>218</v>
      </c>
      <c r="C96" s="827"/>
      <c r="D96" s="827"/>
      <c r="F96" s="67">
        <f>H71+H78+J92</f>
        <v>0</v>
      </c>
    </row>
    <row r="97" spans="2:6" ht="15" hidden="1" customHeight="1" x14ac:dyDescent="0.25">
      <c r="B97" s="827" t="s">
        <v>160</v>
      </c>
      <c r="C97" s="827"/>
      <c r="D97" s="827"/>
      <c r="F97" s="67">
        <f>J78</f>
        <v>0</v>
      </c>
    </row>
    <row r="98" spans="2:6" ht="15" hidden="1" customHeight="1" x14ac:dyDescent="0.25">
      <c r="B98" s="828" t="s">
        <v>61</v>
      </c>
      <c r="C98" s="828"/>
      <c r="D98" s="828"/>
      <c r="F98" s="67">
        <f>N71</f>
        <v>0</v>
      </c>
    </row>
    <row r="99" spans="2:6" ht="15" hidden="1" customHeight="1" x14ac:dyDescent="0.25">
      <c r="B99" s="828" t="s">
        <v>588</v>
      </c>
      <c r="C99" s="828"/>
      <c r="D99" s="828"/>
      <c r="F99" s="67">
        <f>IF(P71+L92&gt;0,1,0)</f>
        <v>0</v>
      </c>
    </row>
    <row r="100" spans="2:6" ht="15" hidden="1" customHeight="1" x14ac:dyDescent="0.25">
      <c r="B100" s="827" t="s">
        <v>514</v>
      </c>
      <c r="C100" s="827"/>
      <c r="D100" s="827"/>
      <c r="F100" s="67">
        <f>F86</f>
        <v>0</v>
      </c>
    </row>
    <row r="101" spans="2:6" hidden="1" x14ac:dyDescent="0.25">
      <c r="B101" s="665"/>
      <c r="C101" s="665"/>
      <c r="D101" s="665"/>
    </row>
    <row r="102" spans="2:6" x14ac:dyDescent="0.25">
      <c r="B102" s="665"/>
      <c r="C102" s="665"/>
      <c r="D102" s="665"/>
    </row>
    <row r="103" spans="2:6" x14ac:dyDescent="0.25">
      <c r="B103" s="665"/>
      <c r="C103" s="665"/>
      <c r="D103" s="665"/>
    </row>
    <row r="104" spans="2:6" x14ac:dyDescent="0.25">
      <c r="B104" s="665"/>
      <c r="C104" s="665"/>
      <c r="D104" s="665"/>
    </row>
    <row r="105" spans="2:6" x14ac:dyDescent="0.25">
      <c r="B105" s="665"/>
      <c r="C105" s="665"/>
      <c r="D105" s="665"/>
    </row>
    <row r="106" spans="2:6" x14ac:dyDescent="0.25">
      <c r="B106" s="665"/>
      <c r="C106" s="665"/>
      <c r="D106" s="665"/>
    </row>
    <row r="107" spans="2:6" x14ac:dyDescent="0.25">
      <c r="B107" s="665"/>
      <c r="C107" s="665"/>
      <c r="D107" s="665"/>
    </row>
    <row r="108" spans="2:6" x14ac:dyDescent="0.25">
      <c r="B108" s="665"/>
      <c r="C108" s="665"/>
      <c r="D108" s="665"/>
    </row>
    <row r="109" spans="2:6" x14ac:dyDescent="0.25">
      <c r="B109" s="665"/>
      <c r="C109" s="665"/>
      <c r="D109" s="665"/>
    </row>
    <row r="110" spans="2:6" x14ac:dyDescent="0.25">
      <c r="B110" s="665"/>
      <c r="C110" s="665"/>
      <c r="D110" s="665"/>
    </row>
    <row r="111" spans="2:6" x14ac:dyDescent="0.25">
      <c r="B111" s="665"/>
      <c r="C111" s="665"/>
      <c r="D111" s="665"/>
    </row>
    <row r="112" spans="2:6" x14ac:dyDescent="0.25">
      <c r="B112" s="665"/>
      <c r="C112" s="665"/>
      <c r="D112" s="665"/>
    </row>
    <row r="113" spans="2:4" x14ac:dyDescent="0.25">
      <c r="B113" s="665"/>
      <c r="C113" s="665"/>
      <c r="D113" s="665"/>
    </row>
    <row r="114" spans="2:4" x14ac:dyDescent="0.25">
      <c r="B114" s="665"/>
      <c r="C114" s="665"/>
      <c r="D114" s="665"/>
    </row>
    <row r="115" spans="2:4" x14ac:dyDescent="0.25">
      <c r="B115" s="665"/>
      <c r="C115" s="665"/>
      <c r="D115" s="665"/>
    </row>
    <row r="116" spans="2:4" x14ac:dyDescent="0.25">
      <c r="B116" s="665"/>
      <c r="C116" s="665"/>
      <c r="D116" s="665"/>
    </row>
    <row r="117" spans="2:4" x14ac:dyDescent="0.25">
      <c r="B117" s="665"/>
      <c r="C117" s="665"/>
      <c r="D117" s="665"/>
    </row>
    <row r="118" spans="2:4" x14ac:dyDescent="0.25">
      <c r="B118" s="665"/>
      <c r="C118" s="665"/>
      <c r="D118" s="665"/>
    </row>
    <row r="119" spans="2:4" x14ac:dyDescent="0.25">
      <c r="B119" s="665"/>
      <c r="C119" s="665"/>
      <c r="D119" s="665"/>
    </row>
    <row r="120" spans="2:4" x14ac:dyDescent="0.25">
      <c r="B120" s="665"/>
      <c r="C120" s="665"/>
      <c r="D120" s="665"/>
    </row>
    <row r="121" spans="2:4" x14ac:dyDescent="0.25">
      <c r="B121" s="665"/>
      <c r="C121" s="665"/>
      <c r="D121" s="665"/>
    </row>
    <row r="122" spans="2:4" x14ac:dyDescent="0.25">
      <c r="B122" s="665"/>
      <c r="C122" s="665"/>
      <c r="D122" s="665"/>
    </row>
    <row r="123" spans="2:4" x14ac:dyDescent="0.25">
      <c r="B123" s="665"/>
      <c r="C123" s="665"/>
      <c r="D123" s="665"/>
    </row>
    <row r="124" spans="2:4" x14ac:dyDescent="0.25">
      <c r="B124" s="665"/>
      <c r="C124" s="665"/>
      <c r="D124" s="665"/>
    </row>
    <row r="125" spans="2:4" x14ac:dyDescent="0.25">
      <c r="B125" s="665"/>
      <c r="C125" s="665"/>
      <c r="D125" s="665"/>
    </row>
    <row r="126" spans="2:4" x14ac:dyDescent="0.25">
      <c r="B126" s="665"/>
      <c r="C126" s="665"/>
      <c r="D126" s="665"/>
    </row>
    <row r="127" spans="2:4" x14ac:dyDescent="0.25">
      <c r="B127" s="665"/>
      <c r="C127" s="665"/>
      <c r="D127" s="665"/>
    </row>
    <row r="128" spans="2:4" x14ac:dyDescent="0.25">
      <c r="B128" s="665"/>
      <c r="C128" s="665"/>
      <c r="D128" s="665"/>
    </row>
    <row r="129" spans="2:4" x14ac:dyDescent="0.25">
      <c r="B129" s="665"/>
      <c r="C129" s="665"/>
      <c r="D129" s="665"/>
    </row>
    <row r="130" spans="2:4" x14ac:dyDescent="0.25">
      <c r="B130" s="665"/>
      <c r="C130" s="665"/>
      <c r="D130" s="665"/>
    </row>
    <row r="131" spans="2:4" x14ac:dyDescent="0.25">
      <c r="B131" s="665"/>
      <c r="C131" s="665"/>
      <c r="D131" s="665"/>
    </row>
    <row r="132" spans="2:4" x14ac:dyDescent="0.25">
      <c r="B132" s="665"/>
      <c r="C132" s="665"/>
      <c r="D132" s="665"/>
    </row>
    <row r="133" spans="2:4" x14ac:dyDescent="0.25">
      <c r="B133" s="665"/>
      <c r="C133" s="665"/>
      <c r="D133" s="665"/>
    </row>
    <row r="134" spans="2:4" x14ac:dyDescent="0.25">
      <c r="B134" s="665"/>
      <c r="C134" s="665"/>
      <c r="D134" s="665"/>
    </row>
    <row r="135" spans="2:4" x14ac:dyDescent="0.25">
      <c r="B135" s="665"/>
      <c r="C135" s="665"/>
      <c r="D135" s="665"/>
    </row>
    <row r="136" spans="2:4" x14ac:dyDescent="0.25">
      <c r="B136" s="665"/>
      <c r="C136" s="665"/>
      <c r="D136" s="665"/>
    </row>
    <row r="137" spans="2:4" x14ac:dyDescent="0.25">
      <c r="B137" s="665"/>
      <c r="C137" s="665"/>
      <c r="D137" s="665"/>
    </row>
    <row r="138" spans="2:4" x14ac:dyDescent="0.25">
      <c r="B138" s="665"/>
      <c r="C138" s="665"/>
      <c r="D138" s="665"/>
    </row>
    <row r="139" spans="2:4" x14ac:dyDescent="0.25">
      <c r="B139" s="665"/>
      <c r="C139" s="665"/>
      <c r="D139" s="665"/>
    </row>
    <row r="140" spans="2:4" x14ac:dyDescent="0.25">
      <c r="B140" s="665"/>
      <c r="C140" s="665"/>
      <c r="D140" s="665"/>
    </row>
    <row r="141" spans="2:4" x14ac:dyDescent="0.25">
      <c r="B141" s="665"/>
      <c r="C141" s="665"/>
      <c r="D141" s="665"/>
    </row>
    <row r="142" spans="2:4" x14ac:dyDescent="0.25">
      <c r="B142" s="665"/>
      <c r="C142" s="665"/>
      <c r="D142" s="665"/>
    </row>
    <row r="143" spans="2:4" x14ac:dyDescent="0.25">
      <c r="B143" s="665"/>
      <c r="C143" s="665"/>
      <c r="D143" s="665"/>
    </row>
    <row r="144" spans="2:4" x14ac:dyDescent="0.25">
      <c r="B144" s="665"/>
      <c r="C144" s="665"/>
      <c r="D144" s="665"/>
    </row>
    <row r="145" spans="2:4" x14ac:dyDescent="0.25">
      <c r="B145" s="665"/>
      <c r="C145" s="665"/>
      <c r="D145" s="665"/>
    </row>
    <row r="146" spans="2:4" x14ac:dyDescent="0.25">
      <c r="B146" s="665"/>
      <c r="C146" s="665"/>
      <c r="D146" s="665"/>
    </row>
    <row r="147" spans="2:4" x14ac:dyDescent="0.25">
      <c r="B147" s="665"/>
      <c r="C147" s="665"/>
      <c r="D147" s="665"/>
    </row>
    <row r="148" spans="2:4" x14ac:dyDescent="0.25">
      <c r="B148" s="665"/>
      <c r="C148" s="665"/>
      <c r="D148" s="665"/>
    </row>
    <row r="149" spans="2:4" x14ac:dyDescent="0.25">
      <c r="B149" s="665"/>
      <c r="C149" s="665"/>
      <c r="D149" s="665"/>
    </row>
    <row r="150" spans="2:4" x14ac:dyDescent="0.25">
      <c r="B150" s="665"/>
      <c r="C150" s="665"/>
      <c r="D150" s="665"/>
    </row>
    <row r="151" spans="2:4" x14ac:dyDescent="0.25">
      <c r="B151" s="665"/>
      <c r="C151" s="665"/>
      <c r="D151" s="665"/>
    </row>
    <row r="152" spans="2:4" x14ac:dyDescent="0.25">
      <c r="B152" s="665"/>
      <c r="C152" s="665"/>
      <c r="D152" s="665"/>
    </row>
    <row r="153" spans="2:4" x14ac:dyDescent="0.25">
      <c r="B153" s="665"/>
      <c r="C153" s="665"/>
      <c r="D153" s="665"/>
    </row>
    <row r="154" spans="2:4" x14ac:dyDescent="0.25">
      <c r="B154" s="665"/>
      <c r="C154" s="665"/>
      <c r="D154" s="665"/>
    </row>
    <row r="155" spans="2:4" x14ac:dyDescent="0.25">
      <c r="B155" s="665"/>
      <c r="C155" s="665"/>
      <c r="D155" s="665"/>
    </row>
    <row r="156" spans="2:4" x14ac:dyDescent="0.25">
      <c r="B156" s="665"/>
      <c r="C156" s="665"/>
      <c r="D156" s="665"/>
    </row>
    <row r="157" spans="2:4" x14ac:dyDescent="0.25">
      <c r="B157" s="665"/>
      <c r="C157" s="665"/>
      <c r="D157" s="665"/>
    </row>
    <row r="158" spans="2:4" x14ac:dyDescent="0.25">
      <c r="B158" s="665"/>
      <c r="C158" s="665"/>
      <c r="D158" s="665"/>
    </row>
    <row r="159" spans="2:4" x14ac:dyDescent="0.25">
      <c r="B159" s="665"/>
      <c r="C159" s="665"/>
      <c r="D159" s="665"/>
    </row>
    <row r="160" spans="2:4" x14ac:dyDescent="0.25">
      <c r="B160" s="665"/>
      <c r="C160" s="665"/>
      <c r="D160" s="665"/>
    </row>
    <row r="161" spans="2:4" x14ac:dyDescent="0.25">
      <c r="B161" s="665"/>
      <c r="C161" s="665"/>
      <c r="D161" s="665"/>
    </row>
    <row r="162" spans="2:4" x14ac:dyDescent="0.25">
      <c r="B162" s="665"/>
      <c r="C162" s="665"/>
      <c r="D162" s="665"/>
    </row>
    <row r="163" spans="2:4" x14ac:dyDescent="0.25">
      <c r="B163" s="665"/>
      <c r="C163" s="665"/>
      <c r="D163" s="665"/>
    </row>
    <row r="164" spans="2:4" x14ac:dyDescent="0.25">
      <c r="B164" s="665"/>
      <c r="C164" s="665"/>
      <c r="D164" s="665"/>
    </row>
    <row r="165" spans="2:4" x14ac:dyDescent="0.25">
      <c r="B165" s="665"/>
      <c r="C165" s="665"/>
      <c r="D165" s="665"/>
    </row>
    <row r="166" spans="2:4" x14ac:dyDescent="0.25">
      <c r="B166" s="665"/>
      <c r="C166" s="665"/>
      <c r="D166" s="665"/>
    </row>
    <row r="167" spans="2:4" x14ac:dyDescent="0.25">
      <c r="B167" s="665"/>
      <c r="C167" s="665"/>
      <c r="D167" s="665"/>
    </row>
    <row r="168" spans="2:4" x14ac:dyDescent="0.25">
      <c r="B168" s="665"/>
      <c r="C168" s="665"/>
      <c r="D168" s="665"/>
    </row>
    <row r="169" spans="2:4" x14ac:dyDescent="0.25">
      <c r="B169" s="665"/>
      <c r="C169" s="665"/>
      <c r="D169" s="665"/>
    </row>
    <row r="170" spans="2:4" x14ac:dyDescent="0.25">
      <c r="B170" s="665"/>
      <c r="C170" s="665"/>
      <c r="D170" s="665"/>
    </row>
    <row r="171" spans="2:4" x14ac:dyDescent="0.25">
      <c r="B171" s="665"/>
      <c r="C171" s="665"/>
      <c r="D171" s="665"/>
    </row>
    <row r="172" spans="2:4" x14ac:dyDescent="0.25">
      <c r="B172" s="665"/>
      <c r="C172" s="665"/>
      <c r="D172" s="665"/>
    </row>
    <row r="173" spans="2:4" x14ac:dyDescent="0.25">
      <c r="B173" s="665"/>
      <c r="C173" s="665"/>
      <c r="D173" s="665"/>
    </row>
    <row r="174" spans="2:4" x14ac:dyDescent="0.25">
      <c r="B174" s="665"/>
      <c r="C174" s="665"/>
      <c r="D174" s="665"/>
    </row>
    <row r="175" spans="2:4" x14ac:dyDescent="0.25">
      <c r="B175" s="665"/>
      <c r="C175" s="665"/>
      <c r="D175" s="665"/>
    </row>
    <row r="176" spans="2:4" x14ac:dyDescent="0.25">
      <c r="B176" s="665"/>
      <c r="C176" s="665"/>
      <c r="D176" s="665"/>
    </row>
    <row r="177" spans="2:4" x14ac:dyDescent="0.25">
      <c r="B177" s="665"/>
      <c r="C177" s="665"/>
      <c r="D177" s="665"/>
    </row>
    <row r="178" spans="2:4" x14ac:dyDescent="0.25">
      <c r="B178" s="665"/>
      <c r="C178" s="665"/>
      <c r="D178" s="665"/>
    </row>
  </sheetData>
  <sheetProtection sheet="1" objects="1" scenarios="1" selectLockedCells="1"/>
  <mergeCells count="100">
    <mergeCell ref="B96:D96"/>
    <mergeCell ref="B97:D97"/>
    <mergeCell ref="B98:D98"/>
    <mergeCell ref="B99:D99"/>
    <mergeCell ref="B89:D89"/>
    <mergeCell ref="B90:D90"/>
    <mergeCell ref="B95:D95"/>
    <mergeCell ref="B91:D91"/>
    <mergeCell ref="B92:F92"/>
    <mergeCell ref="B94:F94"/>
    <mergeCell ref="B88:D88"/>
    <mergeCell ref="B76:D76"/>
    <mergeCell ref="B80:D80"/>
    <mergeCell ref="B81:D81"/>
    <mergeCell ref="B82:D82"/>
    <mergeCell ref="B83:D83"/>
    <mergeCell ref="B84:D84"/>
    <mergeCell ref="B85:D85"/>
    <mergeCell ref="B86:D86"/>
    <mergeCell ref="B87:D87"/>
    <mergeCell ref="B77:D77"/>
    <mergeCell ref="B78:F78"/>
    <mergeCell ref="B75:D75"/>
    <mergeCell ref="B62:D62"/>
    <mergeCell ref="B63:D63"/>
    <mergeCell ref="B64:D64"/>
    <mergeCell ref="B65:D65"/>
    <mergeCell ref="B66:D66"/>
    <mergeCell ref="B67:D67"/>
    <mergeCell ref="B68:D68"/>
    <mergeCell ref="B69:D69"/>
    <mergeCell ref="B70:D70"/>
    <mergeCell ref="B71:F71"/>
    <mergeCell ref="B73:D73"/>
    <mergeCell ref="B50:H50"/>
    <mergeCell ref="J50:P58"/>
    <mergeCell ref="B52:H52"/>
    <mergeCell ref="B54:H54"/>
    <mergeCell ref="B56:H56"/>
    <mergeCell ref="B58:H58"/>
    <mergeCell ref="B46:H46"/>
    <mergeCell ref="J46:P46"/>
    <mergeCell ref="B48:H48"/>
    <mergeCell ref="J48:P48"/>
    <mergeCell ref="S48:T48"/>
    <mergeCell ref="S38:T38"/>
    <mergeCell ref="B40:H40"/>
    <mergeCell ref="J40:P40"/>
    <mergeCell ref="B44:H44"/>
    <mergeCell ref="J44:P44"/>
    <mergeCell ref="B42:H42"/>
    <mergeCell ref="J42:P42"/>
    <mergeCell ref="B38:H38"/>
    <mergeCell ref="J38:P38"/>
    <mergeCell ref="S36:T36"/>
    <mergeCell ref="B26:F26"/>
    <mergeCell ref="J26:P26"/>
    <mergeCell ref="B28:F28"/>
    <mergeCell ref="J28:P28"/>
    <mergeCell ref="B30:F30"/>
    <mergeCell ref="J30:P30"/>
    <mergeCell ref="B32:F32"/>
    <mergeCell ref="J32:P32"/>
    <mergeCell ref="B34:P34"/>
    <mergeCell ref="B36:H36"/>
    <mergeCell ref="J36:P36"/>
    <mergeCell ref="S18:T18"/>
    <mergeCell ref="B20:P20"/>
    <mergeCell ref="D22:H22"/>
    <mergeCell ref="J22:P22"/>
    <mergeCell ref="S22:T22"/>
    <mergeCell ref="B24:F24"/>
    <mergeCell ref="J24:P24"/>
    <mergeCell ref="B14:P14"/>
    <mergeCell ref="B16:D16"/>
    <mergeCell ref="F16:L16"/>
    <mergeCell ref="B18:D18"/>
    <mergeCell ref="F18:H18"/>
    <mergeCell ref="J18:N18"/>
    <mergeCell ref="N10:P10"/>
    <mergeCell ref="B12:D12"/>
    <mergeCell ref="F12:H12"/>
    <mergeCell ref="J12:L12"/>
    <mergeCell ref="N12:P12"/>
    <mergeCell ref="B100:D100"/>
    <mergeCell ref="S4:T4"/>
    <mergeCell ref="B2:D2"/>
    <mergeCell ref="F2:L2"/>
    <mergeCell ref="B4:D4"/>
    <mergeCell ref="F4:J4"/>
    <mergeCell ref="L4:N4"/>
    <mergeCell ref="B6:H6"/>
    <mergeCell ref="J6:P6"/>
    <mergeCell ref="B8:D8"/>
    <mergeCell ref="F8:H8"/>
    <mergeCell ref="J8:L8"/>
    <mergeCell ref="N8:P8"/>
    <mergeCell ref="B10:D10"/>
    <mergeCell ref="F10:H10"/>
    <mergeCell ref="J10:L10"/>
  </mergeCells>
  <dataValidations count="8">
    <dataValidation type="list" allowBlank="1" showInputMessage="1" showErrorMessage="1" sqref="J44:P46 J38:P38 J40:P40 J42:P42">
      <formula1>Resources</formula1>
    </dataValidation>
    <dataValidation type="list" allowBlank="1" showInputMessage="1" showErrorMessage="1" sqref="P17:P18 O18">
      <formula1>HD</formula1>
    </dataValidation>
    <dataValidation type="list" allowBlank="1" showInputMessage="1" showErrorMessage="1" sqref="B44:H46 B38:H38 B40:H40 B42:H42">
      <formula1>Tactics</formula1>
    </dataValidation>
    <dataValidation type="list" allowBlank="1" showInputMessage="1" showErrorMessage="1" sqref="B50:H50 B52:H52 B54:H54 B56:H56 B58:H58">
      <formula1>ArmySA</formula1>
    </dataValidation>
    <dataValidation type="list" allowBlank="1" showInputMessage="1" showErrorMessage="1" sqref="J24:P24 J26:P26 J28:P28 J30:P30 J32:P32">
      <formula1>Boons</formula1>
    </dataValidation>
    <dataValidation type="list" allowBlank="1" showInputMessage="1" showErrorMessage="1" sqref="N12:P12">
      <formula1>Morale</formula1>
    </dataValidation>
    <dataValidation type="list" allowBlank="1" showInputMessage="1" showErrorMessage="1" sqref="F4:J4">
      <formula1>ArmySize</formula1>
    </dataValidation>
    <dataValidation type="list" allowBlank="1" showInputMessage="1" showErrorMessage="1" sqref="P4 H32">
      <formula1>YN</formula1>
    </dataValidation>
  </dataValidation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Y178"/>
  <sheetViews>
    <sheetView topLeftCell="A2" workbookViewId="0">
      <selection activeCell="F2" sqref="A1:XFD1048576"/>
    </sheetView>
  </sheetViews>
  <sheetFormatPr defaultColWidth="9.140625" defaultRowHeight="15" x14ac:dyDescent="0.25"/>
  <cols>
    <col min="1" max="1" width="0.85546875" style="61" customWidth="1"/>
    <col min="2" max="2" width="9.85546875" style="61" customWidth="1"/>
    <col min="3" max="3" width="0.85546875" style="61" customWidth="1"/>
    <col min="4" max="4" width="9.7109375" style="61" customWidth="1"/>
    <col min="5" max="5" width="0.85546875" style="298" customWidth="1"/>
    <col min="6" max="6" width="6.28515625" style="298" customWidth="1"/>
    <col min="7" max="7" width="0.85546875" style="298" customWidth="1"/>
    <col min="8" max="8" width="6.28515625" style="61" customWidth="1"/>
    <col min="9" max="9" width="0.85546875" style="664" customWidth="1"/>
    <col min="10" max="10" width="9.85546875" style="61" customWidth="1"/>
    <col min="11" max="11" width="0.85546875" style="298" customWidth="1"/>
    <col min="12" max="12" width="9.7109375" style="298" customWidth="1"/>
    <col min="13" max="13" width="0.85546875" style="298" customWidth="1"/>
    <col min="14" max="14" width="6.28515625" style="298" bestFit="1" customWidth="1"/>
    <col min="15" max="15" width="0.85546875" style="298" customWidth="1"/>
    <col min="16" max="16" width="6.28515625" style="298" bestFit="1" customWidth="1"/>
    <col min="17" max="17" width="0.85546875" style="298" customWidth="1"/>
    <col min="18" max="18" width="9.140625" style="61"/>
    <col min="19" max="20" width="9.85546875" style="61" hidden="1" customWidth="1"/>
    <col min="21" max="21" width="0.85546875" style="61" hidden="1" customWidth="1"/>
    <col min="22" max="22" width="9.140625" style="61" hidden="1" customWidth="1"/>
    <col min="23" max="16384" width="9.140625" style="61"/>
  </cols>
  <sheetData>
    <row r="1" spans="1:22" ht="5.0999999999999996" customHeight="1" thickBot="1" x14ac:dyDescent="0.3">
      <c r="A1" s="241"/>
      <c r="B1" s="242"/>
      <c r="C1" s="242"/>
      <c r="D1" s="242"/>
      <c r="E1" s="242"/>
      <c r="F1" s="242"/>
      <c r="G1" s="242"/>
      <c r="H1" s="242"/>
      <c r="I1" s="242"/>
      <c r="J1" s="242"/>
      <c r="K1" s="242"/>
      <c r="L1" s="242"/>
      <c r="M1" s="242"/>
      <c r="N1" s="242"/>
      <c r="O1" s="242"/>
      <c r="P1" s="242"/>
      <c r="Q1" s="243"/>
    </row>
    <row r="2" spans="1:22" ht="15.75" thickBot="1" x14ac:dyDescent="0.3">
      <c r="A2" s="504"/>
      <c r="B2" s="800" t="s">
        <v>78</v>
      </c>
      <c r="C2" s="800"/>
      <c r="D2" s="800"/>
      <c r="E2" s="62"/>
      <c r="F2" s="797"/>
      <c r="G2" s="798"/>
      <c r="H2" s="798"/>
      <c r="I2" s="798"/>
      <c r="J2" s="798"/>
      <c r="K2" s="798"/>
      <c r="L2" s="799"/>
      <c r="M2" s="60"/>
      <c r="N2" s="663" t="s">
        <v>460</v>
      </c>
      <c r="O2" s="49"/>
      <c r="P2" s="257" t="str">
        <f>V6</f>
        <v>n/a</v>
      </c>
      <c r="Q2" s="238"/>
    </row>
    <row r="3" spans="1:22" s="65" customFormat="1" ht="3" customHeight="1" thickBot="1" x14ac:dyDescent="0.3">
      <c r="A3" s="505"/>
      <c r="B3" s="62"/>
      <c r="C3" s="62"/>
      <c r="D3" s="62"/>
      <c r="E3" s="62"/>
      <c r="F3" s="62"/>
      <c r="G3" s="62"/>
      <c r="H3" s="63"/>
      <c r="I3" s="298"/>
      <c r="J3" s="62"/>
      <c r="K3" s="62"/>
      <c r="L3" s="62"/>
      <c r="M3" s="62"/>
      <c r="N3" s="62"/>
      <c r="O3" s="62"/>
      <c r="P3" s="298"/>
      <c r="Q3" s="239"/>
    </row>
    <row r="4" spans="1:22" ht="15.75" thickBot="1" x14ac:dyDescent="0.3">
      <c r="A4" s="505"/>
      <c r="B4" s="800" t="s">
        <v>43</v>
      </c>
      <c r="C4" s="800"/>
      <c r="D4" s="800"/>
      <c r="E4" s="62"/>
      <c r="F4" s="797"/>
      <c r="G4" s="798"/>
      <c r="H4" s="798"/>
      <c r="I4" s="798"/>
      <c r="J4" s="799"/>
      <c r="K4" s="66"/>
      <c r="L4" s="814" t="s">
        <v>459</v>
      </c>
      <c r="M4" s="815"/>
      <c r="N4" s="815"/>
      <c r="P4" s="254"/>
      <c r="Q4" s="239"/>
      <c r="S4" s="765" t="s">
        <v>478</v>
      </c>
      <c r="T4" s="765"/>
      <c r="V4" s="258">
        <f>IF(F4="Fine",-8,IF(F4="Diminutive",-6,IF(F4="Tiny",-4,IF(F4="Small",-2,IF(F4="Large",2,IF(F4="Huge",4,IF(F4="Gargantuan",6,IF(F4="Colossal",8,0))))))))</f>
        <v>0</v>
      </c>
    </row>
    <row r="5" spans="1:22" s="65" customFormat="1" ht="3" customHeight="1" x14ac:dyDescent="0.25">
      <c r="A5" s="505"/>
      <c r="B5" s="62"/>
      <c r="C5" s="62"/>
      <c r="D5" s="62"/>
      <c r="E5" s="62"/>
      <c r="F5" s="62"/>
      <c r="G5" s="62"/>
      <c r="H5" s="67"/>
      <c r="I5" s="67"/>
      <c r="J5" s="298"/>
      <c r="K5" s="298"/>
      <c r="L5" s="298"/>
      <c r="M5" s="298"/>
      <c r="N5" s="298"/>
      <c r="O5" s="298"/>
      <c r="P5" s="298"/>
      <c r="Q5" s="239"/>
    </row>
    <row r="6" spans="1:22" x14ac:dyDescent="0.25">
      <c r="A6" s="505"/>
      <c r="B6" s="715" t="s">
        <v>217</v>
      </c>
      <c r="C6" s="715"/>
      <c r="D6" s="715"/>
      <c r="E6" s="715"/>
      <c r="F6" s="715"/>
      <c r="G6" s="715"/>
      <c r="H6" s="715"/>
      <c r="I6" s="504"/>
      <c r="J6" s="715" t="s">
        <v>220</v>
      </c>
      <c r="K6" s="715"/>
      <c r="L6" s="715"/>
      <c r="M6" s="715"/>
      <c r="N6" s="715"/>
      <c r="O6" s="715"/>
      <c r="P6" s="715"/>
      <c r="Q6" s="239"/>
      <c r="S6" s="61" t="s">
        <v>1691</v>
      </c>
      <c r="V6" s="61" t="str">
        <f>IF(P16&lt;&gt;"",IF(P16+V4&gt;-5,IF(P16+V4&lt;1,VLOOKUP(P16+V4,'Drop Down'!C88:D93,2,FALSE),P16+V4),"n/a"),"n/a")</f>
        <v>n/a</v>
      </c>
    </row>
    <row r="7" spans="1:22" ht="3" customHeight="1" thickBot="1" x14ac:dyDescent="0.3">
      <c r="A7" s="505"/>
      <c r="B7" s="664"/>
      <c r="C7" s="664"/>
      <c r="D7" s="664"/>
      <c r="H7" s="664"/>
      <c r="J7" s="664"/>
      <c r="Q7" s="239"/>
    </row>
    <row r="8" spans="1:22" ht="15.75" thickBot="1" x14ac:dyDescent="0.3">
      <c r="A8" s="505"/>
      <c r="B8" s="765" t="s">
        <v>462</v>
      </c>
      <c r="C8" s="765"/>
      <c r="D8" s="765"/>
      <c r="E8" s="556"/>
      <c r="F8" s="811" t="str">
        <f>IF(P2="n/a","n/a",ROUNDDOWN(V18*P2,0))</f>
        <v>n/a</v>
      </c>
      <c r="G8" s="812"/>
      <c r="H8" s="813"/>
      <c r="I8" s="504"/>
      <c r="J8" s="765" t="s">
        <v>157</v>
      </c>
      <c r="K8" s="765"/>
      <c r="L8" s="765"/>
      <c r="M8" s="504"/>
      <c r="N8" s="676" t="str">
        <f>IF(F18&lt;&gt;"",IF(ROUNDDOWN(F18/15,0)&lt;1,1,ROUNDDOWN(F18/15,0)),"n/a")</f>
        <v>n/a</v>
      </c>
      <c r="O8" s="804"/>
      <c r="P8" s="677"/>
      <c r="Q8" s="239"/>
    </row>
    <row r="9" spans="1:22" ht="3" customHeight="1" thickBot="1" x14ac:dyDescent="0.3">
      <c r="A9" s="505"/>
      <c r="B9" s="60"/>
      <c r="C9" s="60"/>
      <c r="D9" s="60"/>
      <c r="H9" s="664"/>
      <c r="J9" s="664"/>
      <c r="L9" s="60"/>
      <c r="Q9" s="239"/>
    </row>
    <row r="10" spans="1:22" ht="15.75" thickBot="1" x14ac:dyDescent="0.3">
      <c r="A10" s="505"/>
      <c r="B10" s="765" t="s">
        <v>463</v>
      </c>
      <c r="C10" s="765"/>
      <c r="D10" s="765"/>
      <c r="E10" s="556"/>
      <c r="F10" s="676" t="str">
        <f>IF(P2="n/a","n/a",CONCATENATE("+",(P2+F95),IF(F99&gt;0,", ranged","")))</f>
        <v>n/a</v>
      </c>
      <c r="G10" s="804"/>
      <c r="H10" s="677"/>
      <c r="I10" s="504"/>
      <c r="J10" s="765" t="s">
        <v>61</v>
      </c>
      <c r="K10" s="765"/>
      <c r="L10" s="765"/>
      <c r="M10" s="504"/>
      <c r="N10" s="676" t="str">
        <f>IF(P2="n/a","n/a",(IF(P2/2&lt;1,1,ROUNDDOWN(P2/2,0))+F98))</f>
        <v>n/a</v>
      </c>
      <c r="O10" s="804"/>
      <c r="P10" s="677"/>
      <c r="Q10" s="239"/>
    </row>
    <row r="11" spans="1:22" ht="3" customHeight="1" thickBot="1" x14ac:dyDescent="0.3">
      <c r="A11" s="505"/>
      <c r="B11" s="60"/>
      <c r="C11" s="60"/>
      <c r="D11" s="60"/>
      <c r="H11" s="664"/>
      <c r="J11" s="664"/>
      <c r="L11" s="60"/>
      <c r="Q11" s="239"/>
    </row>
    <row r="12" spans="1:22" ht="15.75" thickBot="1" x14ac:dyDescent="0.3">
      <c r="A12" s="505"/>
      <c r="B12" s="765" t="s">
        <v>464</v>
      </c>
      <c r="C12" s="765"/>
      <c r="D12" s="765"/>
      <c r="E12" s="556"/>
      <c r="F12" s="676" t="str">
        <f>IF(P2="n/a","n/a",10+P2+F96)</f>
        <v>n/a</v>
      </c>
      <c r="G12" s="804"/>
      <c r="H12" s="677"/>
      <c r="I12" s="504"/>
      <c r="J12" s="765" t="s">
        <v>160</v>
      </c>
      <c r="K12" s="765"/>
      <c r="L12" s="765"/>
      <c r="M12" s="504"/>
      <c r="N12" s="762" t="s">
        <v>601</v>
      </c>
      <c r="O12" s="763"/>
      <c r="P12" s="764"/>
      <c r="Q12" s="239"/>
    </row>
    <row r="13" spans="1:22" ht="3" customHeight="1" x14ac:dyDescent="0.25">
      <c r="A13" s="505"/>
      <c r="B13" s="664"/>
      <c r="C13" s="664"/>
      <c r="D13" s="664"/>
      <c r="H13" s="664"/>
      <c r="J13" s="664"/>
      <c r="Q13" s="239"/>
    </row>
    <row r="14" spans="1:22" x14ac:dyDescent="0.25">
      <c r="A14" s="505"/>
      <c r="B14" s="715" t="s">
        <v>470</v>
      </c>
      <c r="C14" s="715"/>
      <c r="D14" s="715"/>
      <c r="E14" s="715"/>
      <c r="F14" s="715"/>
      <c r="G14" s="715"/>
      <c r="H14" s="715"/>
      <c r="I14" s="715"/>
      <c r="J14" s="715"/>
      <c r="K14" s="715"/>
      <c r="L14" s="715"/>
      <c r="M14" s="715"/>
      <c r="N14" s="715"/>
      <c r="O14" s="715"/>
      <c r="P14" s="715"/>
      <c r="Q14" s="239"/>
    </row>
    <row r="15" spans="1:22" ht="3" customHeight="1" thickBot="1" x14ac:dyDescent="0.3">
      <c r="A15" s="505"/>
      <c r="B15" s="664"/>
      <c r="C15" s="664"/>
      <c r="D15" s="664"/>
      <c r="H15" s="664"/>
      <c r="J15" s="664"/>
      <c r="P15" s="71"/>
      <c r="Q15" s="239"/>
    </row>
    <row r="16" spans="1:22" ht="15.75" thickBot="1" x14ac:dyDescent="0.3">
      <c r="A16" s="505"/>
      <c r="B16" s="800" t="s">
        <v>84</v>
      </c>
      <c r="C16" s="800"/>
      <c r="D16" s="800"/>
      <c r="E16" s="62"/>
      <c r="F16" s="797"/>
      <c r="G16" s="798"/>
      <c r="H16" s="798"/>
      <c r="I16" s="798"/>
      <c r="J16" s="798"/>
      <c r="K16" s="798"/>
      <c r="L16" s="799"/>
      <c r="M16" s="658"/>
      <c r="N16" s="663" t="s">
        <v>159</v>
      </c>
      <c r="O16" s="658"/>
      <c r="P16" s="255"/>
      <c r="Q16" s="239"/>
    </row>
    <row r="17" spans="1:22" ht="3" customHeight="1" thickBot="1" x14ac:dyDescent="0.3">
      <c r="A17" s="505"/>
      <c r="B17" s="664"/>
      <c r="C17" s="664"/>
      <c r="D17" s="664"/>
      <c r="H17" s="664"/>
      <c r="I17" s="504"/>
      <c r="J17" s="664"/>
      <c r="N17" s="62" t="s">
        <v>162</v>
      </c>
      <c r="O17" s="658"/>
      <c r="P17" s="235"/>
      <c r="Q17" s="239"/>
    </row>
    <row r="18" spans="1:22" ht="15.75" thickBot="1" x14ac:dyDescent="0.3">
      <c r="A18" s="505"/>
      <c r="B18" s="765" t="s">
        <v>157</v>
      </c>
      <c r="C18" s="765"/>
      <c r="D18" s="765"/>
      <c r="E18" s="556"/>
      <c r="F18" s="805"/>
      <c r="G18" s="806"/>
      <c r="H18" s="807"/>
      <c r="I18" s="504"/>
      <c r="J18" s="765" t="s">
        <v>471</v>
      </c>
      <c r="K18" s="765"/>
      <c r="L18" s="765"/>
      <c r="M18" s="765"/>
      <c r="N18" s="765"/>
      <c r="O18" s="503"/>
      <c r="P18" s="254"/>
      <c r="Q18" s="239"/>
      <c r="S18" s="765" t="s">
        <v>461</v>
      </c>
      <c r="T18" s="765"/>
      <c r="V18" s="258">
        <f>IF(P18="d6",3.5,IF(P18="d8",4.5,IF(P18="d10",5.5,IF(P18="d12",6.5,0))))</f>
        <v>0</v>
      </c>
    </row>
    <row r="19" spans="1:22" s="65" customFormat="1" ht="3" customHeight="1" x14ac:dyDescent="0.25">
      <c r="A19" s="505"/>
      <c r="B19" s="234"/>
      <c r="C19" s="234"/>
      <c r="D19" s="234"/>
      <c r="E19" s="67"/>
      <c r="F19" s="67"/>
      <c r="G19" s="67"/>
      <c r="H19" s="67"/>
      <c r="I19" s="63"/>
      <c r="J19" s="234"/>
      <c r="K19" s="63"/>
      <c r="L19" s="63"/>
      <c r="M19" s="63"/>
      <c r="N19" s="63"/>
      <c r="O19" s="63"/>
      <c r="P19" s="63"/>
      <c r="Q19" s="239"/>
    </row>
    <row r="20" spans="1:22" x14ac:dyDescent="0.25">
      <c r="A20" s="505"/>
      <c r="B20" s="715" t="s">
        <v>468</v>
      </c>
      <c r="C20" s="715"/>
      <c r="D20" s="715"/>
      <c r="E20" s="715"/>
      <c r="F20" s="715"/>
      <c r="G20" s="715"/>
      <c r="H20" s="715"/>
      <c r="I20" s="715"/>
      <c r="J20" s="715"/>
      <c r="K20" s="715"/>
      <c r="L20" s="715"/>
      <c r="M20" s="715"/>
      <c r="N20" s="715"/>
      <c r="O20" s="715"/>
      <c r="P20" s="715"/>
      <c r="Q20" s="239"/>
    </row>
    <row r="21" spans="1:22" ht="3" customHeight="1" thickBot="1" x14ac:dyDescent="0.3">
      <c r="A21" s="505"/>
      <c r="B21" s="193"/>
      <c r="C21" s="193"/>
      <c r="D21" s="193"/>
      <c r="E21" s="193"/>
      <c r="F21" s="193"/>
      <c r="G21" s="193"/>
      <c r="H21" s="193"/>
      <c r="I21" s="193"/>
      <c r="J21" s="193"/>
      <c r="K21" s="193"/>
      <c r="L21" s="193"/>
      <c r="M21" s="193"/>
      <c r="N21" s="193"/>
      <c r="O21" s="193"/>
      <c r="P21" s="193"/>
      <c r="Q21" s="239"/>
    </row>
    <row r="22" spans="1:22" s="233" customFormat="1" ht="15.75" thickBot="1" x14ac:dyDescent="0.3">
      <c r="A22" s="505"/>
      <c r="B22" s="663" t="s">
        <v>78</v>
      </c>
      <c r="C22" s="62"/>
      <c r="D22" s="808"/>
      <c r="E22" s="809"/>
      <c r="F22" s="809"/>
      <c r="G22" s="809"/>
      <c r="H22" s="810"/>
      <c r="I22" s="248"/>
      <c r="J22" s="715" t="s">
        <v>482</v>
      </c>
      <c r="K22" s="715"/>
      <c r="L22" s="715"/>
      <c r="M22" s="715"/>
      <c r="N22" s="715"/>
      <c r="O22" s="715"/>
      <c r="P22" s="715"/>
      <c r="Q22" s="239"/>
      <c r="S22" s="765" t="s">
        <v>482</v>
      </c>
      <c r="T22" s="765"/>
      <c r="V22" s="233" t="str">
        <f>CONCATENATE(IF(J24&lt;&gt;0,J24,""),IF(J26&lt;&gt;0,CONCATENATE(", ",J26),""),IF(J28&lt;&gt;0,CONCATENATE(", ",J28),""),IF(J30&lt;&gt;0,CONCATENATE(", ",J30),""),IF(J32&lt;&gt;0,CONCATENATE(", ",J32),""))</f>
        <v/>
      </c>
    </row>
    <row r="23" spans="1:22" s="233" customFormat="1" ht="3" customHeight="1" thickBot="1" x14ac:dyDescent="0.3">
      <c r="A23" s="505"/>
      <c r="B23" s="153"/>
      <c r="C23" s="153"/>
      <c r="D23" s="153"/>
      <c r="E23" s="153"/>
      <c r="F23" s="153"/>
      <c r="G23" s="153"/>
      <c r="H23" s="153"/>
      <c r="I23" s="153"/>
      <c r="J23" s="153"/>
      <c r="K23" s="153"/>
      <c r="L23" s="153"/>
      <c r="M23" s="153"/>
      <c r="N23" s="153"/>
      <c r="O23" s="153"/>
      <c r="P23" s="153"/>
      <c r="Q23" s="239"/>
    </row>
    <row r="24" spans="1:22" s="233" customFormat="1" ht="15.75" thickBot="1" x14ac:dyDescent="0.3">
      <c r="A24" s="505"/>
      <c r="B24" s="765" t="s">
        <v>55</v>
      </c>
      <c r="C24" s="765"/>
      <c r="D24" s="765"/>
      <c r="E24" s="765"/>
      <c r="F24" s="765"/>
      <c r="G24" s="250"/>
      <c r="H24" s="150">
        <f>IF(H32="Yes",H26+H28+3,H26+H28)</f>
        <v>0</v>
      </c>
      <c r="I24" s="153"/>
      <c r="J24" s="801"/>
      <c r="K24" s="802"/>
      <c r="L24" s="802"/>
      <c r="M24" s="802"/>
      <c r="N24" s="802"/>
      <c r="O24" s="802"/>
      <c r="P24" s="803"/>
      <c r="Q24" s="239"/>
    </row>
    <row r="25" spans="1:22" s="233" customFormat="1" ht="3" customHeight="1" thickBot="1" x14ac:dyDescent="0.3">
      <c r="A25" s="505"/>
      <c r="G25" s="260"/>
      <c r="I25" s="153"/>
      <c r="J25" s="69"/>
      <c r="K25" s="69"/>
      <c r="L25" s="69"/>
      <c r="M25" s="69"/>
      <c r="N25" s="69"/>
      <c r="O25" s="69"/>
      <c r="P25" s="69"/>
      <c r="Q25" s="239"/>
    </row>
    <row r="26" spans="1:22" s="233" customFormat="1" ht="15.75" thickBot="1" x14ac:dyDescent="0.3">
      <c r="A26" s="505"/>
      <c r="B26" s="765" t="s">
        <v>483</v>
      </c>
      <c r="C26" s="765"/>
      <c r="D26" s="765"/>
      <c r="E26" s="765"/>
      <c r="F26" s="765"/>
      <c r="G26" s="250"/>
      <c r="H26" s="270"/>
      <c r="I26" s="153"/>
      <c r="J26" s="801"/>
      <c r="K26" s="802"/>
      <c r="L26" s="802"/>
      <c r="M26" s="802"/>
      <c r="N26" s="802"/>
      <c r="O26" s="802"/>
      <c r="P26" s="803"/>
      <c r="Q26" s="239"/>
    </row>
    <row r="27" spans="1:22" s="233" customFormat="1" ht="3" customHeight="1" thickBot="1" x14ac:dyDescent="0.3">
      <c r="A27" s="505"/>
      <c r="B27" s="153"/>
      <c r="C27" s="153"/>
      <c r="D27" s="153"/>
      <c r="E27" s="153"/>
      <c r="F27" s="153"/>
      <c r="G27" s="153"/>
      <c r="H27" s="153"/>
      <c r="I27" s="153"/>
      <c r="J27" s="69"/>
      <c r="K27" s="69"/>
      <c r="L27" s="69"/>
      <c r="M27" s="69"/>
      <c r="N27" s="69"/>
      <c r="O27" s="69"/>
      <c r="P27" s="69"/>
      <c r="Q27" s="239"/>
    </row>
    <row r="28" spans="1:22" s="233" customFormat="1" ht="15.75" thickBot="1" x14ac:dyDescent="0.3">
      <c r="A28" s="505"/>
      <c r="B28" s="765" t="s">
        <v>479</v>
      </c>
      <c r="C28" s="765"/>
      <c r="D28" s="765"/>
      <c r="E28" s="765"/>
      <c r="F28" s="765"/>
      <c r="G28" s="250"/>
      <c r="H28" s="270"/>
      <c r="I28" s="153"/>
      <c r="J28" s="801"/>
      <c r="K28" s="802"/>
      <c r="L28" s="802"/>
      <c r="M28" s="802"/>
      <c r="N28" s="802"/>
      <c r="O28" s="802"/>
      <c r="P28" s="803"/>
      <c r="Q28" s="239"/>
    </row>
    <row r="29" spans="1:22" ht="3" customHeight="1" thickBot="1" x14ac:dyDescent="0.3">
      <c r="A29" s="505"/>
      <c r="B29" s="664"/>
      <c r="C29" s="664"/>
      <c r="D29" s="664"/>
      <c r="H29" s="664"/>
      <c r="J29" s="69"/>
      <c r="K29" s="69"/>
      <c r="L29" s="69"/>
      <c r="M29" s="69"/>
      <c r="N29" s="69"/>
      <c r="O29" s="69"/>
      <c r="P29" s="69"/>
      <c r="Q29" s="239"/>
    </row>
    <row r="30" spans="1:22" ht="15.75" thickBot="1" x14ac:dyDescent="0.3">
      <c r="A30" s="505"/>
      <c r="B30" s="765" t="s">
        <v>481</v>
      </c>
      <c r="C30" s="765"/>
      <c r="D30" s="765"/>
      <c r="E30" s="765"/>
      <c r="F30" s="765"/>
      <c r="H30" s="270"/>
      <c r="J30" s="801"/>
      <c r="K30" s="802"/>
      <c r="L30" s="802"/>
      <c r="M30" s="802"/>
      <c r="N30" s="802"/>
      <c r="O30" s="802"/>
      <c r="P30" s="803"/>
      <c r="Q30" s="239"/>
    </row>
    <row r="31" spans="1:22" ht="3" customHeight="1" thickBot="1" x14ac:dyDescent="0.3">
      <c r="A31" s="505"/>
      <c r="B31" s="664"/>
      <c r="C31" s="664"/>
      <c r="D31" s="664"/>
      <c r="H31" s="664"/>
      <c r="J31" s="73"/>
      <c r="K31" s="73"/>
      <c r="L31" s="73"/>
      <c r="M31" s="73"/>
      <c r="N31" s="73"/>
      <c r="O31" s="73"/>
      <c r="P31" s="73"/>
      <c r="Q31" s="239"/>
    </row>
    <row r="32" spans="1:22" ht="15.75" thickBot="1" x14ac:dyDescent="0.3">
      <c r="A32" s="505"/>
      <c r="B32" s="765" t="s">
        <v>467</v>
      </c>
      <c r="C32" s="765"/>
      <c r="D32" s="765"/>
      <c r="E32" s="765"/>
      <c r="F32" s="765"/>
      <c r="H32" s="256"/>
      <c r="J32" s="801"/>
      <c r="K32" s="802"/>
      <c r="L32" s="802"/>
      <c r="M32" s="802"/>
      <c r="N32" s="802"/>
      <c r="O32" s="802"/>
      <c r="P32" s="803"/>
      <c r="Q32" s="239"/>
    </row>
    <row r="33" spans="1:25" ht="3" customHeight="1" x14ac:dyDescent="0.25">
      <c r="A33" s="505"/>
      <c r="B33" s="664"/>
      <c r="C33" s="664"/>
      <c r="D33" s="664"/>
      <c r="H33" s="664"/>
      <c r="J33" s="73"/>
      <c r="K33" s="73"/>
      <c r="L33" s="73"/>
      <c r="M33" s="73"/>
      <c r="N33" s="73"/>
      <c r="O33" s="73"/>
      <c r="P33" s="73"/>
      <c r="Q33" s="239"/>
    </row>
    <row r="34" spans="1:25" x14ac:dyDescent="0.25">
      <c r="A34" s="505"/>
      <c r="B34" s="715" t="s">
        <v>469</v>
      </c>
      <c r="C34" s="715"/>
      <c r="D34" s="715"/>
      <c r="E34" s="715"/>
      <c r="F34" s="715"/>
      <c r="G34" s="715"/>
      <c r="H34" s="715"/>
      <c r="I34" s="715"/>
      <c r="J34" s="715"/>
      <c r="K34" s="715"/>
      <c r="L34" s="715"/>
      <c r="M34" s="715"/>
      <c r="N34" s="715"/>
      <c r="O34" s="715"/>
      <c r="P34" s="715"/>
      <c r="Q34" s="239"/>
    </row>
    <row r="35" spans="1:25" ht="3" customHeight="1" x14ac:dyDescent="0.25">
      <c r="A35" s="505"/>
      <c r="B35" s="664"/>
      <c r="C35" s="664"/>
      <c r="D35" s="664"/>
      <c r="H35" s="664"/>
      <c r="J35" s="664"/>
      <c r="Q35" s="239"/>
    </row>
    <row r="36" spans="1:25" x14ac:dyDescent="0.25">
      <c r="A36" s="505"/>
      <c r="B36" s="715" t="s">
        <v>158</v>
      </c>
      <c r="C36" s="715"/>
      <c r="D36" s="715"/>
      <c r="E36" s="715"/>
      <c r="F36" s="715"/>
      <c r="G36" s="715"/>
      <c r="H36" s="715"/>
      <c r="I36" s="504"/>
      <c r="J36" s="715" t="s">
        <v>56</v>
      </c>
      <c r="K36" s="715"/>
      <c r="L36" s="715"/>
      <c r="M36" s="715"/>
      <c r="N36" s="715"/>
      <c r="O36" s="715"/>
      <c r="P36" s="715"/>
      <c r="Q36" s="239"/>
      <c r="S36" s="765" t="s">
        <v>158</v>
      </c>
      <c r="T36" s="765"/>
      <c r="U36" s="193"/>
      <c r="V36" s="504" t="str">
        <f>CONCATENATE(IF(B38&lt;&gt;0,B38,""),IF(B40&lt;&gt;0,CONCATENATE(", ",B40),""),IF(B42&lt;&gt;0,CONCATENATE(", ",B42),""),IF(B44&lt;&gt;0,CONCATENATE(", ",B44),""),IF(B46&lt;&gt;0,CONCATENATE(", ",B46),""))</f>
        <v/>
      </c>
      <c r="W36" s="504"/>
      <c r="X36" s="504"/>
      <c r="Y36" s="504"/>
    </row>
    <row r="37" spans="1:25" s="664" customFormat="1" ht="3" customHeight="1" thickBot="1" x14ac:dyDescent="0.3">
      <c r="A37" s="505"/>
      <c r="B37" s="69"/>
      <c r="C37" s="69"/>
      <c r="D37" s="69"/>
      <c r="E37" s="69"/>
      <c r="F37" s="69"/>
      <c r="G37" s="69"/>
      <c r="H37" s="69"/>
      <c r="I37" s="69"/>
      <c r="J37" s="69"/>
      <c r="K37" s="69"/>
      <c r="L37" s="69"/>
      <c r="M37" s="69"/>
      <c r="N37" s="69"/>
      <c r="O37" s="69"/>
      <c r="P37" s="69"/>
      <c r="Q37" s="239"/>
    </row>
    <row r="38" spans="1:25" s="664" customFormat="1" ht="15.75" thickBot="1" x14ac:dyDescent="0.3">
      <c r="A38" s="505"/>
      <c r="B38" s="801"/>
      <c r="C38" s="802"/>
      <c r="D38" s="802"/>
      <c r="E38" s="802"/>
      <c r="F38" s="802"/>
      <c r="G38" s="802"/>
      <c r="H38" s="803"/>
      <c r="I38" s="69"/>
      <c r="J38" s="801"/>
      <c r="K38" s="802"/>
      <c r="L38" s="802"/>
      <c r="M38" s="802"/>
      <c r="N38" s="802"/>
      <c r="O38" s="802"/>
      <c r="P38" s="803"/>
      <c r="Q38" s="239"/>
      <c r="S38" s="765" t="s">
        <v>56</v>
      </c>
      <c r="T38" s="765"/>
      <c r="V38" s="664" t="str">
        <f>CONCATENATE(IF(J38&lt;&gt;0,J38,""),IF(J40&lt;&gt;0,CONCATENATE(", ",J40),""),IF(J42&lt;&gt;0,CONCATENATE(", ",J42),""),IF(J44&lt;&gt;0,CONCATENATE(", ",J44),""),IF(J46&lt;&gt;0,CONCATENATE(", ",J46),""))</f>
        <v/>
      </c>
    </row>
    <row r="39" spans="1:25" s="664" customFormat="1" ht="3" customHeight="1" thickBot="1" x14ac:dyDescent="0.3">
      <c r="A39" s="505"/>
      <c r="B39" s="69"/>
      <c r="C39" s="69"/>
      <c r="D39" s="69"/>
      <c r="E39" s="69"/>
      <c r="F39" s="69"/>
      <c r="G39" s="69"/>
      <c r="H39" s="69"/>
      <c r="I39" s="69"/>
      <c r="J39" s="69"/>
      <c r="K39" s="69"/>
      <c r="L39" s="69"/>
      <c r="M39" s="69"/>
      <c r="N39" s="69"/>
      <c r="O39" s="69"/>
      <c r="P39" s="69"/>
      <c r="Q39" s="239"/>
    </row>
    <row r="40" spans="1:25" s="664" customFormat="1" ht="15.75" thickBot="1" x14ac:dyDescent="0.3">
      <c r="A40" s="505"/>
      <c r="B40" s="801"/>
      <c r="C40" s="802"/>
      <c r="D40" s="802"/>
      <c r="E40" s="802"/>
      <c r="F40" s="802"/>
      <c r="G40" s="802"/>
      <c r="H40" s="803"/>
      <c r="I40" s="69"/>
      <c r="J40" s="801"/>
      <c r="K40" s="802"/>
      <c r="L40" s="802"/>
      <c r="M40" s="802"/>
      <c r="N40" s="802"/>
      <c r="O40" s="802"/>
      <c r="P40" s="803"/>
      <c r="Q40" s="239"/>
    </row>
    <row r="41" spans="1:25" s="664" customFormat="1" ht="3" customHeight="1" thickBot="1" x14ac:dyDescent="0.3">
      <c r="A41" s="505"/>
      <c r="B41" s="69"/>
      <c r="C41" s="69"/>
      <c r="D41" s="69"/>
      <c r="E41" s="69"/>
      <c r="F41" s="69"/>
      <c r="G41" s="69"/>
      <c r="H41" s="69"/>
      <c r="I41" s="69"/>
      <c r="J41" s="69"/>
      <c r="K41" s="69"/>
      <c r="L41" s="69"/>
      <c r="M41" s="69"/>
      <c r="N41" s="69"/>
      <c r="O41" s="69"/>
      <c r="P41" s="69"/>
      <c r="Q41" s="239"/>
    </row>
    <row r="42" spans="1:25" s="664" customFormat="1" ht="15.75" thickBot="1" x14ac:dyDescent="0.3">
      <c r="A42" s="505"/>
      <c r="B42" s="801"/>
      <c r="C42" s="802"/>
      <c r="D42" s="802"/>
      <c r="E42" s="802"/>
      <c r="F42" s="802"/>
      <c r="G42" s="802"/>
      <c r="H42" s="803"/>
      <c r="I42" s="69"/>
      <c r="J42" s="801"/>
      <c r="K42" s="802"/>
      <c r="L42" s="802"/>
      <c r="M42" s="802"/>
      <c r="N42" s="802"/>
      <c r="O42" s="802"/>
      <c r="P42" s="803"/>
      <c r="Q42" s="239"/>
    </row>
    <row r="43" spans="1:25" s="664" customFormat="1" ht="3" customHeight="1" thickBot="1" x14ac:dyDescent="0.3">
      <c r="A43" s="505"/>
      <c r="B43" s="69"/>
      <c r="C43" s="69"/>
      <c r="D43" s="69"/>
      <c r="E43" s="69"/>
      <c r="F43" s="69"/>
      <c r="G43" s="69"/>
      <c r="H43" s="69"/>
      <c r="I43" s="69"/>
      <c r="J43" s="69"/>
      <c r="K43" s="69"/>
      <c r="L43" s="69"/>
      <c r="M43" s="69"/>
      <c r="N43" s="69"/>
      <c r="O43" s="69"/>
      <c r="P43" s="69"/>
      <c r="Q43" s="239"/>
    </row>
    <row r="44" spans="1:25" s="664" customFormat="1" ht="15.75" thickBot="1" x14ac:dyDescent="0.3">
      <c r="A44" s="505"/>
      <c r="B44" s="801"/>
      <c r="C44" s="802"/>
      <c r="D44" s="802"/>
      <c r="E44" s="802"/>
      <c r="F44" s="802"/>
      <c r="G44" s="802"/>
      <c r="H44" s="803"/>
      <c r="I44" s="69"/>
      <c r="J44" s="801"/>
      <c r="K44" s="802"/>
      <c r="L44" s="802"/>
      <c r="M44" s="802"/>
      <c r="N44" s="802"/>
      <c r="O44" s="802"/>
      <c r="P44" s="803"/>
      <c r="Q44" s="239"/>
    </row>
    <row r="45" spans="1:25" s="664" customFormat="1" ht="3" customHeight="1" thickBot="1" x14ac:dyDescent="0.3">
      <c r="A45" s="505"/>
      <c r="B45" s="261"/>
      <c r="C45" s="261"/>
      <c r="D45" s="261"/>
      <c r="E45" s="261"/>
      <c r="F45" s="261"/>
      <c r="G45" s="261"/>
      <c r="H45" s="261"/>
      <c r="I45" s="69"/>
      <c r="J45" s="69"/>
      <c r="K45" s="69"/>
      <c r="L45" s="69"/>
      <c r="M45" s="69"/>
      <c r="N45" s="69"/>
      <c r="O45" s="69"/>
      <c r="P45" s="69"/>
      <c r="Q45" s="239"/>
    </row>
    <row r="46" spans="1:25" s="664" customFormat="1" ht="15.75" thickBot="1" x14ac:dyDescent="0.3">
      <c r="A46" s="505"/>
      <c r="B46" s="801"/>
      <c r="C46" s="802"/>
      <c r="D46" s="802"/>
      <c r="E46" s="802"/>
      <c r="F46" s="802"/>
      <c r="G46" s="802"/>
      <c r="H46" s="803"/>
      <c r="I46" s="69"/>
      <c r="J46" s="801"/>
      <c r="K46" s="802"/>
      <c r="L46" s="802"/>
      <c r="M46" s="802"/>
      <c r="N46" s="802"/>
      <c r="O46" s="802"/>
      <c r="P46" s="803"/>
      <c r="Q46" s="239"/>
    </row>
    <row r="47" spans="1:25" ht="3" customHeight="1" x14ac:dyDescent="0.25">
      <c r="A47" s="505"/>
      <c r="B47" s="664"/>
      <c r="C47" s="664"/>
      <c r="D47" s="664"/>
      <c r="H47" s="664"/>
      <c r="J47" s="664"/>
      <c r="Q47" s="239"/>
    </row>
    <row r="48" spans="1:25" x14ac:dyDescent="0.25">
      <c r="A48" s="505"/>
      <c r="B48" s="715" t="s">
        <v>161</v>
      </c>
      <c r="C48" s="715"/>
      <c r="D48" s="715"/>
      <c r="E48" s="715"/>
      <c r="F48" s="715"/>
      <c r="G48" s="715"/>
      <c r="H48" s="715"/>
      <c r="I48" s="504"/>
      <c r="J48" s="715" t="s">
        <v>480</v>
      </c>
      <c r="K48" s="715"/>
      <c r="L48" s="715"/>
      <c r="M48" s="715"/>
      <c r="N48" s="715"/>
      <c r="O48" s="715"/>
      <c r="P48" s="715"/>
      <c r="Q48" s="239"/>
      <c r="S48" s="765" t="s">
        <v>161</v>
      </c>
      <c r="T48" s="765"/>
      <c r="V48" s="61" t="str">
        <f>CONCATENATE(IF(B50&lt;&gt;0,B50,""),IF(B52&lt;&gt;0,CONCATENATE(", ",B52),""),IF(B54&lt;&gt;0,CONCATENATE(", ",B54),""),IF(B56&lt;&gt;0,CONCATENATE(", ",B56),""),IF(B58&lt;&gt;0,CONCATENATE(", ",B58),""))</f>
        <v/>
      </c>
    </row>
    <row r="49" spans="1:17" s="664" customFormat="1" ht="3" customHeight="1" thickBot="1" x14ac:dyDescent="0.3">
      <c r="A49" s="505"/>
      <c r="B49" s="69"/>
      <c r="C49" s="69"/>
      <c r="D49" s="69"/>
      <c r="E49" s="69"/>
      <c r="F49" s="69"/>
      <c r="G49" s="69"/>
      <c r="H49" s="69"/>
      <c r="I49" s="69"/>
      <c r="J49" s="69"/>
      <c r="K49" s="69"/>
      <c r="L49" s="69"/>
      <c r="M49" s="69"/>
      <c r="N49" s="69"/>
      <c r="O49" s="69"/>
      <c r="P49" s="69"/>
      <c r="Q49" s="239"/>
    </row>
    <row r="50" spans="1:17" s="664" customFormat="1" ht="15.75" thickBot="1" x14ac:dyDescent="0.3">
      <c r="A50" s="505"/>
      <c r="B50" s="801"/>
      <c r="C50" s="802"/>
      <c r="D50" s="802"/>
      <c r="E50" s="802"/>
      <c r="F50" s="802"/>
      <c r="G50" s="802"/>
      <c r="H50" s="803"/>
      <c r="I50" s="69"/>
      <c r="J50" s="816"/>
      <c r="K50" s="817"/>
      <c r="L50" s="817"/>
      <c r="M50" s="817"/>
      <c r="N50" s="817"/>
      <c r="O50" s="817"/>
      <c r="P50" s="818"/>
      <c r="Q50" s="239"/>
    </row>
    <row r="51" spans="1:17" s="664" customFormat="1" ht="3" customHeight="1" thickBot="1" x14ac:dyDescent="0.3">
      <c r="A51" s="505"/>
      <c r="B51" s="69"/>
      <c r="C51" s="69"/>
      <c r="D51" s="69"/>
      <c r="E51" s="69"/>
      <c r="F51" s="69"/>
      <c r="G51" s="69"/>
      <c r="H51" s="69"/>
      <c r="I51" s="69"/>
      <c r="J51" s="819"/>
      <c r="K51" s="820"/>
      <c r="L51" s="820"/>
      <c r="M51" s="820"/>
      <c r="N51" s="820"/>
      <c r="O51" s="820"/>
      <c r="P51" s="821"/>
      <c r="Q51" s="239"/>
    </row>
    <row r="52" spans="1:17" s="664" customFormat="1" ht="15.75" thickBot="1" x14ac:dyDescent="0.3">
      <c r="A52" s="505"/>
      <c r="B52" s="801"/>
      <c r="C52" s="802"/>
      <c r="D52" s="802"/>
      <c r="E52" s="802"/>
      <c r="F52" s="802"/>
      <c r="G52" s="802"/>
      <c r="H52" s="803"/>
      <c r="I52" s="69"/>
      <c r="J52" s="819"/>
      <c r="K52" s="820"/>
      <c r="L52" s="820"/>
      <c r="M52" s="820"/>
      <c r="N52" s="820"/>
      <c r="O52" s="820"/>
      <c r="P52" s="821"/>
      <c r="Q52" s="239"/>
    </row>
    <row r="53" spans="1:17" s="664" customFormat="1" ht="3" customHeight="1" thickBot="1" x14ac:dyDescent="0.3">
      <c r="A53" s="505"/>
      <c r="B53" s="69"/>
      <c r="C53" s="69"/>
      <c r="D53" s="69"/>
      <c r="E53" s="69"/>
      <c r="F53" s="69"/>
      <c r="G53" s="69"/>
      <c r="H53" s="69"/>
      <c r="I53" s="69"/>
      <c r="J53" s="819"/>
      <c r="K53" s="820"/>
      <c r="L53" s="820"/>
      <c r="M53" s="820"/>
      <c r="N53" s="820"/>
      <c r="O53" s="820"/>
      <c r="P53" s="821"/>
      <c r="Q53" s="239"/>
    </row>
    <row r="54" spans="1:17" s="664" customFormat="1" ht="15.75" thickBot="1" x14ac:dyDescent="0.3">
      <c r="A54" s="505"/>
      <c r="B54" s="801"/>
      <c r="C54" s="802"/>
      <c r="D54" s="802"/>
      <c r="E54" s="802"/>
      <c r="F54" s="802"/>
      <c r="G54" s="802"/>
      <c r="H54" s="803"/>
      <c r="I54" s="69"/>
      <c r="J54" s="819"/>
      <c r="K54" s="820"/>
      <c r="L54" s="820"/>
      <c r="M54" s="820"/>
      <c r="N54" s="820"/>
      <c r="O54" s="820"/>
      <c r="P54" s="821"/>
      <c r="Q54" s="239"/>
    </row>
    <row r="55" spans="1:17" s="664" customFormat="1" ht="3" customHeight="1" thickBot="1" x14ac:dyDescent="0.3">
      <c r="A55" s="505"/>
      <c r="B55" s="72"/>
      <c r="C55" s="72"/>
      <c r="D55" s="72"/>
      <c r="E55" s="72"/>
      <c r="F55" s="72"/>
      <c r="G55" s="72"/>
      <c r="H55" s="72"/>
      <c r="I55" s="69"/>
      <c r="J55" s="819"/>
      <c r="K55" s="820"/>
      <c r="L55" s="820"/>
      <c r="M55" s="820"/>
      <c r="N55" s="820"/>
      <c r="O55" s="820"/>
      <c r="P55" s="821"/>
      <c r="Q55" s="239"/>
    </row>
    <row r="56" spans="1:17" s="664" customFormat="1" ht="15.75" thickBot="1" x14ac:dyDescent="0.3">
      <c r="A56" s="505"/>
      <c r="B56" s="801"/>
      <c r="C56" s="802"/>
      <c r="D56" s="802"/>
      <c r="E56" s="802"/>
      <c r="F56" s="802"/>
      <c r="G56" s="802"/>
      <c r="H56" s="803"/>
      <c r="I56" s="69"/>
      <c r="J56" s="819"/>
      <c r="K56" s="820"/>
      <c r="L56" s="820"/>
      <c r="M56" s="820"/>
      <c r="N56" s="820"/>
      <c r="O56" s="820"/>
      <c r="P56" s="821"/>
      <c r="Q56" s="239"/>
    </row>
    <row r="57" spans="1:17" s="664" customFormat="1" ht="3" customHeight="1" thickBot="1" x14ac:dyDescent="0.3">
      <c r="A57" s="505"/>
      <c r="B57" s="72"/>
      <c r="C57" s="72"/>
      <c r="D57" s="72"/>
      <c r="E57" s="72"/>
      <c r="F57" s="72"/>
      <c r="G57" s="72"/>
      <c r="H57" s="72"/>
      <c r="I57" s="69"/>
      <c r="J57" s="819"/>
      <c r="K57" s="820"/>
      <c r="L57" s="820"/>
      <c r="M57" s="820"/>
      <c r="N57" s="820"/>
      <c r="O57" s="820"/>
      <c r="P57" s="821"/>
      <c r="Q57" s="239"/>
    </row>
    <row r="58" spans="1:17" s="664" customFormat="1" ht="15.75" thickBot="1" x14ac:dyDescent="0.3">
      <c r="A58" s="505"/>
      <c r="B58" s="801"/>
      <c r="C58" s="802"/>
      <c r="D58" s="802"/>
      <c r="E58" s="802"/>
      <c r="F58" s="802"/>
      <c r="G58" s="802"/>
      <c r="H58" s="803"/>
      <c r="I58" s="69"/>
      <c r="J58" s="822"/>
      <c r="K58" s="823"/>
      <c r="L58" s="823"/>
      <c r="M58" s="823"/>
      <c r="N58" s="823"/>
      <c r="O58" s="823"/>
      <c r="P58" s="824"/>
      <c r="Q58" s="239"/>
    </row>
    <row r="59" spans="1:17" ht="3" customHeight="1" thickBot="1" x14ac:dyDescent="0.3">
      <c r="A59" s="246"/>
      <c r="B59" s="247"/>
      <c r="C59" s="247"/>
      <c r="D59" s="247"/>
      <c r="E59" s="247"/>
      <c r="F59" s="247"/>
      <c r="G59" s="247"/>
      <c r="H59" s="247"/>
      <c r="I59" s="247"/>
      <c r="J59" s="247"/>
      <c r="K59" s="247"/>
      <c r="L59" s="247"/>
      <c r="M59" s="247"/>
      <c r="N59" s="247"/>
      <c r="O59" s="247"/>
      <c r="P59" s="247"/>
      <c r="Q59" s="240"/>
    </row>
    <row r="60" spans="1:17" x14ac:dyDescent="0.25">
      <c r="A60" s="664"/>
      <c r="B60" s="664"/>
      <c r="C60" s="664"/>
      <c r="D60" s="664"/>
      <c r="H60" s="664"/>
      <c r="J60" s="664"/>
    </row>
    <row r="61" spans="1:17" hidden="1" x14ac:dyDescent="0.25">
      <c r="B61" s="664"/>
    </row>
    <row r="62" spans="1:17" ht="15" hidden="1" customHeight="1" x14ac:dyDescent="0.25">
      <c r="B62" s="800" t="s">
        <v>56</v>
      </c>
      <c r="C62" s="800"/>
      <c r="D62" s="800"/>
      <c r="F62" s="262" t="s">
        <v>367</v>
      </c>
      <c r="H62" s="661" t="s">
        <v>218</v>
      </c>
      <c r="J62" s="661" t="s">
        <v>219</v>
      </c>
      <c r="L62" s="262" t="s">
        <v>582</v>
      </c>
      <c r="N62" s="262" t="s">
        <v>583</v>
      </c>
      <c r="P62" s="666" t="s">
        <v>588</v>
      </c>
    </row>
    <row r="63" spans="1:17" ht="15" hidden="1" customHeight="1" x14ac:dyDescent="0.25">
      <c r="B63" s="796" t="s">
        <v>194</v>
      </c>
      <c r="C63" s="796"/>
      <c r="D63" s="796"/>
      <c r="F63" s="67">
        <f>IF(COUNTIF(J38:J46,"Healing Potions")&lt;1,0,1)</f>
        <v>0</v>
      </c>
      <c r="H63" s="661"/>
      <c r="J63" s="661"/>
      <c r="L63" s="377">
        <v>3</v>
      </c>
      <c r="N63" s="67">
        <f>IF($L63*$F$73&lt;1,1,ROUNDDOWN($L63*$F$73,0))</f>
        <v>3</v>
      </c>
      <c r="P63" s="666"/>
    </row>
    <row r="64" spans="1:17" ht="15" hidden="1" customHeight="1" x14ac:dyDescent="0.25">
      <c r="B64" s="826" t="s">
        <v>580</v>
      </c>
      <c r="C64" s="826"/>
      <c r="D64" s="826"/>
      <c r="F64" s="67">
        <f>IF(COUNTIF(J38:J46,"Improved Armor (Masterwork)")&lt;1,0,1)</f>
        <v>0</v>
      </c>
      <c r="H64" s="662">
        <v>1</v>
      </c>
      <c r="J64" s="662"/>
      <c r="L64" s="67">
        <v>1</v>
      </c>
      <c r="N64" s="67">
        <f t="shared" ref="N64:N70" si="0">IF($L64*$F$73&lt;1,1,ROUNDDOWN($L64*$F$73,0))</f>
        <v>1</v>
      </c>
      <c r="P64" s="67"/>
    </row>
    <row r="65" spans="2:16" ht="15" hidden="1" customHeight="1" x14ac:dyDescent="0.25">
      <c r="B65" s="826" t="s">
        <v>193</v>
      </c>
      <c r="C65" s="826"/>
      <c r="D65" s="826"/>
      <c r="F65" s="67">
        <f>IF(COUNTIF(J38:J46,"Improved Armor (Magic)")&lt;1,0,1)</f>
        <v>0</v>
      </c>
      <c r="H65" s="662">
        <v>2</v>
      </c>
      <c r="J65" s="662"/>
      <c r="L65" s="67">
        <v>2</v>
      </c>
      <c r="N65" s="67">
        <f t="shared" si="0"/>
        <v>2</v>
      </c>
      <c r="P65" s="67"/>
    </row>
    <row r="66" spans="2:16" ht="15" hidden="1" customHeight="1" x14ac:dyDescent="0.25">
      <c r="B66" s="826" t="s">
        <v>581</v>
      </c>
      <c r="C66" s="826"/>
      <c r="D66" s="826"/>
      <c r="F66" s="67">
        <f>IF(COUNTIF(J38:J46,"Improved Weapons (Masterwork)")&lt;1,0,1)</f>
        <v>0</v>
      </c>
      <c r="H66" s="662"/>
      <c r="J66" s="662">
        <v>1</v>
      </c>
      <c r="L66" s="67">
        <v>1</v>
      </c>
      <c r="N66" s="67">
        <f t="shared" si="0"/>
        <v>1</v>
      </c>
      <c r="P66" s="67"/>
    </row>
    <row r="67" spans="2:16" ht="15" hidden="1" customHeight="1" x14ac:dyDescent="0.25">
      <c r="B67" s="826" t="s">
        <v>192</v>
      </c>
      <c r="C67" s="826"/>
      <c r="D67" s="826"/>
      <c r="F67" s="67">
        <f>IF(COUNTIF(J38:J46,"Improved Weapons (Magic)")&lt;1,0,1)</f>
        <v>0</v>
      </c>
      <c r="H67" s="662"/>
      <c r="J67" s="662">
        <v>2</v>
      </c>
      <c r="L67" s="67">
        <v>2</v>
      </c>
      <c r="N67" s="67">
        <f t="shared" si="0"/>
        <v>2</v>
      </c>
      <c r="P67" s="67"/>
    </row>
    <row r="68" spans="2:16" ht="15" hidden="1" customHeight="1" x14ac:dyDescent="0.25">
      <c r="B68" s="826" t="s">
        <v>486</v>
      </c>
      <c r="C68" s="826"/>
      <c r="D68" s="826"/>
      <c r="F68" s="67">
        <f>IF(COUNTIF(J38:J46,"Mounts")&lt;1,0,1)</f>
        <v>0</v>
      </c>
      <c r="H68" s="662">
        <v>2</v>
      </c>
      <c r="J68" s="662">
        <v>2</v>
      </c>
      <c r="L68" s="67">
        <v>1</v>
      </c>
      <c r="N68" s="67">
        <f t="shared" si="0"/>
        <v>1</v>
      </c>
      <c r="P68" s="67"/>
    </row>
    <row r="69" spans="2:16" ht="15" hidden="1" customHeight="1" x14ac:dyDescent="0.25">
      <c r="B69" s="826" t="s">
        <v>195</v>
      </c>
      <c r="C69" s="826"/>
      <c r="D69" s="826"/>
      <c r="F69" s="67">
        <f>IF(COUNTIF(J38:J46,"Ranged Weapons")&lt;1,0,1)</f>
        <v>0</v>
      </c>
      <c r="H69" s="662"/>
      <c r="J69" s="662"/>
      <c r="L69" s="67">
        <v>1</v>
      </c>
      <c r="N69" s="67">
        <f t="shared" si="0"/>
        <v>1</v>
      </c>
      <c r="P69" s="67">
        <v>1</v>
      </c>
    </row>
    <row r="70" spans="2:16" ht="15" hidden="1" customHeight="1" x14ac:dyDescent="0.25">
      <c r="B70" s="825" t="s">
        <v>196</v>
      </c>
      <c r="C70" s="825"/>
      <c r="D70" s="825"/>
      <c r="F70" s="67">
        <f>IF(COUNTIF(J38:J46,"Siege Weapons")&lt;1,0,1)</f>
        <v>0</v>
      </c>
      <c r="H70" s="662"/>
      <c r="J70" s="662">
        <v>2</v>
      </c>
      <c r="L70" s="67">
        <v>3</v>
      </c>
      <c r="N70" s="67">
        <f t="shared" si="0"/>
        <v>3</v>
      </c>
      <c r="P70" s="67"/>
    </row>
    <row r="71" spans="2:16" ht="15" hidden="1" customHeight="1" x14ac:dyDescent="0.25">
      <c r="B71" s="829" t="s">
        <v>585</v>
      </c>
      <c r="C71" s="829"/>
      <c r="D71" s="829"/>
      <c r="E71" s="829"/>
      <c r="F71" s="829"/>
      <c r="G71" s="265"/>
      <c r="H71" s="175">
        <f>SUMPRODUCT($F$64:$F$70,H$64:H$70)</f>
        <v>0</v>
      </c>
      <c r="I71" s="175"/>
      <c r="J71" s="175">
        <f t="shared" ref="J71:P71" si="1">SUMPRODUCT($F$64:$F$70,J$64:J$70)</f>
        <v>0</v>
      </c>
      <c r="K71" s="175"/>
      <c r="L71" s="175">
        <f t="shared" si="1"/>
        <v>0</v>
      </c>
      <c r="M71" s="175"/>
      <c r="N71" s="175">
        <f>SUMPRODUCT($F$63:$F$70,N$63:N$70)</f>
        <v>0</v>
      </c>
      <c r="O71" s="175"/>
      <c r="P71" s="175">
        <f t="shared" si="1"/>
        <v>0</v>
      </c>
    </row>
    <row r="72" spans="2:16" hidden="1" x14ac:dyDescent="0.25">
      <c r="B72" s="664"/>
      <c r="C72" s="664"/>
      <c r="D72" s="664"/>
      <c r="F72" s="67"/>
      <c r="H72" s="662"/>
      <c r="J72" s="662"/>
      <c r="L72" s="67"/>
      <c r="N72" s="67"/>
    </row>
    <row r="73" spans="2:16" ht="15" hidden="1" customHeight="1" x14ac:dyDescent="0.25">
      <c r="B73" s="827" t="s">
        <v>584</v>
      </c>
      <c r="C73" s="827"/>
      <c r="D73" s="827"/>
      <c r="F73" s="266">
        <f>IF(F4="Fine",1/8,IF(F4="Diminutive",1/6,IF(F4="Tiny",1/4,IF(F4="Small",1/2,IF(F4="Large",2,IF(F4="Huge",4,IF(F4="Gargantuan",10,IF(F4="Colossal",20,1))))))))</f>
        <v>1</v>
      </c>
      <c r="H73" s="662"/>
      <c r="I73" s="662"/>
      <c r="J73" s="662"/>
      <c r="K73" s="662"/>
      <c r="L73" s="662"/>
      <c r="M73" s="662"/>
      <c r="N73" s="662"/>
    </row>
    <row r="74" spans="2:16" hidden="1" x14ac:dyDescent="0.25">
      <c r="B74" s="664"/>
    </row>
    <row r="75" spans="2:16" ht="15" hidden="1" customHeight="1" x14ac:dyDescent="0.25">
      <c r="B75" s="800" t="s">
        <v>482</v>
      </c>
      <c r="C75" s="800"/>
      <c r="D75" s="800"/>
      <c r="F75" s="262" t="s">
        <v>367</v>
      </c>
      <c r="G75" s="262"/>
      <c r="H75" s="661" t="s">
        <v>218</v>
      </c>
      <c r="I75" s="556"/>
      <c r="J75" s="661" t="s">
        <v>160</v>
      </c>
    </row>
    <row r="76" spans="2:16" ht="15" hidden="1" customHeight="1" x14ac:dyDescent="0.25">
      <c r="B76" s="826" t="s">
        <v>534</v>
      </c>
      <c r="C76" s="826"/>
      <c r="D76" s="826"/>
      <c r="F76" s="67">
        <f>IF(COUNTIF(J24:J32,"Defensive Tactics")&lt;1,0,1)</f>
        <v>0</v>
      </c>
      <c r="G76" s="67"/>
      <c r="H76" s="662">
        <v>2</v>
      </c>
      <c r="I76" s="556"/>
      <c r="J76" s="662"/>
    </row>
    <row r="77" spans="2:16" ht="15" hidden="1" customHeight="1" x14ac:dyDescent="0.25">
      <c r="B77" s="825" t="s">
        <v>50</v>
      </c>
      <c r="C77" s="825"/>
      <c r="D77" s="825"/>
      <c r="F77" s="67">
        <f>IF(COUNTIF(J24:J32,"Loyalty")&lt;1,0,1)</f>
        <v>0</v>
      </c>
      <c r="G77" s="67"/>
      <c r="H77" s="662"/>
      <c r="I77" s="556"/>
      <c r="J77" s="662">
        <f>IF(H24&lt;12,2,4)</f>
        <v>2</v>
      </c>
    </row>
    <row r="78" spans="2:16" ht="15" hidden="1" customHeight="1" x14ac:dyDescent="0.25">
      <c r="B78" s="829" t="s">
        <v>585</v>
      </c>
      <c r="C78" s="829"/>
      <c r="D78" s="829"/>
      <c r="E78" s="829"/>
      <c r="F78" s="829"/>
      <c r="G78" s="267"/>
      <c r="H78" s="175">
        <f>SUMPRODUCT($F$76:$F$77,H$76:H$77)</f>
        <v>0</v>
      </c>
      <c r="I78" s="175"/>
      <c r="J78" s="175">
        <f>SUMPRODUCT($F$76:$F$77,J$76:J$77)</f>
        <v>0</v>
      </c>
    </row>
    <row r="79" spans="2:16" hidden="1" x14ac:dyDescent="0.25">
      <c r="B79" s="664"/>
    </row>
    <row r="80" spans="2:16" ht="15" hidden="1" customHeight="1" x14ac:dyDescent="0.25">
      <c r="B80" s="800" t="s">
        <v>161</v>
      </c>
      <c r="C80" s="800"/>
      <c r="D80" s="800"/>
      <c r="F80" s="262" t="s">
        <v>367</v>
      </c>
      <c r="H80" s="661" t="s">
        <v>219</v>
      </c>
      <c r="J80" s="661" t="s">
        <v>218</v>
      </c>
      <c r="L80" s="262" t="s">
        <v>588</v>
      </c>
    </row>
    <row r="81" spans="2:12" ht="15" hidden="1" customHeight="1" x14ac:dyDescent="0.25">
      <c r="B81" s="830" t="s">
        <v>542</v>
      </c>
      <c r="C81" s="830"/>
      <c r="D81" s="830"/>
      <c r="F81" s="67">
        <f>IF(COUNTIF(B50:B58,"Animal Companion")&lt;1,0,1)</f>
        <v>0</v>
      </c>
      <c r="H81" s="662">
        <v>1</v>
      </c>
      <c r="J81" s="662"/>
      <c r="L81" s="67"/>
    </row>
    <row r="82" spans="2:12" ht="15" hidden="1" customHeight="1" x14ac:dyDescent="0.25">
      <c r="B82" s="830" t="s">
        <v>545</v>
      </c>
      <c r="C82" s="830"/>
      <c r="D82" s="830"/>
      <c r="F82" s="67">
        <f>IF(COUNTIF(B50:B58,"Bomb")&lt;1,0,1)</f>
        <v>0</v>
      </c>
      <c r="H82" s="662"/>
      <c r="J82" s="662"/>
      <c r="L82" s="67">
        <v>1</v>
      </c>
    </row>
    <row r="83" spans="2:12" ht="15" hidden="1" customHeight="1" x14ac:dyDescent="0.25">
      <c r="B83" s="830" t="s">
        <v>197</v>
      </c>
      <c r="C83" s="830"/>
      <c r="D83" s="830"/>
      <c r="F83" s="67">
        <f>IF(COUNTIF(B50:B58,"Breath Weapon")&lt;1,0,1)</f>
        <v>0</v>
      </c>
      <c r="H83" s="662"/>
      <c r="J83" s="662"/>
      <c r="L83" s="67">
        <v>1</v>
      </c>
    </row>
    <row r="84" spans="2:12" ht="15" hidden="1" customHeight="1" x14ac:dyDescent="0.25">
      <c r="B84" s="830" t="s">
        <v>554</v>
      </c>
      <c r="C84" s="830"/>
      <c r="D84" s="830"/>
      <c r="F84" s="67">
        <f>IF(COUNTIF(B50:B58,"Eidolon")&lt;1,0,1)</f>
        <v>0</v>
      </c>
      <c r="H84" s="662">
        <v>1</v>
      </c>
      <c r="J84" s="662"/>
      <c r="L84" s="67"/>
    </row>
    <row r="85" spans="2:12" ht="15" hidden="1" customHeight="1" x14ac:dyDescent="0.25">
      <c r="B85" s="830" t="s">
        <v>587</v>
      </c>
      <c r="C85" s="830"/>
      <c r="D85" s="830"/>
      <c r="F85" s="67">
        <f>IF(COUNTIF(B50:B58,"Hunter's Bond (Animal)")&lt;1,0,1)</f>
        <v>0</v>
      </c>
      <c r="H85" s="662">
        <v>1</v>
      </c>
      <c r="J85" s="662"/>
      <c r="L85" s="67"/>
    </row>
    <row r="86" spans="2:12" ht="15" hidden="1" customHeight="1" x14ac:dyDescent="0.25">
      <c r="B86" s="830" t="s">
        <v>514</v>
      </c>
      <c r="C86" s="830"/>
      <c r="D86" s="830"/>
      <c r="F86" s="67">
        <f>IF(COUNTIF(B50:B58,"Mindless")&lt;1,0,1)</f>
        <v>0</v>
      </c>
      <c r="H86" s="662"/>
      <c r="J86" s="662"/>
      <c r="L86" s="67"/>
    </row>
    <row r="87" spans="2:12" ht="15" hidden="1" customHeight="1" x14ac:dyDescent="0.25">
      <c r="B87" s="830" t="s">
        <v>517</v>
      </c>
      <c r="C87" s="830"/>
      <c r="D87" s="830"/>
      <c r="F87" s="67">
        <f>IF(COUNTIF(B50:B58,"Pounce")&lt;1,0,1)</f>
        <v>0</v>
      </c>
      <c r="H87" s="662">
        <v>1</v>
      </c>
      <c r="J87" s="662"/>
      <c r="L87" s="67"/>
    </row>
    <row r="88" spans="2:12" ht="15" hidden="1" customHeight="1" x14ac:dyDescent="0.25">
      <c r="B88" s="830" t="s">
        <v>518</v>
      </c>
      <c r="C88" s="830"/>
      <c r="D88" s="830"/>
      <c r="F88" s="67">
        <f>IF(COUNTIF(B50:B58,"Powerful Charge")&lt;1,0,1)</f>
        <v>0</v>
      </c>
      <c r="H88" s="662">
        <v>1</v>
      </c>
      <c r="J88" s="662"/>
      <c r="L88" s="67"/>
    </row>
    <row r="89" spans="2:12" ht="15" hidden="1" customHeight="1" x14ac:dyDescent="0.25">
      <c r="B89" s="830" t="s">
        <v>571</v>
      </c>
      <c r="C89" s="830"/>
      <c r="D89" s="830"/>
      <c r="F89" s="67">
        <f>IF(COUNTIF(B50:B58,"Shield Ally")&lt;1,0,1)</f>
        <v>0</v>
      </c>
      <c r="H89" s="662"/>
      <c r="J89" s="662">
        <v>1</v>
      </c>
      <c r="L89" s="67"/>
    </row>
    <row r="90" spans="2:12" ht="15" hidden="1" customHeight="1" x14ac:dyDescent="0.25">
      <c r="B90" s="830" t="s">
        <v>526</v>
      </c>
      <c r="C90" s="830"/>
      <c r="D90" s="830"/>
      <c r="F90" s="67">
        <f>IF(COUNTIF(B50:B58,"Trample")&lt;1,0,1)</f>
        <v>0</v>
      </c>
      <c r="H90" s="662">
        <v>1</v>
      </c>
      <c r="J90" s="662"/>
      <c r="L90" s="67"/>
    </row>
    <row r="91" spans="2:12" ht="15" hidden="1" customHeight="1" x14ac:dyDescent="0.25">
      <c r="B91" s="831" t="s">
        <v>203</v>
      </c>
      <c r="C91" s="831"/>
      <c r="D91" s="831"/>
      <c r="F91" s="67">
        <f>IF(COUNTIF(B50:B58,"Undead")&lt;1,0,1)</f>
        <v>0</v>
      </c>
      <c r="H91" s="662"/>
      <c r="J91" s="662">
        <v>2</v>
      </c>
      <c r="L91" s="67"/>
    </row>
    <row r="92" spans="2:12" ht="15" hidden="1" customHeight="1" x14ac:dyDescent="0.25">
      <c r="B92" s="829" t="s">
        <v>585</v>
      </c>
      <c r="C92" s="829"/>
      <c r="D92" s="829"/>
      <c r="E92" s="829"/>
      <c r="F92" s="829"/>
      <c r="G92" s="265"/>
      <c r="H92" s="175">
        <f>SUMPRODUCT($F$81:$F$91,H$81:H$91)</f>
        <v>0</v>
      </c>
      <c r="I92" s="268"/>
      <c r="J92" s="175">
        <f>SUMPRODUCT($F$81:$F$91,J$81:J$91)</f>
        <v>0</v>
      </c>
      <c r="K92" s="268"/>
      <c r="L92" s="175">
        <f>SUMPRODUCT($F$81:$F$91,L$81:L$91)</f>
        <v>0</v>
      </c>
    </row>
    <row r="93" spans="2:12" hidden="1" x14ac:dyDescent="0.25">
      <c r="B93" s="665"/>
      <c r="C93" s="665"/>
      <c r="D93" s="665"/>
    </row>
    <row r="94" spans="2:12" ht="15" hidden="1" customHeight="1" x14ac:dyDescent="0.25">
      <c r="B94" s="800" t="s">
        <v>585</v>
      </c>
      <c r="C94" s="800"/>
      <c r="D94" s="800"/>
      <c r="E94" s="800"/>
      <c r="F94" s="800"/>
    </row>
    <row r="95" spans="2:12" ht="15" hidden="1" customHeight="1" x14ac:dyDescent="0.25">
      <c r="B95" s="827" t="s">
        <v>219</v>
      </c>
      <c r="C95" s="827"/>
      <c r="D95" s="827"/>
      <c r="F95" s="67">
        <f>J71+H92</f>
        <v>0</v>
      </c>
    </row>
    <row r="96" spans="2:12" ht="15" hidden="1" customHeight="1" x14ac:dyDescent="0.25">
      <c r="B96" s="827" t="s">
        <v>218</v>
      </c>
      <c r="C96" s="827"/>
      <c r="D96" s="827"/>
      <c r="F96" s="67">
        <f>H71+H78+J92</f>
        <v>0</v>
      </c>
    </row>
    <row r="97" spans="2:6" ht="15" hidden="1" customHeight="1" x14ac:dyDescent="0.25">
      <c r="B97" s="827" t="s">
        <v>160</v>
      </c>
      <c r="C97" s="827"/>
      <c r="D97" s="827"/>
      <c r="F97" s="67">
        <f>J78</f>
        <v>0</v>
      </c>
    </row>
    <row r="98" spans="2:6" ht="15" hidden="1" customHeight="1" x14ac:dyDescent="0.25">
      <c r="B98" s="828" t="s">
        <v>61</v>
      </c>
      <c r="C98" s="828"/>
      <c r="D98" s="828"/>
      <c r="F98" s="67">
        <f>N71</f>
        <v>0</v>
      </c>
    </row>
    <row r="99" spans="2:6" ht="15" hidden="1" customHeight="1" x14ac:dyDescent="0.25">
      <c r="B99" s="828" t="s">
        <v>588</v>
      </c>
      <c r="C99" s="828"/>
      <c r="D99" s="828"/>
      <c r="F99" s="67">
        <f>IF(P71+L92&gt;0,1,0)</f>
        <v>0</v>
      </c>
    </row>
    <row r="100" spans="2:6" ht="15" hidden="1" customHeight="1" x14ac:dyDescent="0.25">
      <c r="B100" s="827" t="s">
        <v>514</v>
      </c>
      <c r="C100" s="827"/>
      <c r="D100" s="827"/>
      <c r="F100" s="67">
        <f>F86</f>
        <v>0</v>
      </c>
    </row>
    <row r="101" spans="2:6" hidden="1" x14ac:dyDescent="0.25">
      <c r="B101" s="665"/>
      <c r="C101" s="665"/>
      <c r="D101" s="665"/>
    </row>
    <row r="102" spans="2:6" x14ac:dyDescent="0.25">
      <c r="B102" s="665"/>
      <c r="C102" s="665"/>
      <c r="D102" s="665"/>
    </row>
    <row r="103" spans="2:6" x14ac:dyDescent="0.25">
      <c r="B103" s="665"/>
      <c r="C103" s="665"/>
      <c r="D103" s="665"/>
    </row>
    <row r="104" spans="2:6" x14ac:dyDescent="0.25">
      <c r="B104" s="665"/>
      <c r="C104" s="665"/>
      <c r="D104" s="665"/>
    </row>
    <row r="105" spans="2:6" x14ac:dyDescent="0.25">
      <c r="B105" s="665"/>
      <c r="C105" s="665"/>
      <c r="D105" s="665"/>
    </row>
    <row r="106" spans="2:6" x14ac:dyDescent="0.25">
      <c r="B106" s="665"/>
      <c r="C106" s="665"/>
      <c r="D106" s="665"/>
    </row>
    <row r="107" spans="2:6" x14ac:dyDescent="0.25">
      <c r="B107" s="665"/>
      <c r="C107" s="665"/>
      <c r="D107" s="665"/>
    </row>
    <row r="108" spans="2:6" x14ac:dyDescent="0.25">
      <c r="B108" s="665"/>
      <c r="C108" s="665"/>
      <c r="D108" s="665"/>
    </row>
    <row r="109" spans="2:6" x14ac:dyDescent="0.25">
      <c r="B109" s="665"/>
      <c r="C109" s="665"/>
      <c r="D109" s="665"/>
    </row>
    <row r="110" spans="2:6" x14ac:dyDescent="0.25">
      <c r="B110" s="665"/>
      <c r="C110" s="665"/>
      <c r="D110" s="665"/>
    </row>
    <row r="111" spans="2:6" x14ac:dyDescent="0.25">
      <c r="B111" s="665"/>
      <c r="C111" s="665"/>
      <c r="D111" s="665"/>
    </row>
    <row r="112" spans="2:6" x14ac:dyDescent="0.25">
      <c r="B112" s="665"/>
      <c r="C112" s="665"/>
      <c r="D112" s="665"/>
    </row>
    <row r="113" spans="2:4" x14ac:dyDescent="0.25">
      <c r="B113" s="665"/>
      <c r="C113" s="665"/>
      <c r="D113" s="665"/>
    </row>
    <row r="114" spans="2:4" x14ac:dyDescent="0.25">
      <c r="B114" s="665"/>
      <c r="C114" s="665"/>
      <c r="D114" s="665"/>
    </row>
    <row r="115" spans="2:4" x14ac:dyDescent="0.25">
      <c r="B115" s="665"/>
      <c r="C115" s="665"/>
      <c r="D115" s="665"/>
    </row>
    <row r="116" spans="2:4" x14ac:dyDescent="0.25">
      <c r="B116" s="665"/>
      <c r="C116" s="665"/>
      <c r="D116" s="665"/>
    </row>
    <row r="117" spans="2:4" x14ac:dyDescent="0.25">
      <c r="B117" s="665"/>
      <c r="C117" s="665"/>
      <c r="D117" s="665"/>
    </row>
    <row r="118" spans="2:4" x14ac:dyDescent="0.25">
      <c r="B118" s="665"/>
      <c r="C118" s="665"/>
      <c r="D118" s="665"/>
    </row>
    <row r="119" spans="2:4" x14ac:dyDescent="0.25">
      <c r="B119" s="665"/>
      <c r="C119" s="665"/>
      <c r="D119" s="665"/>
    </row>
    <row r="120" spans="2:4" x14ac:dyDescent="0.25">
      <c r="B120" s="665"/>
      <c r="C120" s="665"/>
      <c r="D120" s="665"/>
    </row>
    <row r="121" spans="2:4" x14ac:dyDescent="0.25">
      <c r="B121" s="665"/>
      <c r="C121" s="665"/>
      <c r="D121" s="665"/>
    </row>
    <row r="122" spans="2:4" x14ac:dyDescent="0.25">
      <c r="B122" s="665"/>
      <c r="C122" s="665"/>
      <c r="D122" s="665"/>
    </row>
    <row r="123" spans="2:4" x14ac:dyDescent="0.25">
      <c r="B123" s="665"/>
      <c r="C123" s="665"/>
      <c r="D123" s="665"/>
    </row>
    <row r="124" spans="2:4" x14ac:dyDescent="0.25">
      <c r="B124" s="665"/>
      <c r="C124" s="665"/>
      <c r="D124" s="665"/>
    </row>
    <row r="125" spans="2:4" x14ac:dyDescent="0.25">
      <c r="B125" s="665"/>
      <c r="C125" s="665"/>
      <c r="D125" s="665"/>
    </row>
    <row r="126" spans="2:4" x14ac:dyDescent="0.25">
      <c r="B126" s="665"/>
      <c r="C126" s="665"/>
      <c r="D126" s="665"/>
    </row>
    <row r="127" spans="2:4" x14ac:dyDescent="0.25">
      <c r="B127" s="665"/>
      <c r="C127" s="665"/>
      <c r="D127" s="665"/>
    </row>
    <row r="128" spans="2:4" x14ac:dyDescent="0.25">
      <c r="B128" s="665"/>
      <c r="C128" s="665"/>
      <c r="D128" s="665"/>
    </row>
    <row r="129" spans="2:4" x14ac:dyDescent="0.25">
      <c r="B129" s="665"/>
      <c r="C129" s="665"/>
      <c r="D129" s="665"/>
    </row>
    <row r="130" spans="2:4" x14ac:dyDescent="0.25">
      <c r="B130" s="665"/>
      <c r="C130" s="665"/>
      <c r="D130" s="665"/>
    </row>
    <row r="131" spans="2:4" x14ac:dyDescent="0.25">
      <c r="B131" s="665"/>
      <c r="C131" s="665"/>
      <c r="D131" s="665"/>
    </row>
    <row r="132" spans="2:4" x14ac:dyDescent="0.25">
      <c r="B132" s="665"/>
      <c r="C132" s="665"/>
      <c r="D132" s="665"/>
    </row>
    <row r="133" spans="2:4" x14ac:dyDescent="0.25">
      <c r="B133" s="665"/>
      <c r="C133" s="665"/>
      <c r="D133" s="665"/>
    </row>
    <row r="134" spans="2:4" x14ac:dyDescent="0.25">
      <c r="B134" s="665"/>
      <c r="C134" s="665"/>
      <c r="D134" s="665"/>
    </row>
    <row r="135" spans="2:4" x14ac:dyDescent="0.25">
      <c r="B135" s="665"/>
      <c r="C135" s="665"/>
      <c r="D135" s="665"/>
    </row>
    <row r="136" spans="2:4" x14ac:dyDescent="0.25">
      <c r="B136" s="665"/>
      <c r="C136" s="665"/>
      <c r="D136" s="665"/>
    </row>
    <row r="137" spans="2:4" x14ac:dyDescent="0.25">
      <c r="B137" s="665"/>
      <c r="C137" s="665"/>
      <c r="D137" s="665"/>
    </row>
    <row r="138" spans="2:4" x14ac:dyDescent="0.25">
      <c r="B138" s="665"/>
      <c r="C138" s="665"/>
      <c r="D138" s="665"/>
    </row>
    <row r="139" spans="2:4" x14ac:dyDescent="0.25">
      <c r="B139" s="665"/>
      <c r="C139" s="665"/>
      <c r="D139" s="665"/>
    </row>
    <row r="140" spans="2:4" x14ac:dyDescent="0.25">
      <c r="B140" s="665"/>
      <c r="C140" s="665"/>
      <c r="D140" s="665"/>
    </row>
    <row r="141" spans="2:4" x14ac:dyDescent="0.25">
      <c r="B141" s="665"/>
      <c r="C141" s="665"/>
      <c r="D141" s="665"/>
    </row>
    <row r="142" spans="2:4" x14ac:dyDescent="0.25">
      <c r="B142" s="665"/>
      <c r="C142" s="665"/>
      <c r="D142" s="665"/>
    </row>
    <row r="143" spans="2:4" x14ac:dyDescent="0.25">
      <c r="B143" s="665"/>
      <c r="C143" s="665"/>
      <c r="D143" s="665"/>
    </row>
    <row r="144" spans="2:4" x14ac:dyDescent="0.25">
      <c r="B144" s="665"/>
      <c r="C144" s="665"/>
      <c r="D144" s="665"/>
    </row>
    <row r="145" spans="2:4" x14ac:dyDescent="0.25">
      <c r="B145" s="665"/>
      <c r="C145" s="665"/>
      <c r="D145" s="665"/>
    </row>
    <row r="146" spans="2:4" x14ac:dyDescent="0.25">
      <c r="B146" s="665"/>
      <c r="C146" s="665"/>
      <c r="D146" s="665"/>
    </row>
    <row r="147" spans="2:4" x14ac:dyDescent="0.25">
      <c r="B147" s="665"/>
      <c r="C147" s="665"/>
      <c r="D147" s="665"/>
    </row>
    <row r="148" spans="2:4" x14ac:dyDescent="0.25">
      <c r="B148" s="665"/>
      <c r="C148" s="665"/>
      <c r="D148" s="665"/>
    </row>
    <row r="149" spans="2:4" x14ac:dyDescent="0.25">
      <c r="B149" s="665"/>
      <c r="C149" s="665"/>
      <c r="D149" s="665"/>
    </row>
    <row r="150" spans="2:4" x14ac:dyDescent="0.25">
      <c r="B150" s="665"/>
      <c r="C150" s="665"/>
      <c r="D150" s="665"/>
    </row>
    <row r="151" spans="2:4" x14ac:dyDescent="0.25">
      <c r="B151" s="665"/>
      <c r="C151" s="665"/>
      <c r="D151" s="665"/>
    </row>
    <row r="152" spans="2:4" x14ac:dyDescent="0.25">
      <c r="B152" s="665"/>
      <c r="C152" s="665"/>
      <c r="D152" s="665"/>
    </row>
    <row r="153" spans="2:4" x14ac:dyDescent="0.25">
      <c r="B153" s="665"/>
      <c r="C153" s="665"/>
      <c r="D153" s="665"/>
    </row>
    <row r="154" spans="2:4" x14ac:dyDescent="0.25">
      <c r="B154" s="665"/>
      <c r="C154" s="665"/>
      <c r="D154" s="665"/>
    </row>
    <row r="155" spans="2:4" x14ac:dyDescent="0.25">
      <c r="B155" s="665"/>
      <c r="C155" s="665"/>
      <c r="D155" s="665"/>
    </row>
    <row r="156" spans="2:4" x14ac:dyDescent="0.25">
      <c r="B156" s="665"/>
      <c r="C156" s="665"/>
      <c r="D156" s="665"/>
    </row>
    <row r="157" spans="2:4" x14ac:dyDescent="0.25">
      <c r="B157" s="665"/>
      <c r="C157" s="665"/>
      <c r="D157" s="665"/>
    </row>
    <row r="158" spans="2:4" x14ac:dyDescent="0.25">
      <c r="B158" s="665"/>
      <c r="C158" s="665"/>
      <c r="D158" s="665"/>
    </row>
    <row r="159" spans="2:4" x14ac:dyDescent="0.25">
      <c r="B159" s="665"/>
      <c r="C159" s="665"/>
      <c r="D159" s="665"/>
    </row>
    <row r="160" spans="2:4" x14ac:dyDescent="0.25">
      <c r="B160" s="665"/>
      <c r="C160" s="665"/>
      <c r="D160" s="665"/>
    </row>
    <row r="161" spans="2:4" x14ac:dyDescent="0.25">
      <c r="B161" s="665"/>
      <c r="C161" s="665"/>
      <c r="D161" s="665"/>
    </row>
    <row r="162" spans="2:4" x14ac:dyDescent="0.25">
      <c r="B162" s="665"/>
      <c r="C162" s="665"/>
      <c r="D162" s="665"/>
    </row>
    <row r="163" spans="2:4" x14ac:dyDescent="0.25">
      <c r="B163" s="665"/>
      <c r="C163" s="665"/>
      <c r="D163" s="665"/>
    </row>
    <row r="164" spans="2:4" x14ac:dyDescent="0.25">
      <c r="B164" s="665"/>
      <c r="C164" s="665"/>
      <c r="D164" s="665"/>
    </row>
    <row r="165" spans="2:4" x14ac:dyDescent="0.25">
      <c r="B165" s="665"/>
      <c r="C165" s="665"/>
      <c r="D165" s="665"/>
    </row>
    <row r="166" spans="2:4" x14ac:dyDescent="0.25">
      <c r="B166" s="665"/>
      <c r="C166" s="665"/>
      <c r="D166" s="665"/>
    </row>
    <row r="167" spans="2:4" x14ac:dyDescent="0.25">
      <c r="B167" s="665"/>
      <c r="C167" s="665"/>
      <c r="D167" s="665"/>
    </row>
    <row r="168" spans="2:4" x14ac:dyDescent="0.25">
      <c r="B168" s="665"/>
      <c r="C168" s="665"/>
      <c r="D168" s="665"/>
    </row>
    <row r="169" spans="2:4" x14ac:dyDescent="0.25">
      <c r="B169" s="665"/>
      <c r="C169" s="665"/>
      <c r="D169" s="665"/>
    </row>
    <row r="170" spans="2:4" x14ac:dyDescent="0.25">
      <c r="B170" s="665"/>
      <c r="C170" s="665"/>
      <c r="D170" s="665"/>
    </row>
    <row r="171" spans="2:4" x14ac:dyDescent="0.25">
      <c r="B171" s="665"/>
      <c r="C171" s="665"/>
      <c r="D171" s="665"/>
    </row>
    <row r="172" spans="2:4" x14ac:dyDescent="0.25">
      <c r="B172" s="665"/>
      <c r="C172" s="665"/>
      <c r="D172" s="665"/>
    </row>
    <row r="173" spans="2:4" x14ac:dyDescent="0.25">
      <c r="B173" s="665"/>
      <c r="C173" s="665"/>
      <c r="D173" s="665"/>
    </row>
    <row r="174" spans="2:4" x14ac:dyDescent="0.25">
      <c r="B174" s="665"/>
      <c r="C174" s="665"/>
      <c r="D174" s="665"/>
    </row>
    <row r="175" spans="2:4" x14ac:dyDescent="0.25">
      <c r="B175" s="665"/>
      <c r="C175" s="665"/>
      <c r="D175" s="665"/>
    </row>
    <row r="176" spans="2:4" x14ac:dyDescent="0.25">
      <c r="B176" s="665"/>
      <c r="C176" s="665"/>
      <c r="D176" s="665"/>
    </row>
    <row r="177" spans="2:4" x14ac:dyDescent="0.25">
      <c r="B177" s="665"/>
      <c r="C177" s="665"/>
      <c r="D177" s="665"/>
    </row>
    <row r="178" spans="2:4" x14ac:dyDescent="0.25">
      <c r="B178" s="665"/>
      <c r="C178" s="665"/>
      <c r="D178" s="665"/>
    </row>
  </sheetData>
  <sheetProtection sheet="1" objects="1" scenarios="1" selectLockedCells="1"/>
  <mergeCells count="100">
    <mergeCell ref="B96:D96"/>
    <mergeCell ref="B97:D97"/>
    <mergeCell ref="B98:D98"/>
    <mergeCell ref="B99:D99"/>
    <mergeCell ref="B89:D89"/>
    <mergeCell ref="B90:D90"/>
    <mergeCell ref="B95:D95"/>
    <mergeCell ref="B91:D91"/>
    <mergeCell ref="B92:F92"/>
    <mergeCell ref="B94:F94"/>
    <mergeCell ref="B88:D88"/>
    <mergeCell ref="B76:D76"/>
    <mergeCell ref="B80:D80"/>
    <mergeCell ref="B81:D81"/>
    <mergeCell ref="B82:D82"/>
    <mergeCell ref="B83:D83"/>
    <mergeCell ref="B84:D84"/>
    <mergeCell ref="B85:D85"/>
    <mergeCell ref="B86:D86"/>
    <mergeCell ref="B87:D87"/>
    <mergeCell ref="B77:D77"/>
    <mergeCell ref="B78:F78"/>
    <mergeCell ref="B75:D75"/>
    <mergeCell ref="B62:D62"/>
    <mergeCell ref="B63:D63"/>
    <mergeCell ref="B64:D64"/>
    <mergeCell ref="B65:D65"/>
    <mergeCell ref="B66:D66"/>
    <mergeCell ref="B67:D67"/>
    <mergeCell ref="B68:D68"/>
    <mergeCell ref="B69:D69"/>
    <mergeCell ref="B70:D70"/>
    <mergeCell ref="B71:F71"/>
    <mergeCell ref="B73:D73"/>
    <mergeCell ref="B50:H50"/>
    <mergeCell ref="J50:P58"/>
    <mergeCell ref="B52:H52"/>
    <mergeCell ref="B54:H54"/>
    <mergeCell ref="B56:H56"/>
    <mergeCell ref="B58:H58"/>
    <mergeCell ref="B46:H46"/>
    <mergeCell ref="J46:P46"/>
    <mergeCell ref="B48:H48"/>
    <mergeCell ref="J48:P48"/>
    <mergeCell ref="S48:T48"/>
    <mergeCell ref="S38:T38"/>
    <mergeCell ref="B40:H40"/>
    <mergeCell ref="J40:P40"/>
    <mergeCell ref="B44:H44"/>
    <mergeCell ref="J44:P44"/>
    <mergeCell ref="B42:H42"/>
    <mergeCell ref="J42:P42"/>
    <mergeCell ref="B38:H38"/>
    <mergeCell ref="J38:P38"/>
    <mergeCell ref="S36:T36"/>
    <mergeCell ref="B26:F26"/>
    <mergeCell ref="J26:P26"/>
    <mergeCell ref="B28:F28"/>
    <mergeCell ref="J28:P28"/>
    <mergeCell ref="B30:F30"/>
    <mergeCell ref="J30:P30"/>
    <mergeCell ref="B32:F32"/>
    <mergeCell ref="J32:P32"/>
    <mergeCell ref="B34:P34"/>
    <mergeCell ref="B36:H36"/>
    <mergeCell ref="J36:P36"/>
    <mergeCell ref="S18:T18"/>
    <mergeCell ref="B20:P20"/>
    <mergeCell ref="D22:H22"/>
    <mergeCell ref="J22:P22"/>
    <mergeCell ref="S22:T22"/>
    <mergeCell ref="B24:F24"/>
    <mergeCell ref="J24:P24"/>
    <mergeCell ref="B14:P14"/>
    <mergeCell ref="B16:D16"/>
    <mergeCell ref="F16:L16"/>
    <mergeCell ref="B18:D18"/>
    <mergeCell ref="F18:H18"/>
    <mergeCell ref="J18:N18"/>
    <mergeCell ref="N10:P10"/>
    <mergeCell ref="B12:D12"/>
    <mergeCell ref="F12:H12"/>
    <mergeCell ref="J12:L12"/>
    <mergeCell ref="N12:P12"/>
    <mergeCell ref="B100:D100"/>
    <mergeCell ref="S4:T4"/>
    <mergeCell ref="B2:D2"/>
    <mergeCell ref="F2:L2"/>
    <mergeCell ref="B4:D4"/>
    <mergeCell ref="F4:J4"/>
    <mergeCell ref="L4:N4"/>
    <mergeCell ref="B6:H6"/>
    <mergeCell ref="J6:P6"/>
    <mergeCell ref="B8:D8"/>
    <mergeCell ref="F8:H8"/>
    <mergeCell ref="J8:L8"/>
    <mergeCell ref="N8:P8"/>
    <mergeCell ref="B10:D10"/>
    <mergeCell ref="F10:H10"/>
    <mergeCell ref="J10:L10"/>
  </mergeCells>
  <dataValidations count="8">
    <dataValidation type="list" allowBlank="1" showInputMessage="1" showErrorMessage="1" sqref="J44:P46 J38:P38 J40:P40 J42:P42">
      <formula1>Resources</formula1>
    </dataValidation>
    <dataValidation type="list" allowBlank="1" showInputMessage="1" showErrorMessage="1" sqref="P17:P18 O18">
      <formula1>HD</formula1>
    </dataValidation>
    <dataValidation type="list" allowBlank="1" showInputMessage="1" showErrorMessage="1" sqref="B44:H46 B38:H38 B40:H40 B42:H42">
      <formula1>Tactics</formula1>
    </dataValidation>
    <dataValidation type="list" allowBlank="1" showInputMessage="1" showErrorMessage="1" sqref="B50:H50 B52:H52 B54:H54 B56:H56 B58:H58">
      <formula1>ArmySA</formula1>
    </dataValidation>
    <dataValidation type="list" allowBlank="1" showInputMessage="1" showErrorMessage="1" sqref="J24:P24 J26:P26 J28:P28 J30:P30 J32:P32">
      <formula1>Boons</formula1>
    </dataValidation>
    <dataValidation type="list" allowBlank="1" showInputMessage="1" showErrorMessage="1" sqref="N12:P12">
      <formula1>Morale</formula1>
    </dataValidation>
    <dataValidation type="list" allowBlank="1" showInputMessage="1" showErrorMessage="1" sqref="F4:J4">
      <formula1>ArmySize</formula1>
    </dataValidation>
    <dataValidation type="list" allowBlank="1" showInputMessage="1" showErrorMessage="1" sqref="P4 H32">
      <formula1>YN</formula1>
    </dataValidation>
  </dataValidation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Y178"/>
  <sheetViews>
    <sheetView workbookViewId="0">
      <selection activeCell="B46" sqref="A1:XFD1048576"/>
    </sheetView>
  </sheetViews>
  <sheetFormatPr defaultColWidth="9.140625" defaultRowHeight="15" x14ac:dyDescent="0.25"/>
  <cols>
    <col min="1" max="1" width="0.85546875" style="61" customWidth="1"/>
    <col min="2" max="2" width="9.85546875" style="61" customWidth="1"/>
    <col min="3" max="3" width="0.85546875" style="61" customWidth="1"/>
    <col min="4" max="4" width="9.7109375" style="61" customWidth="1"/>
    <col min="5" max="5" width="0.85546875" style="298" customWidth="1"/>
    <col min="6" max="6" width="6.28515625" style="298" customWidth="1"/>
    <col min="7" max="7" width="0.85546875" style="298" customWidth="1"/>
    <col min="8" max="8" width="6.28515625" style="61" customWidth="1"/>
    <col min="9" max="9" width="0.85546875" style="664" customWidth="1"/>
    <col min="10" max="10" width="9.85546875" style="61" customWidth="1"/>
    <col min="11" max="11" width="0.85546875" style="298" customWidth="1"/>
    <col min="12" max="12" width="9.7109375" style="298" customWidth="1"/>
    <col min="13" max="13" width="0.85546875" style="298" customWidth="1"/>
    <col min="14" max="14" width="6.28515625" style="298" bestFit="1" customWidth="1"/>
    <col min="15" max="15" width="0.85546875" style="298" customWidth="1"/>
    <col min="16" max="16" width="6.28515625" style="298" bestFit="1" customWidth="1"/>
    <col min="17" max="17" width="0.85546875" style="298" customWidth="1"/>
    <col min="18" max="18" width="9.140625" style="61"/>
    <col min="19" max="20" width="9.85546875" style="61" hidden="1" customWidth="1"/>
    <col min="21" max="21" width="0.85546875" style="61" hidden="1" customWidth="1"/>
    <col min="22" max="22" width="9.140625" style="61" hidden="1" customWidth="1"/>
    <col min="23" max="16384" width="9.140625" style="61"/>
  </cols>
  <sheetData>
    <row r="1" spans="1:22" ht="5.0999999999999996" customHeight="1" thickBot="1" x14ac:dyDescent="0.3">
      <c r="A1" s="241"/>
      <c r="B1" s="242"/>
      <c r="C1" s="242"/>
      <c r="D1" s="242"/>
      <c r="E1" s="242"/>
      <c r="F1" s="242"/>
      <c r="G1" s="242"/>
      <c r="H1" s="242"/>
      <c r="I1" s="242"/>
      <c r="J1" s="242"/>
      <c r="K1" s="242"/>
      <c r="L1" s="242"/>
      <c r="M1" s="242"/>
      <c r="N1" s="242"/>
      <c r="O1" s="242"/>
      <c r="P1" s="242"/>
      <c r="Q1" s="243"/>
    </row>
    <row r="2" spans="1:22" ht="15.75" thickBot="1" x14ac:dyDescent="0.3">
      <c r="A2" s="504"/>
      <c r="B2" s="800" t="s">
        <v>78</v>
      </c>
      <c r="C2" s="800"/>
      <c r="D2" s="800"/>
      <c r="E2" s="62"/>
      <c r="F2" s="797"/>
      <c r="G2" s="798"/>
      <c r="H2" s="798"/>
      <c r="I2" s="798"/>
      <c r="J2" s="798"/>
      <c r="K2" s="798"/>
      <c r="L2" s="799"/>
      <c r="M2" s="60"/>
      <c r="N2" s="663" t="s">
        <v>460</v>
      </c>
      <c r="O2" s="49"/>
      <c r="P2" s="257" t="str">
        <f>V6</f>
        <v>n/a</v>
      </c>
      <c r="Q2" s="238"/>
    </row>
    <row r="3" spans="1:22" s="65" customFormat="1" ht="3" customHeight="1" thickBot="1" x14ac:dyDescent="0.3">
      <c r="A3" s="505"/>
      <c r="B3" s="62"/>
      <c r="C3" s="62"/>
      <c r="D3" s="62"/>
      <c r="E3" s="62"/>
      <c r="F3" s="62"/>
      <c r="G3" s="62"/>
      <c r="H3" s="63"/>
      <c r="I3" s="298"/>
      <c r="J3" s="62"/>
      <c r="K3" s="62"/>
      <c r="L3" s="62"/>
      <c r="M3" s="62"/>
      <c r="N3" s="62"/>
      <c r="O3" s="62"/>
      <c r="P3" s="298"/>
      <c r="Q3" s="239"/>
    </row>
    <row r="4" spans="1:22" ht="15.75" thickBot="1" x14ac:dyDescent="0.3">
      <c r="A4" s="505"/>
      <c r="B4" s="800" t="s">
        <v>43</v>
      </c>
      <c r="C4" s="800"/>
      <c r="D4" s="800"/>
      <c r="E4" s="62"/>
      <c r="F4" s="797"/>
      <c r="G4" s="798"/>
      <c r="H4" s="798"/>
      <c r="I4" s="798"/>
      <c r="J4" s="799"/>
      <c r="K4" s="66"/>
      <c r="L4" s="814" t="s">
        <v>459</v>
      </c>
      <c r="M4" s="815"/>
      <c r="N4" s="815"/>
      <c r="P4" s="254"/>
      <c r="Q4" s="239"/>
      <c r="S4" s="765" t="s">
        <v>478</v>
      </c>
      <c r="T4" s="765"/>
      <c r="V4" s="258">
        <f>IF(F4="Fine",-8,IF(F4="Diminutive",-6,IF(F4="Tiny",-4,IF(F4="Small",-2,IF(F4="Large",2,IF(F4="Huge",4,IF(F4="Gargantuan",6,IF(F4="Colossal",8,0))))))))</f>
        <v>0</v>
      </c>
    </row>
    <row r="5" spans="1:22" s="65" customFormat="1" ht="3" customHeight="1" x14ac:dyDescent="0.25">
      <c r="A5" s="505"/>
      <c r="B5" s="62"/>
      <c r="C5" s="62"/>
      <c r="D5" s="62"/>
      <c r="E5" s="62"/>
      <c r="F5" s="62"/>
      <c r="G5" s="62"/>
      <c r="H5" s="67"/>
      <c r="I5" s="67"/>
      <c r="J5" s="298"/>
      <c r="K5" s="298"/>
      <c r="L5" s="298"/>
      <c r="M5" s="298"/>
      <c r="N5" s="298"/>
      <c r="O5" s="298"/>
      <c r="P5" s="298"/>
      <c r="Q5" s="239"/>
    </row>
    <row r="6" spans="1:22" x14ac:dyDescent="0.25">
      <c r="A6" s="505"/>
      <c r="B6" s="715" t="s">
        <v>217</v>
      </c>
      <c r="C6" s="715"/>
      <c r="D6" s="715"/>
      <c r="E6" s="715"/>
      <c r="F6" s="715"/>
      <c r="G6" s="715"/>
      <c r="H6" s="715"/>
      <c r="I6" s="504"/>
      <c r="J6" s="715" t="s">
        <v>220</v>
      </c>
      <c r="K6" s="715"/>
      <c r="L6" s="715"/>
      <c r="M6" s="715"/>
      <c r="N6" s="715"/>
      <c r="O6" s="715"/>
      <c r="P6" s="715"/>
      <c r="Q6" s="239"/>
      <c r="S6" s="61" t="s">
        <v>1691</v>
      </c>
      <c r="V6" s="61" t="str">
        <f>IF(P16&lt;&gt;"",IF(P16+V4&gt;-5,IF(P16+V4&lt;1,VLOOKUP(P16+V4,'Drop Down'!C88:D93,2,FALSE),P16+V4),"n/a"),"n/a")</f>
        <v>n/a</v>
      </c>
    </row>
    <row r="7" spans="1:22" ht="3" customHeight="1" thickBot="1" x14ac:dyDescent="0.3">
      <c r="A7" s="505"/>
      <c r="B7" s="664"/>
      <c r="C7" s="664"/>
      <c r="D7" s="664"/>
      <c r="H7" s="664"/>
      <c r="J7" s="664"/>
      <c r="Q7" s="239"/>
    </row>
    <row r="8" spans="1:22" ht="15.75" thickBot="1" x14ac:dyDescent="0.3">
      <c r="A8" s="505"/>
      <c r="B8" s="765" t="s">
        <v>462</v>
      </c>
      <c r="C8" s="765"/>
      <c r="D8" s="765"/>
      <c r="E8" s="556"/>
      <c r="F8" s="811" t="str">
        <f>IF(P2="n/a","n/a",ROUNDDOWN(V18*P2,0))</f>
        <v>n/a</v>
      </c>
      <c r="G8" s="812"/>
      <c r="H8" s="813"/>
      <c r="I8" s="504"/>
      <c r="J8" s="765" t="s">
        <v>157</v>
      </c>
      <c r="K8" s="765"/>
      <c r="L8" s="765"/>
      <c r="M8" s="504"/>
      <c r="N8" s="676" t="str">
        <f>IF(F18&lt;&gt;"",IF(ROUNDDOWN(F18/15,0)&lt;1,1,ROUNDDOWN(F18/15,0)),"n/a")</f>
        <v>n/a</v>
      </c>
      <c r="O8" s="804"/>
      <c r="P8" s="677"/>
      <c r="Q8" s="239"/>
    </row>
    <row r="9" spans="1:22" ht="3" customHeight="1" thickBot="1" x14ac:dyDescent="0.3">
      <c r="A9" s="505"/>
      <c r="B9" s="60"/>
      <c r="C9" s="60"/>
      <c r="D9" s="60"/>
      <c r="H9" s="664"/>
      <c r="J9" s="664"/>
      <c r="L9" s="60"/>
      <c r="Q9" s="239"/>
    </row>
    <row r="10" spans="1:22" ht="15.75" thickBot="1" x14ac:dyDescent="0.3">
      <c r="A10" s="505"/>
      <c r="B10" s="765" t="s">
        <v>463</v>
      </c>
      <c r="C10" s="765"/>
      <c r="D10" s="765"/>
      <c r="E10" s="556"/>
      <c r="F10" s="676" t="str">
        <f>IF(P2="n/a","n/a",CONCATENATE("+",(P2+F95),IF(F99&gt;0,", ranged","")))</f>
        <v>n/a</v>
      </c>
      <c r="G10" s="804"/>
      <c r="H10" s="677"/>
      <c r="I10" s="504"/>
      <c r="J10" s="765" t="s">
        <v>61</v>
      </c>
      <c r="K10" s="765"/>
      <c r="L10" s="765"/>
      <c r="M10" s="504"/>
      <c r="N10" s="676" t="str">
        <f>IF(P2="n/a","n/a",(IF(P2/2&lt;1,1,ROUNDDOWN(P2/2,0))+F98))</f>
        <v>n/a</v>
      </c>
      <c r="O10" s="804"/>
      <c r="P10" s="677"/>
      <c r="Q10" s="239"/>
    </row>
    <row r="11" spans="1:22" ht="3" customHeight="1" thickBot="1" x14ac:dyDescent="0.3">
      <c r="A11" s="505"/>
      <c r="B11" s="60"/>
      <c r="C11" s="60"/>
      <c r="D11" s="60"/>
      <c r="H11" s="664"/>
      <c r="J11" s="664"/>
      <c r="L11" s="60"/>
      <c r="Q11" s="239"/>
    </row>
    <row r="12" spans="1:22" ht="15.75" thickBot="1" x14ac:dyDescent="0.3">
      <c r="A12" s="505"/>
      <c r="B12" s="765" t="s">
        <v>464</v>
      </c>
      <c r="C12" s="765"/>
      <c r="D12" s="765"/>
      <c r="E12" s="556"/>
      <c r="F12" s="676" t="str">
        <f>IF(P2="n/a","n/a",10+P2+F96)</f>
        <v>n/a</v>
      </c>
      <c r="G12" s="804"/>
      <c r="H12" s="677"/>
      <c r="I12" s="504"/>
      <c r="J12" s="765" t="s">
        <v>160</v>
      </c>
      <c r="K12" s="765"/>
      <c r="L12" s="765"/>
      <c r="M12" s="504"/>
      <c r="N12" s="762" t="s">
        <v>601</v>
      </c>
      <c r="O12" s="763"/>
      <c r="P12" s="764"/>
      <c r="Q12" s="239"/>
    </row>
    <row r="13" spans="1:22" ht="3" customHeight="1" x14ac:dyDescent="0.25">
      <c r="A13" s="505"/>
      <c r="B13" s="664"/>
      <c r="C13" s="664"/>
      <c r="D13" s="664"/>
      <c r="H13" s="664"/>
      <c r="J13" s="664"/>
      <c r="Q13" s="239"/>
    </row>
    <row r="14" spans="1:22" x14ac:dyDescent="0.25">
      <c r="A14" s="505"/>
      <c r="B14" s="715" t="s">
        <v>470</v>
      </c>
      <c r="C14" s="715"/>
      <c r="D14" s="715"/>
      <c r="E14" s="715"/>
      <c r="F14" s="715"/>
      <c r="G14" s="715"/>
      <c r="H14" s="715"/>
      <c r="I14" s="715"/>
      <c r="J14" s="715"/>
      <c r="K14" s="715"/>
      <c r="L14" s="715"/>
      <c r="M14" s="715"/>
      <c r="N14" s="715"/>
      <c r="O14" s="715"/>
      <c r="P14" s="715"/>
      <c r="Q14" s="239"/>
    </row>
    <row r="15" spans="1:22" ht="3" customHeight="1" thickBot="1" x14ac:dyDescent="0.3">
      <c r="A15" s="505"/>
      <c r="B15" s="664"/>
      <c r="C15" s="664"/>
      <c r="D15" s="664"/>
      <c r="H15" s="664"/>
      <c r="J15" s="664"/>
      <c r="P15" s="71"/>
      <c r="Q15" s="239"/>
    </row>
    <row r="16" spans="1:22" ht="15.75" thickBot="1" x14ac:dyDescent="0.3">
      <c r="A16" s="505"/>
      <c r="B16" s="800" t="s">
        <v>84</v>
      </c>
      <c r="C16" s="800"/>
      <c r="D16" s="800"/>
      <c r="E16" s="62"/>
      <c r="F16" s="797"/>
      <c r="G16" s="798"/>
      <c r="H16" s="798"/>
      <c r="I16" s="798"/>
      <c r="J16" s="798"/>
      <c r="K16" s="798"/>
      <c r="L16" s="799"/>
      <c r="M16" s="658"/>
      <c r="N16" s="663" t="s">
        <v>159</v>
      </c>
      <c r="O16" s="658"/>
      <c r="P16" s="255"/>
      <c r="Q16" s="239"/>
    </row>
    <row r="17" spans="1:22" ht="3" customHeight="1" thickBot="1" x14ac:dyDescent="0.3">
      <c r="A17" s="505"/>
      <c r="B17" s="664"/>
      <c r="C17" s="664"/>
      <c r="D17" s="664"/>
      <c r="H17" s="664"/>
      <c r="I17" s="504"/>
      <c r="J17" s="664"/>
      <c r="N17" s="62" t="s">
        <v>162</v>
      </c>
      <c r="O17" s="658"/>
      <c r="P17" s="235"/>
      <c r="Q17" s="239"/>
    </row>
    <row r="18" spans="1:22" ht="15.75" thickBot="1" x14ac:dyDescent="0.3">
      <c r="A18" s="505"/>
      <c r="B18" s="765" t="s">
        <v>157</v>
      </c>
      <c r="C18" s="765"/>
      <c r="D18" s="765"/>
      <c r="E18" s="556"/>
      <c r="F18" s="805"/>
      <c r="G18" s="806"/>
      <c r="H18" s="807"/>
      <c r="I18" s="504"/>
      <c r="J18" s="765" t="s">
        <v>471</v>
      </c>
      <c r="K18" s="765"/>
      <c r="L18" s="765"/>
      <c r="M18" s="765"/>
      <c r="N18" s="765"/>
      <c r="O18" s="503"/>
      <c r="P18" s="254"/>
      <c r="Q18" s="239"/>
      <c r="S18" s="765" t="s">
        <v>461</v>
      </c>
      <c r="T18" s="765"/>
      <c r="V18" s="258">
        <f>IF(P18="d6",3.5,IF(P18="d8",4.5,IF(P18="d10",5.5,IF(P18="d12",6.5,0))))</f>
        <v>0</v>
      </c>
    </row>
    <row r="19" spans="1:22" s="65" customFormat="1" ht="3" customHeight="1" x14ac:dyDescent="0.25">
      <c r="A19" s="505"/>
      <c r="B19" s="234"/>
      <c r="C19" s="234"/>
      <c r="D19" s="234"/>
      <c r="E19" s="67"/>
      <c r="F19" s="67"/>
      <c r="G19" s="67"/>
      <c r="H19" s="67"/>
      <c r="I19" s="63"/>
      <c r="J19" s="234"/>
      <c r="K19" s="63"/>
      <c r="L19" s="63"/>
      <c r="M19" s="63"/>
      <c r="N19" s="63"/>
      <c r="O19" s="63"/>
      <c r="P19" s="63"/>
      <c r="Q19" s="239"/>
    </row>
    <row r="20" spans="1:22" x14ac:dyDescent="0.25">
      <c r="A20" s="505"/>
      <c r="B20" s="715" t="s">
        <v>468</v>
      </c>
      <c r="C20" s="715"/>
      <c r="D20" s="715"/>
      <c r="E20" s="715"/>
      <c r="F20" s="715"/>
      <c r="G20" s="715"/>
      <c r="H20" s="715"/>
      <c r="I20" s="715"/>
      <c r="J20" s="715"/>
      <c r="K20" s="715"/>
      <c r="L20" s="715"/>
      <c r="M20" s="715"/>
      <c r="N20" s="715"/>
      <c r="O20" s="715"/>
      <c r="P20" s="715"/>
      <c r="Q20" s="239"/>
    </row>
    <row r="21" spans="1:22" ht="3" customHeight="1" thickBot="1" x14ac:dyDescent="0.3">
      <c r="A21" s="505"/>
      <c r="B21" s="193"/>
      <c r="C21" s="193"/>
      <c r="D21" s="193"/>
      <c r="E21" s="193"/>
      <c r="F21" s="193"/>
      <c r="G21" s="193"/>
      <c r="H21" s="193"/>
      <c r="I21" s="193"/>
      <c r="J21" s="193"/>
      <c r="K21" s="193"/>
      <c r="L21" s="193"/>
      <c r="M21" s="193"/>
      <c r="N21" s="193"/>
      <c r="O21" s="193"/>
      <c r="P21" s="193"/>
      <c r="Q21" s="239"/>
    </row>
    <row r="22" spans="1:22" s="233" customFormat="1" ht="15.75" thickBot="1" x14ac:dyDescent="0.3">
      <c r="A22" s="505"/>
      <c r="B22" s="663" t="s">
        <v>78</v>
      </c>
      <c r="C22" s="62"/>
      <c r="D22" s="808"/>
      <c r="E22" s="809"/>
      <c r="F22" s="809"/>
      <c r="G22" s="809"/>
      <c r="H22" s="810"/>
      <c r="I22" s="248"/>
      <c r="J22" s="715" t="s">
        <v>482</v>
      </c>
      <c r="K22" s="715"/>
      <c r="L22" s="715"/>
      <c r="M22" s="715"/>
      <c r="N22" s="715"/>
      <c r="O22" s="715"/>
      <c r="P22" s="715"/>
      <c r="Q22" s="239"/>
      <c r="S22" s="765" t="s">
        <v>482</v>
      </c>
      <c r="T22" s="765"/>
      <c r="V22" s="233" t="str">
        <f>CONCATENATE(IF(J24&lt;&gt;0,J24,""),IF(J26&lt;&gt;0,CONCATENATE(", ",J26),""),IF(J28&lt;&gt;0,CONCATENATE(", ",J28),""),IF(J30&lt;&gt;0,CONCATENATE(", ",J30),""),IF(J32&lt;&gt;0,CONCATENATE(", ",J32),""))</f>
        <v/>
      </c>
    </row>
    <row r="23" spans="1:22" s="233" customFormat="1" ht="3" customHeight="1" thickBot="1" x14ac:dyDescent="0.3">
      <c r="A23" s="505"/>
      <c r="B23" s="153"/>
      <c r="C23" s="153"/>
      <c r="D23" s="153"/>
      <c r="E23" s="153"/>
      <c r="F23" s="153"/>
      <c r="G23" s="153"/>
      <c r="H23" s="153"/>
      <c r="I23" s="153"/>
      <c r="J23" s="153"/>
      <c r="K23" s="153"/>
      <c r="L23" s="153"/>
      <c r="M23" s="153"/>
      <c r="N23" s="153"/>
      <c r="O23" s="153"/>
      <c r="P23" s="153"/>
      <c r="Q23" s="239"/>
    </row>
    <row r="24" spans="1:22" s="233" customFormat="1" ht="15.75" thickBot="1" x14ac:dyDescent="0.3">
      <c r="A24" s="505"/>
      <c r="B24" s="765" t="s">
        <v>55</v>
      </c>
      <c r="C24" s="765"/>
      <c r="D24" s="765"/>
      <c r="E24" s="765"/>
      <c r="F24" s="765"/>
      <c r="G24" s="250"/>
      <c r="H24" s="150">
        <f>IF(H32="Yes",H26+H28+3,H26+H28)</f>
        <v>0</v>
      </c>
      <c r="I24" s="153"/>
      <c r="J24" s="801"/>
      <c r="K24" s="802"/>
      <c r="L24" s="802"/>
      <c r="M24" s="802"/>
      <c r="N24" s="802"/>
      <c r="O24" s="802"/>
      <c r="P24" s="803"/>
      <c r="Q24" s="239"/>
    </row>
    <row r="25" spans="1:22" s="233" customFormat="1" ht="3" customHeight="1" thickBot="1" x14ac:dyDescent="0.3">
      <c r="A25" s="505"/>
      <c r="G25" s="260"/>
      <c r="I25" s="153"/>
      <c r="J25" s="69"/>
      <c r="K25" s="69"/>
      <c r="L25" s="69"/>
      <c r="M25" s="69"/>
      <c r="N25" s="69"/>
      <c r="O25" s="69"/>
      <c r="P25" s="69"/>
      <c r="Q25" s="239"/>
    </row>
    <row r="26" spans="1:22" s="233" customFormat="1" ht="15.75" thickBot="1" x14ac:dyDescent="0.3">
      <c r="A26" s="505"/>
      <c r="B26" s="765" t="s">
        <v>483</v>
      </c>
      <c r="C26" s="765"/>
      <c r="D26" s="765"/>
      <c r="E26" s="765"/>
      <c r="F26" s="765"/>
      <c r="G26" s="250"/>
      <c r="H26" s="270"/>
      <c r="I26" s="153"/>
      <c r="J26" s="801"/>
      <c r="K26" s="802"/>
      <c r="L26" s="802"/>
      <c r="M26" s="802"/>
      <c r="N26" s="802"/>
      <c r="O26" s="802"/>
      <c r="P26" s="803"/>
      <c r="Q26" s="239"/>
    </row>
    <row r="27" spans="1:22" s="233" customFormat="1" ht="3" customHeight="1" thickBot="1" x14ac:dyDescent="0.3">
      <c r="A27" s="505"/>
      <c r="B27" s="153"/>
      <c r="C27" s="153"/>
      <c r="D27" s="153"/>
      <c r="E27" s="153"/>
      <c r="F27" s="153"/>
      <c r="G27" s="153"/>
      <c r="H27" s="153"/>
      <c r="I27" s="153"/>
      <c r="J27" s="69"/>
      <c r="K27" s="69"/>
      <c r="L27" s="69"/>
      <c r="M27" s="69"/>
      <c r="N27" s="69"/>
      <c r="O27" s="69"/>
      <c r="P27" s="69"/>
      <c r="Q27" s="239"/>
    </row>
    <row r="28" spans="1:22" s="233" customFormat="1" ht="15.75" thickBot="1" x14ac:dyDescent="0.3">
      <c r="A28" s="505"/>
      <c r="B28" s="765" t="s">
        <v>479</v>
      </c>
      <c r="C28" s="765"/>
      <c r="D28" s="765"/>
      <c r="E28" s="765"/>
      <c r="F28" s="765"/>
      <c r="G28" s="250"/>
      <c r="H28" s="270"/>
      <c r="I28" s="153"/>
      <c r="J28" s="801"/>
      <c r="K28" s="802"/>
      <c r="L28" s="802"/>
      <c r="M28" s="802"/>
      <c r="N28" s="802"/>
      <c r="O28" s="802"/>
      <c r="P28" s="803"/>
      <c r="Q28" s="239"/>
    </row>
    <row r="29" spans="1:22" ht="3" customHeight="1" thickBot="1" x14ac:dyDescent="0.3">
      <c r="A29" s="505"/>
      <c r="B29" s="664"/>
      <c r="C29" s="664"/>
      <c r="D29" s="664"/>
      <c r="H29" s="664"/>
      <c r="J29" s="69"/>
      <c r="K29" s="69"/>
      <c r="L29" s="69"/>
      <c r="M29" s="69"/>
      <c r="N29" s="69"/>
      <c r="O29" s="69"/>
      <c r="P29" s="69"/>
      <c r="Q29" s="239"/>
    </row>
    <row r="30" spans="1:22" ht="15.75" thickBot="1" x14ac:dyDescent="0.3">
      <c r="A30" s="505"/>
      <c r="B30" s="765" t="s">
        <v>481</v>
      </c>
      <c r="C30" s="765"/>
      <c r="D30" s="765"/>
      <c r="E30" s="765"/>
      <c r="F30" s="765"/>
      <c r="H30" s="270"/>
      <c r="J30" s="801"/>
      <c r="K30" s="802"/>
      <c r="L30" s="802"/>
      <c r="M30" s="802"/>
      <c r="N30" s="802"/>
      <c r="O30" s="802"/>
      <c r="P30" s="803"/>
      <c r="Q30" s="239"/>
    </row>
    <row r="31" spans="1:22" ht="3" customHeight="1" thickBot="1" x14ac:dyDescent="0.3">
      <c r="A31" s="505"/>
      <c r="B31" s="664"/>
      <c r="C31" s="664"/>
      <c r="D31" s="664"/>
      <c r="H31" s="664"/>
      <c r="J31" s="73"/>
      <c r="K31" s="73"/>
      <c r="L31" s="73"/>
      <c r="M31" s="73"/>
      <c r="N31" s="73"/>
      <c r="O31" s="73"/>
      <c r="P31" s="73"/>
      <c r="Q31" s="239"/>
    </row>
    <row r="32" spans="1:22" ht="15.75" thickBot="1" x14ac:dyDescent="0.3">
      <c r="A32" s="505"/>
      <c r="B32" s="765" t="s">
        <v>467</v>
      </c>
      <c r="C32" s="765"/>
      <c r="D32" s="765"/>
      <c r="E32" s="765"/>
      <c r="F32" s="765"/>
      <c r="H32" s="256"/>
      <c r="J32" s="801"/>
      <c r="K32" s="802"/>
      <c r="L32" s="802"/>
      <c r="M32" s="802"/>
      <c r="N32" s="802"/>
      <c r="O32" s="802"/>
      <c r="P32" s="803"/>
      <c r="Q32" s="239"/>
    </row>
    <row r="33" spans="1:25" ht="3" customHeight="1" x14ac:dyDescent="0.25">
      <c r="A33" s="505"/>
      <c r="B33" s="664"/>
      <c r="C33" s="664"/>
      <c r="D33" s="664"/>
      <c r="H33" s="664"/>
      <c r="J33" s="73"/>
      <c r="K33" s="73"/>
      <c r="L33" s="73"/>
      <c r="M33" s="73"/>
      <c r="N33" s="73"/>
      <c r="O33" s="73"/>
      <c r="P33" s="73"/>
      <c r="Q33" s="239"/>
    </row>
    <row r="34" spans="1:25" x14ac:dyDescent="0.25">
      <c r="A34" s="505"/>
      <c r="B34" s="715" t="s">
        <v>469</v>
      </c>
      <c r="C34" s="715"/>
      <c r="D34" s="715"/>
      <c r="E34" s="715"/>
      <c r="F34" s="715"/>
      <c r="G34" s="715"/>
      <c r="H34" s="715"/>
      <c r="I34" s="715"/>
      <c r="J34" s="715"/>
      <c r="K34" s="715"/>
      <c r="L34" s="715"/>
      <c r="M34" s="715"/>
      <c r="N34" s="715"/>
      <c r="O34" s="715"/>
      <c r="P34" s="715"/>
      <c r="Q34" s="239"/>
    </row>
    <row r="35" spans="1:25" ht="3" customHeight="1" x14ac:dyDescent="0.25">
      <c r="A35" s="505"/>
      <c r="B35" s="664"/>
      <c r="C35" s="664"/>
      <c r="D35" s="664"/>
      <c r="H35" s="664"/>
      <c r="J35" s="664"/>
      <c r="Q35" s="239"/>
    </row>
    <row r="36" spans="1:25" x14ac:dyDescent="0.25">
      <c r="A36" s="505"/>
      <c r="B36" s="715" t="s">
        <v>158</v>
      </c>
      <c r="C36" s="715"/>
      <c r="D36" s="715"/>
      <c r="E36" s="715"/>
      <c r="F36" s="715"/>
      <c r="G36" s="715"/>
      <c r="H36" s="715"/>
      <c r="I36" s="504"/>
      <c r="J36" s="715" t="s">
        <v>56</v>
      </c>
      <c r="K36" s="715"/>
      <c r="L36" s="715"/>
      <c r="M36" s="715"/>
      <c r="N36" s="715"/>
      <c r="O36" s="715"/>
      <c r="P36" s="715"/>
      <c r="Q36" s="239"/>
      <c r="S36" s="765" t="s">
        <v>158</v>
      </c>
      <c r="T36" s="765"/>
      <c r="U36" s="193"/>
      <c r="V36" s="504" t="str">
        <f>CONCATENATE(IF(B38&lt;&gt;0,B38,""),IF(B40&lt;&gt;0,CONCATENATE(", ",B40),""),IF(B42&lt;&gt;0,CONCATENATE(", ",B42),""),IF(B44&lt;&gt;0,CONCATENATE(", ",B44),""),IF(B46&lt;&gt;0,CONCATENATE(", ",B46),""))</f>
        <v/>
      </c>
      <c r="W36" s="504"/>
      <c r="X36" s="504"/>
      <c r="Y36" s="504"/>
    </row>
    <row r="37" spans="1:25" s="664" customFormat="1" ht="3" customHeight="1" thickBot="1" x14ac:dyDescent="0.3">
      <c r="A37" s="505"/>
      <c r="B37" s="69"/>
      <c r="C37" s="69"/>
      <c r="D37" s="69"/>
      <c r="E37" s="69"/>
      <c r="F37" s="69"/>
      <c r="G37" s="69"/>
      <c r="H37" s="69"/>
      <c r="I37" s="69"/>
      <c r="J37" s="69"/>
      <c r="K37" s="69"/>
      <c r="L37" s="69"/>
      <c r="M37" s="69"/>
      <c r="N37" s="69"/>
      <c r="O37" s="69"/>
      <c r="P37" s="69"/>
      <c r="Q37" s="239"/>
    </row>
    <row r="38" spans="1:25" s="664" customFormat="1" ht="15.75" thickBot="1" x14ac:dyDescent="0.3">
      <c r="A38" s="505"/>
      <c r="B38" s="801"/>
      <c r="C38" s="802"/>
      <c r="D38" s="802"/>
      <c r="E38" s="802"/>
      <c r="F38" s="802"/>
      <c r="G38" s="802"/>
      <c r="H38" s="803"/>
      <c r="I38" s="69"/>
      <c r="J38" s="801"/>
      <c r="K38" s="802"/>
      <c r="L38" s="802"/>
      <c r="M38" s="802"/>
      <c r="N38" s="802"/>
      <c r="O38" s="802"/>
      <c r="P38" s="803"/>
      <c r="Q38" s="239"/>
      <c r="S38" s="765" t="s">
        <v>56</v>
      </c>
      <c r="T38" s="765"/>
      <c r="V38" s="664" t="str">
        <f>CONCATENATE(IF(J38&lt;&gt;0,J38,""),IF(J40&lt;&gt;0,CONCATENATE(", ",J40),""),IF(J42&lt;&gt;0,CONCATENATE(", ",J42),""),IF(J44&lt;&gt;0,CONCATENATE(", ",J44),""),IF(J46&lt;&gt;0,CONCATENATE(", ",J46),""))</f>
        <v/>
      </c>
    </row>
    <row r="39" spans="1:25" s="664" customFormat="1" ht="3" customHeight="1" thickBot="1" x14ac:dyDescent="0.3">
      <c r="A39" s="505"/>
      <c r="B39" s="69"/>
      <c r="C39" s="69"/>
      <c r="D39" s="69"/>
      <c r="E39" s="69"/>
      <c r="F39" s="69"/>
      <c r="G39" s="69"/>
      <c r="H39" s="69"/>
      <c r="I39" s="69"/>
      <c r="J39" s="69"/>
      <c r="K39" s="69"/>
      <c r="L39" s="69"/>
      <c r="M39" s="69"/>
      <c r="N39" s="69"/>
      <c r="O39" s="69"/>
      <c r="P39" s="69"/>
      <c r="Q39" s="239"/>
    </row>
    <row r="40" spans="1:25" s="664" customFormat="1" ht="15.75" thickBot="1" x14ac:dyDescent="0.3">
      <c r="A40" s="505"/>
      <c r="B40" s="801"/>
      <c r="C40" s="802"/>
      <c r="D40" s="802"/>
      <c r="E40" s="802"/>
      <c r="F40" s="802"/>
      <c r="G40" s="802"/>
      <c r="H40" s="803"/>
      <c r="I40" s="69"/>
      <c r="J40" s="801"/>
      <c r="K40" s="802"/>
      <c r="L40" s="802"/>
      <c r="M40" s="802"/>
      <c r="N40" s="802"/>
      <c r="O40" s="802"/>
      <c r="P40" s="803"/>
      <c r="Q40" s="239"/>
    </row>
    <row r="41" spans="1:25" s="664" customFormat="1" ht="3" customHeight="1" thickBot="1" x14ac:dyDescent="0.3">
      <c r="A41" s="505"/>
      <c r="B41" s="69"/>
      <c r="C41" s="69"/>
      <c r="D41" s="69"/>
      <c r="E41" s="69"/>
      <c r="F41" s="69"/>
      <c r="G41" s="69"/>
      <c r="H41" s="69"/>
      <c r="I41" s="69"/>
      <c r="J41" s="69"/>
      <c r="K41" s="69"/>
      <c r="L41" s="69"/>
      <c r="M41" s="69"/>
      <c r="N41" s="69"/>
      <c r="O41" s="69"/>
      <c r="P41" s="69"/>
      <c r="Q41" s="239"/>
    </row>
    <row r="42" spans="1:25" s="664" customFormat="1" ht="15.75" thickBot="1" x14ac:dyDescent="0.3">
      <c r="A42" s="505"/>
      <c r="B42" s="801"/>
      <c r="C42" s="802"/>
      <c r="D42" s="802"/>
      <c r="E42" s="802"/>
      <c r="F42" s="802"/>
      <c r="G42" s="802"/>
      <c r="H42" s="803"/>
      <c r="I42" s="69"/>
      <c r="J42" s="801"/>
      <c r="K42" s="802"/>
      <c r="L42" s="802"/>
      <c r="M42" s="802"/>
      <c r="N42" s="802"/>
      <c r="O42" s="802"/>
      <c r="P42" s="803"/>
      <c r="Q42" s="239"/>
    </row>
    <row r="43" spans="1:25" s="664" customFormat="1" ht="3" customHeight="1" thickBot="1" x14ac:dyDescent="0.3">
      <c r="A43" s="505"/>
      <c r="B43" s="69"/>
      <c r="C43" s="69"/>
      <c r="D43" s="69"/>
      <c r="E43" s="69"/>
      <c r="F43" s="69"/>
      <c r="G43" s="69"/>
      <c r="H43" s="69"/>
      <c r="I43" s="69"/>
      <c r="J43" s="69"/>
      <c r="K43" s="69"/>
      <c r="L43" s="69"/>
      <c r="M43" s="69"/>
      <c r="N43" s="69"/>
      <c r="O43" s="69"/>
      <c r="P43" s="69"/>
      <c r="Q43" s="239"/>
    </row>
    <row r="44" spans="1:25" s="664" customFormat="1" ht="15.75" thickBot="1" x14ac:dyDescent="0.3">
      <c r="A44" s="505"/>
      <c r="B44" s="801"/>
      <c r="C44" s="802"/>
      <c r="D44" s="802"/>
      <c r="E44" s="802"/>
      <c r="F44" s="802"/>
      <c r="G44" s="802"/>
      <c r="H44" s="803"/>
      <c r="I44" s="69"/>
      <c r="J44" s="801"/>
      <c r="K44" s="802"/>
      <c r="L44" s="802"/>
      <c r="M44" s="802"/>
      <c r="N44" s="802"/>
      <c r="O44" s="802"/>
      <c r="P44" s="803"/>
      <c r="Q44" s="239"/>
    </row>
    <row r="45" spans="1:25" s="664" customFormat="1" ht="3" customHeight="1" thickBot="1" x14ac:dyDescent="0.3">
      <c r="A45" s="505"/>
      <c r="B45" s="261"/>
      <c r="C45" s="261"/>
      <c r="D45" s="261"/>
      <c r="E45" s="261"/>
      <c r="F45" s="261"/>
      <c r="G45" s="261"/>
      <c r="H45" s="261"/>
      <c r="I45" s="69"/>
      <c r="J45" s="69"/>
      <c r="K45" s="69"/>
      <c r="L45" s="69"/>
      <c r="M45" s="69"/>
      <c r="N45" s="69"/>
      <c r="O45" s="69"/>
      <c r="P45" s="69"/>
      <c r="Q45" s="239"/>
    </row>
    <row r="46" spans="1:25" s="664" customFormat="1" ht="15.75" thickBot="1" x14ac:dyDescent="0.3">
      <c r="A46" s="505"/>
      <c r="B46" s="801"/>
      <c r="C46" s="802"/>
      <c r="D46" s="802"/>
      <c r="E46" s="802"/>
      <c r="F46" s="802"/>
      <c r="G46" s="802"/>
      <c r="H46" s="803"/>
      <c r="I46" s="69"/>
      <c r="J46" s="801"/>
      <c r="K46" s="802"/>
      <c r="L46" s="802"/>
      <c r="M46" s="802"/>
      <c r="N46" s="802"/>
      <c r="O46" s="802"/>
      <c r="P46" s="803"/>
      <c r="Q46" s="239"/>
    </row>
    <row r="47" spans="1:25" ht="3" customHeight="1" x14ac:dyDescent="0.25">
      <c r="A47" s="505"/>
      <c r="B47" s="664"/>
      <c r="C47" s="664"/>
      <c r="D47" s="664"/>
      <c r="H47" s="664"/>
      <c r="J47" s="664"/>
      <c r="Q47" s="239"/>
    </row>
    <row r="48" spans="1:25" x14ac:dyDescent="0.25">
      <c r="A48" s="505"/>
      <c r="B48" s="715" t="s">
        <v>161</v>
      </c>
      <c r="C48" s="715"/>
      <c r="D48" s="715"/>
      <c r="E48" s="715"/>
      <c r="F48" s="715"/>
      <c r="G48" s="715"/>
      <c r="H48" s="715"/>
      <c r="I48" s="504"/>
      <c r="J48" s="715" t="s">
        <v>480</v>
      </c>
      <c r="K48" s="715"/>
      <c r="L48" s="715"/>
      <c r="M48" s="715"/>
      <c r="N48" s="715"/>
      <c r="O48" s="715"/>
      <c r="P48" s="715"/>
      <c r="Q48" s="239"/>
      <c r="S48" s="765" t="s">
        <v>161</v>
      </c>
      <c r="T48" s="765"/>
      <c r="V48" s="61" t="str">
        <f>CONCATENATE(IF(B50&lt;&gt;0,B50,""),IF(B52&lt;&gt;0,CONCATENATE(", ",B52),""),IF(B54&lt;&gt;0,CONCATENATE(", ",B54),""),IF(B56&lt;&gt;0,CONCATENATE(", ",B56),""),IF(B58&lt;&gt;0,CONCATENATE(", ",B58),""))</f>
        <v/>
      </c>
    </row>
    <row r="49" spans="1:17" s="664" customFormat="1" ht="3" customHeight="1" thickBot="1" x14ac:dyDescent="0.3">
      <c r="A49" s="505"/>
      <c r="B49" s="69"/>
      <c r="C49" s="69"/>
      <c r="D49" s="69"/>
      <c r="E49" s="69"/>
      <c r="F49" s="69"/>
      <c r="G49" s="69"/>
      <c r="H49" s="69"/>
      <c r="I49" s="69"/>
      <c r="J49" s="69"/>
      <c r="K49" s="69"/>
      <c r="L49" s="69"/>
      <c r="M49" s="69"/>
      <c r="N49" s="69"/>
      <c r="O49" s="69"/>
      <c r="P49" s="69"/>
      <c r="Q49" s="239"/>
    </row>
    <row r="50" spans="1:17" s="664" customFormat="1" ht="15.75" thickBot="1" x14ac:dyDescent="0.3">
      <c r="A50" s="505"/>
      <c r="B50" s="801"/>
      <c r="C50" s="802"/>
      <c r="D50" s="802"/>
      <c r="E50" s="802"/>
      <c r="F50" s="802"/>
      <c r="G50" s="802"/>
      <c r="H50" s="803"/>
      <c r="I50" s="69"/>
      <c r="J50" s="816"/>
      <c r="K50" s="817"/>
      <c r="L50" s="817"/>
      <c r="M50" s="817"/>
      <c r="N50" s="817"/>
      <c r="O50" s="817"/>
      <c r="P50" s="818"/>
      <c r="Q50" s="239"/>
    </row>
    <row r="51" spans="1:17" s="664" customFormat="1" ht="3" customHeight="1" thickBot="1" x14ac:dyDescent="0.3">
      <c r="A51" s="505"/>
      <c r="B51" s="69"/>
      <c r="C51" s="69"/>
      <c r="D51" s="69"/>
      <c r="E51" s="69"/>
      <c r="F51" s="69"/>
      <c r="G51" s="69"/>
      <c r="H51" s="69"/>
      <c r="I51" s="69"/>
      <c r="J51" s="819"/>
      <c r="K51" s="820"/>
      <c r="L51" s="820"/>
      <c r="M51" s="820"/>
      <c r="N51" s="820"/>
      <c r="O51" s="820"/>
      <c r="P51" s="821"/>
      <c r="Q51" s="239"/>
    </row>
    <row r="52" spans="1:17" s="664" customFormat="1" ht="15.75" thickBot="1" x14ac:dyDescent="0.3">
      <c r="A52" s="505"/>
      <c r="B52" s="801"/>
      <c r="C52" s="802"/>
      <c r="D52" s="802"/>
      <c r="E52" s="802"/>
      <c r="F52" s="802"/>
      <c r="G52" s="802"/>
      <c r="H52" s="803"/>
      <c r="I52" s="69"/>
      <c r="J52" s="819"/>
      <c r="K52" s="820"/>
      <c r="L52" s="820"/>
      <c r="M52" s="820"/>
      <c r="N52" s="820"/>
      <c r="O52" s="820"/>
      <c r="P52" s="821"/>
      <c r="Q52" s="239"/>
    </row>
    <row r="53" spans="1:17" s="664" customFormat="1" ht="3" customHeight="1" thickBot="1" x14ac:dyDescent="0.3">
      <c r="A53" s="505"/>
      <c r="B53" s="69"/>
      <c r="C53" s="69"/>
      <c r="D53" s="69"/>
      <c r="E53" s="69"/>
      <c r="F53" s="69"/>
      <c r="G53" s="69"/>
      <c r="H53" s="69"/>
      <c r="I53" s="69"/>
      <c r="J53" s="819"/>
      <c r="K53" s="820"/>
      <c r="L53" s="820"/>
      <c r="M53" s="820"/>
      <c r="N53" s="820"/>
      <c r="O53" s="820"/>
      <c r="P53" s="821"/>
      <c r="Q53" s="239"/>
    </row>
    <row r="54" spans="1:17" s="664" customFormat="1" ht="15.75" thickBot="1" x14ac:dyDescent="0.3">
      <c r="A54" s="505"/>
      <c r="B54" s="801"/>
      <c r="C54" s="802"/>
      <c r="D54" s="802"/>
      <c r="E54" s="802"/>
      <c r="F54" s="802"/>
      <c r="G54" s="802"/>
      <c r="H54" s="803"/>
      <c r="I54" s="69"/>
      <c r="J54" s="819"/>
      <c r="K54" s="820"/>
      <c r="L54" s="820"/>
      <c r="M54" s="820"/>
      <c r="N54" s="820"/>
      <c r="O54" s="820"/>
      <c r="P54" s="821"/>
      <c r="Q54" s="239"/>
    </row>
    <row r="55" spans="1:17" s="664" customFormat="1" ht="3" customHeight="1" thickBot="1" x14ac:dyDescent="0.3">
      <c r="A55" s="505"/>
      <c r="B55" s="72"/>
      <c r="C55" s="72"/>
      <c r="D55" s="72"/>
      <c r="E55" s="72"/>
      <c r="F55" s="72"/>
      <c r="G55" s="72"/>
      <c r="H55" s="72"/>
      <c r="I55" s="69"/>
      <c r="J55" s="819"/>
      <c r="K55" s="820"/>
      <c r="L55" s="820"/>
      <c r="M55" s="820"/>
      <c r="N55" s="820"/>
      <c r="O55" s="820"/>
      <c r="P55" s="821"/>
      <c r="Q55" s="239"/>
    </row>
    <row r="56" spans="1:17" s="664" customFormat="1" ht="15.75" thickBot="1" x14ac:dyDescent="0.3">
      <c r="A56" s="505"/>
      <c r="B56" s="801"/>
      <c r="C56" s="802"/>
      <c r="D56" s="802"/>
      <c r="E56" s="802"/>
      <c r="F56" s="802"/>
      <c r="G56" s="802"/>
      <c r="H56" s="803"/>
      <c r="I56" s="69"/>
      <c r="J56" s="819"/>
      <c r="K56" s="820"/>
      <c r="L56" s="820"/>
      <c r="M56" s="820"/>
      <c r="N56" s="820"/>
      <c r="O56" s="820"/>
      <c r="P56" s="821"/>
      <c r="Q56" s="239"/>
    </row>
    <row r="57" spans="1:17" s="664" customFormat="1" ht="3" customHeight="1" thickBot="1" x14ac:dyDescent="0.3">
      <c r="A57" s="505"/>
      <c r="B57" s="72"/>
      <c r="C57" s="72"/>
      <c r="D57" s="72"/>
      <c r="E57" s="72"/>
      <c r="F57" s="72"/>
      <c r="G57" s="72"/>
      <c r="H57" s="72"/>
      <c r="I57" s="69"/>
      <c r="J57" s="819"/>
      <c r="K57" s="820"/>
      <c r="L57" s="820"/>
      <c r="M57" s="820"/>
      <c r="N57" s="820"/>
      <c r="O57" s="820"/>
      <c r="P57" s="821"/>
      <c r="Q57" s="239"/>
    </row>
    <row r="58" spans="1:17" s="664" customFormat="1" ht="15.75" thickBot="1" x14ac:dyDescent="0.3">
      <c r="A58" s="505"/>
      <c r="B58" s="801"/>
      <c r="C58" s="802"/>
      <c r="D58" s="802"/>
      <c r="E58" s="802"/>
      <c r="F58" s="802"/>
      <c r="G58" s="802"/>
      <c r="H58" s="803"/>
      <c r="I58" s="69"/>
      <c r="J58" s="822"/>
      <c r="K58" s="823"/>
      <c r="L58" s="823"/>
      <c r="M58" s="823"/>
      <c r="N58" s="823"/>
      <c r="O58" s="823"/>
      <c r="P58" s="824"/>
      <c r="Q58" s="239"/>
    </row>
    <row r="59" spans="1:17" ht="3" customHeight="1" thickBot="1" x14ac:dyDescent="0.3">
      <c r="A59" s="246"/>
      <c r="B59" s="247"/>
      <c r="C59" s="247"/>
      <c r="D59" s="247"/>
      <c r="E59" s="247"/>
      <c r="F59" s="247"/>
      <c r="G59" s="247"/>
      <c r="H59" s="247"/>
      <c r="I59" s="247"/>
      <c r="J59" s="247"/>
      <c r="K59" s="247"/>
      <c r="L59" s="247"/>
      <c r="M59" s="247"/>
      <c r="N59" s="247"/>
      <c r="O59" s="247"/>
      <c r="P59" s="247"/>
      <c r="Q59" s="240"/>
    </row>
    <row r="60" spans="1:17" x14ac:dyDescent="0.25">
      <c r="A60" s="664"/>
      <c r="B60" s="664"/>
      <c r="C60" s="664"/>
      <c r="D60" s="664"/>
      <c r="H60" s="664"/>
      <c r="J60" s="664"/>
    </row>
    <row r="61" spans="1:17" hidden="1" x14ac:dyDescent="0.25">
      <c r="B61" s="664"/>
    </row>
    <row r="62" spans="1:17" ht="15" hidden="1" customHeight="1" x14ac:dyDescent="0.25">
      <c r="B62" s="800" t="s">
        <v>56</v>
      </c>
      <c r="C62" s="800"/>
      <c r="D62" s="800"/>
      <c r="F62" s="262" t="s">
        <v>367</v>
      </c>
      <c r="H62" s="661" t="s">
        <v>218</v>
      </c>
      <c r="J62" s="661" t="s">
        <v>219</v>
      </c>
      <c r="L62" s="262" t="s">
        <v>582</v>
      </c>
      <c r="N62" s="262" t="s">
        <v>583</v>
      </c>
      <c r="P62" s="666" t="s">
        <v>588</v>
      </c>
    </row>
    <row r="63" spans="1:17" ht="15" hidden="1" customHeight="1" x14ac:dyDescent="0.25">
      <c r="B63" s="796" t="s">
        <v>194</v>
      </c>
      <c r="C63" s="796"/>
      <c r="D63" s="796"/>
      <c r="F63" s="67">
        <f>IF(COUNTIF(J38:J46,"Healing Potions")&lt;1,0,1)</f>
        <v>0</v>
      </c>
      <c r="H63" s="661"/>
      <c r="J63" s="661"/>
      <c r="L63" s="377">
        <v>3</v>
      </c>
      <c r="N63" s="67">
        <f>IF($L63*$F$73&lt;1,1,ROUNDDOWN($L63*$F$73,0))</f>
        <v>3</v>
      </c>
      <c r="P63" s="666"/>
    </row>
    <row r="64" spans="1:17" ht="15" hidden="1" customHeight="1" x14ac:dyDescent="0.25">
      <c r="B64" s="826" t="s">
        <v>580</v>
      </c>
      <c r="C64" s="826"/>
      <c r="D64" s="826"/>
      <c r="F64" s="67">
        <f>IF(COUNTIF(J38:J46,"Improved Armor (Masterwork)")&lt;1,0,1)</f>
        <v>0</v>
      </c>
      <c r="H64" s="662">
        <v>1</v>
      </c>
      <c r="J64" s="662"/>
      <c r="L64" s="67">
        <v>1</v>
      </c>
      <c r="N64" s="67">
        <f t="shared" ref="N64:N70" si="0">IF($L64*$F$73&lt;1,1,ROUNDDOWN($L64*$F$73,0))</f>
        <v>1</v>
      </c>
      <c r="P64" s="67"/>
    </row>
    <row r="65" spans="2:16" ht="15" hidden="1" customHeight="1" x14ac:dyDescent="0.25">
      <c r="B65" s="826" t="s">
        <v>193</v>
      </c>
      <c r="C65" s="826"/>
      <c r="D65" s="826"/>
      <c r="F65" s="67">
        <f>IF(COUNTIF(J38:J46,"Improved Armor (Magic)")&lt;1,0,1)</f>
        <v>0</v>
      </c>
      <c r="H65" s="662">
        <v>2</v>
      </c>
      <c r="J65" s="662"/>
      <c r="L65" s="67">
        <v>2</v>
      </c>
      <c r="N65" s="67">
        <f t="shared" si="0"/>
        <v>2</v>
      </c>
      <c r="P65" s="67"/>
    </row>
    <row r="66" spans="2:16" ht="15" hidden="1" customHeight="1" x14ac:dyDescent="0.25">
      <c r="B66" s="826" t="s">
        <v>581</v>
      </c>
      <c r="C66" s="826"/>
      <c r="D66" s="826"/>
      <c r="F66" s="67">
        <f>IF(COUNTIF(J38:J46,"Improved Weapons (Masterwork)")&lt;1,0,1)</f>
        <v>0</v>
      </c>
      <c r="H66" s="662"/>
      <c r="J66" s="662">
        <v>1</v>
      </c>
      <c r="L66" s="67">
        <v>1</v>
      </c>
      <c r="N66" s="67">
        <f t="shared" si="0"/>
        <v>1</v>
      </c>
      <c r="P66" s="67"/>
    </row>
    <row r="67" spans="2:16" ht="15" hidden="1" customHeight="1" x14ac:dyDescent="0.25">
      <c r="B67" s="826" t="s">
        <v>192</v>
      </c>
      <c r="C67" s="826"/>
      <c r="D67" s="826"/>
      <c r="F67" s="67">
        <f>IF(COUNTIF(J38:J46,"Improved Weapons (Magic)")&lt;1,0,1)</f>
        <v>0</v>
      </c>
      <c r="H67" s="662"/>
      <c r="J67" s="662">
        <v>2</v>
      </c>
      <c r="L67" s="67">
        <v>2</v>
      </c>
      <c r="N67" s="67">
        <f t="shared" si="0"/>
        <v>2</v>
      </c>
      <c r="P67" s="67"/>
    </row>
    <row r="68" spans="2:16" ht="15" hidden="1" customHeight="1" x14ac:dyDescent="0.25">
      <c r="B68" s="826" t="s">
        <v>486</v>
      </c>
      <c r="C68" s="826"/>
      <c r="D68" s="826"/>
      <c r="F68" s="67">
        <f>IF(COUNTIF(J38:J46,"Mounts")&lt;1,0,1)</f>
        <v>0</v>
      </c>
      <c r="H68" s="662">
        <v>2</v>
      </c>
      <c r="J68" s="662">
        <v>2</v>
      </c>
      <c r="L68" s="67">
        <v>1</v>
      </c>
      <c r="N68" s="67">
        <f t="shared" si="0"/>
        <v>1</v>
      </c>
      <c r="P68" s="67"/>
    </row>
    <row r="69" spans="2:16" ht="15" hidden="1" customHeight="1" x14ac:dyDescent="0.25">
      <c r="B69" s="826" t="s">
        <v>195</v>
      </c>
      <c r="C69" s="826"/>
      <c r="D69" s="826"/>
      <c r="F69" s="67">
        <f>IF(COUNTIF(J38:J46,"Ranged Weapons")&lt;1,0,1)</f>
        <v>0</v>
      </c>
      <c r="H69" s="662"/>
      <c r="J69" s="662"/>
      <c r="L69" s="67">
        <v>1</v>
      </c>
      <c r="N69" s="67">
        <f t="shared" si="0"/>
        <v>1</v>
      </c>
      <c r="P69" s="67">
        <v>1</v>
      </c>
    </row>
    <row r="70" spans="2:16" ht="15" hidden="1" customHeight="1" x14ac:dyDescent="0.25">
      <c r="B70" s="825" t="s">
        <v>196</v>
      </c>
      <c r="C70" s="825"/>
      <c r="D70" s="825"/>
      <c r="F70" s="67">
        <f>IF(COUNTIF(J38:J46,"Siege Weapons")&lt;1,0,1)</f>
        <v>0</v>
      </c>
      <c r="H70" s="662"/>
      <c r="J70" s="662">
        <v>2</v>
      </c>
      <c r="L70" s="67">
        <v>3</v>
      </c>
      <c r="N70" s="67">
        <f t="shared" si="0"/>
        <v>3</v>
      </c>
      <c r="P70" s="67"/>
    </row>
    <row r="71" spans="2:16" ht="15" hidden="1" customHeight="1" x14ac:dyDescent="0.25">
      <c r="B71" s="829" t="s">
        <v>585</v>
      </c>
      <c r="C71" s="829"/>
      <c r="D71" s="829"/>
      <c r="E71" s="829"/>
      <c r="F71" s="829"/>
      <c r="G71" s="265"/>
      <c r="H71" s="175">
        <f>SUMPRODUCT($F$64:$F$70,H$64:H$70)</f>
        <v>0</v>
      </c>
      <c r="I71" s="175"/>
      <c r="J71" s="175">
        <f t="shared" ref="J71:P71" si="1">SUMPRODUCT($F$64:$F$70,J$64:J$70)</f>
        <v>0</v>
      </c>
      <c r="K71" s="175"/>
      <c r="L71" s="175">
        <f t="shared" si="1"/>
        <v>0</v>
      </c>
      <c r="M71" s="175"/>
      <c r="N71" s="175">
        <f>SUMPRODUCT($F$63:$F$70,N$63:N$70)</f>
        <v>0</v>
      </c>
      <c r="O71" s="175"/>
      <c r="P71" s="175">
        <f t="shared" si="1"/>
        <v>0</v>
      </c>
    </row>
    <row r="72" spans="2:16" hidden="1" x14ac:dyDescent="0.25">
      <c r="B72" s="664"/>
      <c r="C72" s="664"/>
      <c r="D72" s="664"/>
      <c r="F72" s="67"/>
      <c r="H72" s="662"/>
      <c r="J72" s="662"/>
      <c r="L72" s="67"/>
      <c r="N72" s="67"/>
    </row>
    <row r="73" spans="2:16" ht="15" hidden="1" customHeight="1" x14ac:dyDescent="0.25">
      <c r="B73" s="827" t="s">
        <v>584</v>
      </c>
      <c r="C73" s="827"/>
      <c r="D73" s="827"/>
      <c r="F73" s="266">
        <f>IF(F4="Fine",1/8,IF(F4="Diminutive",1/6,IF(F4="Tiny",1/4,IF(F4="Small",1/2,IF(F4="Large",2,IF(F4="Huge",4,IF(F4="Gargantuan",10,IF(F4="Colossal",20,1))))))))</f>
        <v>1</v>
      </c>
      <c r="H73" s="662"/>
      <c r="I73" s="662"/>
      <c r="J73" s="662"/>
      <c r="K73" s="662"/>
      <c r="L73" s="662"/>
      <c r="M73" s="662"/>
      <c r="N73" s="662"/>
    </row>
    <row r="74" spans="2:16" hidden="1" x14ac:dyDescent="0.25">
      <c r="B74" s="664"/>
    </row>
    <row r="75" spans="2:16" ht="15" hidden="1" customHeight="1" x14ac:dyDescent="0.25">
      <c r="B75" s="800" t="s">
        <v>482</v>
      </c>
      <c r="C75" s="800"/>
      <c r="D75" s="800"/>
      <c r="F75" s="262" t="s">
        <v>367</v>
      </c>
      <c r="G75" s="262"/>
      <c r="H75" s="661" t="s">
        <v>218</v>
      </c>
      <c r="I75" s="556"/>
      <c r="J75" s="661" t="s">
        <v>160</v>
      </c>
    </row>
    <row r="76" spans="2:16" ht="15" hidden="1" customHeight="1" x14ac:dyDescent="0.25">
      <c r="B76" s="826" t="s">
        <v>534</v>
      </c>
      <c r="C76" s="826"/>
      <c r="D76" s="826"/>
      <c r="F76" s="67">
        <f>IF(COUNTIF(J24:J32,"Defensive Tactics")&lt;1,0,1)</f>
        <v>0</v>
      </c>
      <c r="G76" s="67"/>
      <c r="H76" s="662">
        <v>2</v>
      </c>
      <c r="I76" s="556"/>
      <c r="J76" s="662"/>
    </row>
    <row r="77" spans="2:16" ht="15" hidden="1" customHeight="1" x14ac:dyDescent="0.25">
      <c r="B77" s="825" t="s">
        <v>50</v>
      </c>
      <c r="C77" s="825"/>
      <c r="D77" s="825"/>
      <c r="F77" s="67">
        <f>IF(COUNTIF(J24:J32,"Loyalty")&lt;1,0,1)</f>
        <v>0</v>
      </c>
      <c r="G77" s="67"/>
      <c r="H77" s="662"/>
      <c r="I77" s="556"/>
      <c r="J77" s="662">
        <f>IF(H24&lt;12,2,4)</f>
        <v>2</v>
      </c>
    </row>
    <row r="78" spans="2:16" ht="15" hidden="1" customHeight="1" x14ac:dyDescent="0.25">
      <c r="B78" s="829" t="s">
        <v>585</v>
      </c>
      <c r="C78" s="829"/>
      <c r="D78" s="829"/>
      <c r="E78" s="829"/>
      <c r="F78" s="829"/>
      <c r="G78" s="267"/>
      <c r="H78" s="175">
        <f>SUMPRODUCT($F$76:$F$77,H$76:H$77)</f>
        <v>0</v>
      </c>
      <c r="I78" s="175"/>
      <c r="J78" s="175">
        <f>SUMPRODUCT($F$76:$F$77,J$76:J$77)</f>
        <v>0</v>
      </c>
    </row>
    <row r="79" spans="2:16" hidden="1" x14ac:dyDescent="0.25">
      <c r="B79" s="664"/>
    </row>
    <row r="80" spans="2:16" ht="15" hidden="1" customHeight="1" x14ac:dyDescent="0.25">
      <c r="B80" s="800" t="s">
        <v>161</v>
      </c>
      <c r="C80" s="800"/>
      <c r="D80" s="800"/>
      <c r="F80" s="262" t="s">
        <v>367</v>
      </c>
      <c r="H80" s="661" t="s">
        <v>219</v>
      </c>
      <c r="J80" s="661" t="s">
        <v>218</v>
      </c>
      <c r="L80" s="262" t="s">
        <v>588</v>
      </c>
    </row>
    <row r="81" spans="2:12" ht="15" hidden="1" customHeight="1" x14ac:dyDescent="0.25">
      <c r="B81" s="830" t="s">
        <v>542</v>
      </c>
      <c r="C81" s="830"/>
      <c r="D81" s="830"/>
      <c r="F81" s="67">
        <f>IF(COUNTIF(B50:B58,"Animal Companion")&lt;1,0,1)</f>
        <v>0</v>
      </c>
      <c r="H81" s="662">
        <v>1</v>
      </c>
      <c r="J81" s="662"/>
      <c r="L81" s="67"/>
    </row>
    <row r="82" spans="2:12" ht="15" hidden="1" customHeight="1" x14ac:dyDescent="0.25">
      <c r="B82" s="830" t="s">
        <v>545</v>
      </c>
      <c r="C82" s="830"/>
      <c r="D82" s="830"/>
      <c r="F82" s="67">
        <f>IF(COUNTIF(B50:B58,"Bomb")&lt;1,0,1)</f>
        <v>0</v>
      </c>
      <c r="H82" s="662"/>
      <c r="J82" s="662"/>
      <c r="L82" s="67">
        <v>1</v>
      </c>
    </row>
    <row r="83" spans="2:12" ht="15" hidden="1" customHeight="1" x14ac:dyDescent="0.25">
      <c r="B83" s="830" t="s">
        <v>197</v>
      </c>
      <c r="C83" s="830"/>
      <c r="D83" s="830"/>
      <c r="F83" s="67">
        <f>IF(COUNTIF(B50:B58,"Breath Weapon")&lt;1,0,1)</f>
        <v>0</v>
      </c>
      <c r="H83" s="662"/>
      <c r="J83" s="662"/>
      <c r="L83" s="67">
        <v>1</v>
      </c>
    </row>
    <row r="84" spans="2:12" ht="15" hidden="1" customHeight="1" x14ac:dyDescent="0.25">
      <c r="B84" s="830" t="s">
        <v>554</v>
      </c>
      <c r="C84" s="830"/>
      <c r="D84" s="830"/>
      <c r="F84" s="67">
        <f>IF(COUNTIF(B50:B58,"Eidolon")&lt;1,0,1)</f>
        <v>0</v>
      </c>
      <c r="H84" s="662">
        <v>1</v>
      </c>
      <c r="J84" s="662"/>
      <c r="L84" s="67"/>
    </row>
    <row r="85" spans="2:12" ht="15" hidden="1" customHeight="1" x14ac:dyDescent="0.25">
      <c r="B85" s="830" t="s">
        <v>587</v>
      </c>
      <c r="C85" s="830"/>
      <c r="D85" s="830"/>
      <c r="F85" s="67">
        <f>IF(COUNTIF(B50:B58,"Hunter's Bond (Animal)")&lt;1,0,1)</f>
        <v>0</v>
      </c>
      <c r="H85" s="662">
        <v>1</v>
      </c>
      <c r="J85" s="662"/>
      <c r="L85" s="67"/>
    </row>
    <row r="86" spans="2:12" ht="15" hidden="1" customHeight="1" x14ac:dyDescent="0.25">
      <c r="B86" s="830" t="s">
        <v>514</v>
      </c>
      <c r="C86" s="830"/>
      <c r="D86" s="830"/>
      <c r="F86" s="67">
        <f>IF(COUNTIF(B50:B58,"Mindless")&lt;1,0,1)</f>
        <v>0</v>
      </c>
      <c r="H86" s="662"/>
      <c r="J86" s="662"/>
      <c r="L86" s="67"/>
    </row>
    <row r="87" spans="2:12" ht="15" hidden="1" customHeight="1" x14ac:dyDescent="0.25">
      <c r="B87" s="830" t="s">
        <v>517</v>
      </c>
      <c r="C87" s="830"/>
      <c r="D87" s="830"/>
      <c r="F87" s="67">
        <f>IF(COUNTIF(B50:B58,"Pounce")&lt;1,0,1)</f>
        <v>0</v>
      </c>
      <c r="H87" s="662">
        <v>1</v>
      </c>
      <c r="J87" s="662"/>
      <c r="L87" s="67"/>
    </row>
    <row r="88" spans="2:12" ht="15" hidden="1" customHeight="1" x14ac:dyDescent="0.25">
      <c r="B88" s="830" t="s">
        <v>518</v>
      </c>
      <c r="C88" s="830"/>
      <c r="D88" s="830"/>
      <c r="F88" s="67">
        <f>IF(COUNTIF(B50:B58,"Powerful Charge")&lt;1,0,1)</f>
        <v>0</v>
      </c>
      <c r="H88" s="662">
        <v>1</v>
      </c>
      <c r="J88" s="662"/>
      <c r="L88" s="67"/>
    </row>
    <row r="89" spans="2:12" ht="15" hidden="1" customHeight="1" x14ac:dyDescent="0.25">
      <c r="B89" s="830" t="s">
        <v>571</v>
      </c>
      <c r="C89" s="830"/>
      <c r="D89" s="830"/>
      <c r="F89" s="67">
        <f>IF(COUNTIF(B50:B58,"Shield Ally")&lt;1,0,1)</f>
        <v>0</v>
      </c>
      <c r="H89" s="662"/>
      <c r="J89" s="662">
        <v>1</v>
      </c>
      <c r="L89" s="67"/>
    </row>
    <row r="90" spans="2:12" ht="15" hidden="1" customHeight="1" x14ac:dyDescent="0.25">
      <c r="B90" s="830" t="s">
        <v>526</v>
      </c>
      <c r="C90" s="830"/>
      <c r="D90" s="830"/>
      <c r="F90" s="67">
        <f>IF(COUNTIF(B50:B58,"Trample")&lt;1,0,1)</f>
        <v>0</v>
      </c>
      <c r="H90" s="662">
        <v>1</v>
      </c>
      <c r="J90" s="662"/>
      <c r="L90" s="67"/>
    </row>
    <row r="91" spans="2:12" ht="15" hidden="1" customHeight="1" x14ac:dyDescent="0.25">
      <c r="B91" s="831" t="s">
        <v>203</v>
      </c>
      <c r="C91" s="831"/>
      <c r="D91" s="831"/>
      <c r="F91" s="67">
        <f>IF(COUNTIF(B50:B58,"Undead")&lt;1,0,1)</f>
        <v>0</v>
      </c>
      <c r="H91" s="662"/>
      <c r="J91" s="662">
        <v>2</v>
      </c>
      <c r="L91" s="67"/>
    </row>
    <row r="92" spans="2:12" ht="15" hidden="1" customHeight="1" x14ac:dyDescent="0.25">
      <c r="B92" s="829" t="s">
        <v>585</v>
      </c>
      <c r="C92" s="829"/>
      <c r="D92" s="829"/>
      <c r="E92" s="829"/>
      <c r="F92" s="829"/>
      <c r="G92" s="265"/>
      <c r="H92" s="175">
        <f>SUMPRODUCT($F$81:$F$91,H$81:H$91)</f>
        <v>0</v>
      </c>
      <c r="I92" s="268"/>
      <c r="J92" s="175">
        <f>SUMPRODUCT($F$81:$F$91,J$81:J$91)</f>
        <v>0</v>
      </c>
      <c r="K92" s="268"/>
      <c r="L92" s="175">
        <f>SUMPRODUCT($F$81:$F$91,L$81:L$91)</f>
        <v>0</v>
      </c>
    </row>
    <row r="93" spans="2:12" hidden="1" x14ac:dyDescent="0.25">
      <c r="B93" s="665"/>
      <c r="C93" s="665"/>
      <c r="D93" s="665"/>
    </row>
    <row r="94" spans="2:12" ht="15" hidden="1" customHeight="1" x14ac:dyDescent="0.25">
      <c r="B94" s="800" t="s">
        <v>585</v>
      </c>
      <c r="C94" s="800"/>
      <c r="D94" s="800"/>
      <c r="E94" s="800"/>
      <c r="F94" s="800"/>
    </row>
    <row r="95" spans="2:12" ht="15" hidden="1" customHeight="1" x14ac:dyDescent="0.25">
      <c r="B95" s="827" t="s">
        <v>219</v>
      </c>
      <c r="C95" s="827"/>
      <c r="D95" s="827"/>
      <c r="F95" s="67">
        <f>J71+H92</f>
        <v>0</v>
      </c>
    </row>
    <row r="96" spans="2:12" ht="15" hidden="1" customHeight="1" x14ac:dyDescent="0.25">
      <c r="B96" s="827" t="s">
        <v>218</v>
      </c>
      <c r="C96" s="827"/>
      <c r="D96" s="827"/>
      <c r="F96" s="67">
        <f>H71+H78+J92</f>
        <v>0</v>
      </c>
    </row>
    <row r="97" spans="2:6" ht="15" hidden="1" customHeight="1" x14ac:dyDescent="0.25">
      <c r="B97" s="827" t="s">
        <v>160</v>
      </c>
      <c r="C97" s="827"/>
      <c r="D97" s="827"/>
      <c r="F97" s="67">
        <f>J78</f>
        <v>0</v>
      </c>
    </row>
    <row r="98" spans="2:6" ht="15" hidden="1" customHeight="1" x14ac:dyDescent="0.25">
      <c r="B98" s="828" t="s">
        <v>61</v>
      </c>
      <c r="C98" s="828"/>
      <c r="D98" s="828"/>
      <c r="F98" s="67">
        <f>N71</f>
        <v>0</v>
      </c>
    </row>
    <row r="99" spans="2:6" ht="15" hidden="1" customHeight="1" x14ac:dyDescent="0.25">
      <c r="B99" s="828" t="s">
        <v>588</v>
      </c>
      <c r="C99" s="828"/>
      <c r="D99" s="828"/>
      <c r="F99" s="67">
        <f>IF(P71+L92&gt;0,1,0)</f>
        <v>0</v>
      </c>
    </row>
    <row r="100" spans="2:6" ht="15" hidden="1" customHeight="1" x14ac:dyDescent="0.25">
      <c r="B100" s="827" t="s">
        <v>514</v>
      </c>
      <c r="C100" s="827"/>
      <c r="D100" s="827"/>
      <c r="F100" s="67">
        <f>F86</f>
        <v>0</v>
      </c>
    </row>
    <row r="101" spans="2:6" hidden="1" x14ac:dyDescent="0.25">
      <c r="B101" s="665"/>
      <c r="C101" s="665"/>
      <c r="D101" s="665"/>
    </row>
    <row r="102" spans="2:6" x14ac:dyDescent="0.25">
      <c r="B102" s="665"/>
      <c r="C102" s="665"/>
      <c r="D102" s="665"/>
    </row>
    <row r="103" spans="2:6" x14ac:dyDescent="0.25">
      <c r="B103" s="665"/>
      <c r="C103" s="665"/>
      <c r="D103" s="665"/>
    </row>
    <row r="104" spans="2:6" x14ac:dyDescent="0.25">
      <c r="B104" s="665"/>
      <c r="C104" s="665"/>
      <c r="D104" s="665"/>
    </row>
    <row r="105" spans="2:6" x14ac:dyDescent="0.25">
      <c r="B105" s="665"/>
      <c r="C105" s="665"/>
      <c r="D105" s="665"/>
    </row>
    <row r="106" spans="2:6" x14ac:dyDescent="0.25">
      <c r="B106" s="665"/>
      <c r="C106" s="665"/>
      <c r="D106" s="665"/>
    </row>
    <row r="107" spans="2:6" x14ac:dyDescent="0.25">
      <c r="B107" s="665"/>
      <c r="C107" s="665"/>
      <c r="D107" s="665"/>
    </row>
    <row r="108" spans="2:6" x14ac:dyDescent="0.25">
      <c r="B108" s="665"/>
      <c r="C108" s="665"/>
      <c r="D108" s="665"/>
    </row>
    <row r="109" spans="2:6" x14ac:dyDescent="0.25">
      <c r="B109" s="665"/>
      <c r="C109" s="665"/>
      <c r="D109" s="665"/>
    </row>
    <row r="110" spans="2:6" x14ac:dyDescent="0.25">
      <c r="B110" s="665"/>
      <c r="C110" s="665"/>
      <c r="D110" s="665"/>
    </row>
    <row r="111" spans="2:6" x14ac:dyDescent="0.25">
      <c r="B111" s="665"/>
      <c r="C111" s="665"/>
      <c r="D111" s="665"/>
    </row>
    <row r="112" spans="2:6" x14ac:dyDescent="0.25">
      <c r="B112" s="665"/>
      <c r="C112" s="665"/>
      <c r="D112" s="665"/>
    </row>
    <row r="113" spans="2:4" x14ac:dyDescent="0.25">
      <c r="B113" s="665"/>
      <c r="C113" s="665"/>
      <c r="D113" s="665"/>
    </row>
    <row r="114" spans="2:4" x14ac:dyDescent="0.25">
      <c r="B114" s="665"/>
      <c r="C114" s="665"/>
      <c r="D114" s="665"/>
    </row>
    <row r="115" spans="2:4" x14ac:dyDescent="0.25">
      <c r="B115" s="665"/>
      <c r="C115" s="665"/>
      <c r="D115" s="665"/>
    </row>
    <row r="116" spans="2:4" x14ac:dyDescent="0.25">
      <c r="B116" s="665"/>
      <c r="C116" s="665"/>
      <c r="D116" s="665"/>
    </row>
    <row r="117" spans="2:4" x14ac:dyDescent="0.25">
      <c r="B117" s="665"/>
      <c r="C117" s="665"/>
      <c r="D117" s="665"/>
    </row>
    <row r="118" spans="2:4" x14ac:dyDescent="0.25">
      <c r="B118" s="665"/>
      <c r="C118" s="665"/>
      <c r="D118" s="665"/>
    </row>
    <row r="119" spans="2:4" x14ac:dyDescent="0.25">
      <c r="B119" s="665"/>
      <c r="C119" s="665"/>
      <c r="D119" s="665"/>
    </row>
    <row r="120" spans="2:4" x14ac:dyDescent="0.25">
      <c r="B120" s="665"/>
      <c r="C120" s="665"/>
      <c r="D120" s="665"/>
    </row>
    <row r="121" spans="2:4" x14ac:dyDescent="0.25">
      <c r="B121" s="665"/>
      <c r="C121" s="665"/>
      <c r="D121" s="665"/>
    </row>
    <row r="122" spans="2:4" x14ac:dyDescent="0.25">
      <c r="B122" s="665"/>
      <c r="C122" s="665"/>
      <c r="D122" s="665"/>
    </row>
    <row r="123" spans="2:4" x14ac:dyDescent="0.25">
      <c r="B123" s="665"/>
      <c r="C123" s="665"/>
      <c r="D123" s="665"/>
    </row>
    <row r="124" spans="2:4" x14ac:dyDescent="0.25">
      <c r="B124" s="665"/>
      <c r="C124" s="665"/>
      <c r="D124" s="665"/>
    </row>
    <row r="125" spans="2:4" x14ac:dyDescent="0.25">
      <c r="B125" s="665"/>
      <c r="C125" s="665"/>
      <c r="D125" s="665"/>
    </row>
    <row r="126" spans="2:4" x14ac:dyDescent="0.25">
      <c r="B126" s="665"/>
      <c r="C126" s="665"/>
      <c r="D126" s="665"/>
    </row>
    <row r="127" spans="2:4" x14ac:dyDescent="0.25">
      <c r="B127" s="665"/>
      <c r="C127" s="665"/>
      <c r="D127" s="665"/>
    </row>
    <row r="128" spans="2:4" x14ac:dyDescent="0.25">
      <c r="B128" s="665"/>
      <c r="C128" s="665"/>
      <c r="D128" s="665"/>
    </row>
    <row r="129" spans="2:4" x14ac:dyDescent="0.25">
      <c r="B129" s="665"/>
      <c r="C129" s="665"/>
      <c r="D129" s="665"/>
    </row>
    <row r="130" spans="2:4" x14ac:dyDescent="0.25">
      <c r="B130" s="665"/>
      <c r="C130" s="665"/>
      <c r="D130" s="665"/>
    </row>
    <row r="131" spans="2:4" x14ac:dyDescent="0.25">
      <c r="B131" s="665"/>
      <c r="C131" s="665"/>
      <c r="D131" s="665"/>
    </row>
    <row r="132" spans="2:4" x14ac:dyDescent="0.25">
      <c r="B132" s="665"/>
      <c r="C132" s="665"/>
      <c r="D132" s="665"/>
    </row>
    <row r="133" spans="2:4" x14ac:dyDescent="0.25">
      <c r="B133" s="665"/>
      <c r="C133" s="665"/>
      <c r="D133" s="665"/>
    </row>
    <row r="134" spans="2:4" x14ac:dyDescent="0.25">
      <c r="B134" s="665"/>
      <c r="C134" s="665"/>
      <c r="D134" s="665"/>
    </row>
    <row r="135" spans="2:4" x14ac:dyDescent="0.25">
      <c r="B135" s="665"/>
      <c r="C135" s="665"/>
      <c r="D135" s="665"/>
    </row>
    <row r="136" spans="2:4" x14ac:dyDescent="0.25">
      <c r="B136" s="665"/>
      <c r="C136" s="665"/>
      <c r="D136" s="665"/>
    </row>
    <row r="137" spans="2:4" x14ac:dyDescent="0.25">
      <c r="B137" s="665"/>
      <c r="C137" s="665"/>
      <c r="D137" s="665"/>
    </row>
    <row r="138" spans="2:4" x14ac:dyDescent="0.25">
      <c r="B138" s="665"/>
      <c r="C138" s="665"/>
      <c r="D138" s="665"/>
    </row>
    <row r="139" spans="2:4" x14ac:dyDescent="0.25">
      <c r="B139" s="665"/>
      <c r="C139" s="665"/>
      <c r="D139" s="665"/>
    </row>
    <row r="140" spans="2:4" x14ac:dyDescent="0.25">
      <c r="B140" s="665"/>
      <c r="C140" s="665"/>
      <c r="D140" s="665"/>
    </row>
    <row r="141" spans="2:4" x14ac:dyDescent="0.25">
      <c r="B141" s="665"/>
      <c r="C141" s="665"/>
      <c r="D141" s="665"/>
    </row>
    <row r="142" spans="2:4" x14ac:dyDescent="0.25">
      <c r="B142" s="665"/>
      <c r="C142" s="665"/>
      <c r="D142" s="665"/>
    </row>
    <row r="143" spans="2:4" x14ac:dyDescent="0.25">
      <c r="B143" s="665"/>
      <c r="C143" s="665"/>
      <c r="D143" s="665"/>
    </row>
    <row r="144" spans="2:4" x14ac:dyDescent="0.25">
      <c r="B144" s="665"/>
      <c r="C144" s="665"/>
      <c r="D144" s="665"/>
    </row>
    <row r="145" spans="2:4" x14ac:dyDescent="0.25">
      <c r="B145" s="665"/>
      <c r="C145" s="665"/>
      <c r="D145" s="665"/>
    </row>
    <row r="146" spans="2:4" x14ac:dyDescent="0.25">
      <c r="B146" s="665"/>
      <c r="C146" s="665"/>
      <c r="D146" s="665"/>
    </row>
    <row r="147" spans="2:4" x14ac:dyDescent="0.25">
      <c r="B147" s="665"/>
      <c r="C147" s="665"/>
      <c r="D147" s="665"/>
    </row>
    <row r="148" spans="2:4" x14ac:dyDescent="0.25">
      <c r="B148" s="665"/>
      <c r="C148" s="665"/>
      <c r="D148" s="665"/>
    </row>
    <row r="149" spans="2:4" x14ac:dyDescent="0.25">
      <c r="B149" s="665"/>
      <c r="C149" s="665"/>
      <c r="D149" s="665"/>
    </row>
    <row r="150" spans="2:4" x14ac:dyDescent="0.25">
      <c r="B150" s="665"/>
      <c r="C150" s="665"/>
      <c r="D150" s="665"/>
    </row>
    <row r="151" spans="2:4" x14ac:dyDescent="0.25">
      <c r="B151" s="665"/>
      <c r="C151" s="665"/>
      <c r="D151" s="665"/>
    </row>
    <row r="152" spans="2:4" x14ac:dyDescent="0.25">
      <c r="B152" s="665"/>
      <c r="C152" s="665"/>
      <c r="D152" s="665"/>
    </row>
    <row r="153" spans="2:4" x14ac:dyDescent="0.25">
      <c r="B153" s="665"/>
      <c r="C153" s="665"/>
      <c r="D153" s="665"/>
    </row>
    <row r="154" spans="2:4" x14ac:dyDescent="0.25">
      <c r="B154" s="665"/>
      <c r="C154" s="665"/>
      <c r="D154" s="665"/>
    </row>
    <row r="155" spans="2:4" x14ac:dyDescent="0.25">
      <c r="B155" s="665"/>
      <c r="C155" s="665"/>
      <c r="D155" s="665"/>
    </row>
    <row r="156" spans="2:4" x14ac:dyDescent="0.25">
      <c r="B156" s="665"/>
      <c r="C156" s="665"/>
      <c r="D156" s="665"/>
    </row>
    <row r="157" spans="2:4" x14ac:dyDescent="0.25">
      <c r="B157" s="665"/>
      <c r="C157" s="665"/>
      <c r="D157" s="665"/>
    </row>
    <row r="158" spans="2:4" x14ac:dyDescent="0.25">
      <c r="B158" s="665"/>
      <c r="C158" s="665"/>
      <c r="D158" s="665"/>
    </row>
    <row r="159" spans="2:4" x14ac:dyDescent="0.25">
      <c r="B159" s="665"/>
      <c r="C159" s="665"/>
      <c r="D159" s="665"/>
    </row>
    <row r="160" spans="2:4" x14ac:dyDescent="0.25">
      <c r="B160" s="665"/>
      <c r="C160" s="665"/>
      <c r="D160" s="665"/>
    </row>
    <row r="161" spans="2:4" x14ac:dyDescent="0.25">
      <c r="B161" s="665"/>
      <c r="C161" s="665"/>
      <c r="D161" s="665"/>
    </row>
    <row r="162" spans="2:4" x14ac:dyDescent="0.25">
      <c r="B162" s="665"/>
      <c r="C162" s="665"/>
      <c r="D162" s="665"/>
    </row>
    <row r="163" spans="2:4" x14ac:dyDescent="0.25">
      <c r="B163" s="665"/>
      <c r="C163" s="665"/>
      <c r="D163" s="665"/>
    </row>
    <row r="164" spans="2:4" x14ac:dyDescent="0.25">
      <c r="B164" s="665"/>
      <c r="C164" s="665"/>
      <c r="D164" s="665"/>
    </row>
    <row r="165" spans="2:4" x14ac:dyDescent="0.25">
      <c r="B165" s="665"/>
      <c r="C165" s="665"/>
      <c r="D165" s="665"/>
    </row>
    <row r="166" spans="2:4" x14ac:dyDescent="0.25">
      <c r="B166" s="665"/>
      <c r="C166" s="665"/>
      <c r="D166" s="665"/>
    </row>
    <row r="167" spans="2:4" x14ac:dyDescent="0.25">
      <c r="B167" s="665"/>
      <c r="C167" s="665"/>
      <c r="D167" s="665"/>
    </row>
    <row r="168" spans="2:4" x14ac:dyDescent="0.25">
      <c r="B168" s="665"/>
      <c r="C168" s="665"/>
      <c r="D168" s="665"/>
    </row>
    <row r="169" spans="2:4" x14ac:dyDescent="0.25">
      <c r="B169" s="665"/>
      <c r="C169" s="665"/>
      <c r="D169" s="665"/>
    </row>
    <row r="170" spans="2:4" x14ac:dyDescent="0.25">
      <c r="B170" s="665"/>
      <c r="C170" s="665"/>
      <c r="D170" s="665"/>
    </row>
    <row r="171" spans="2:4" x14ac:dyDescent="0.25">
      <c r="B171" s="665"/>
      <c r="C171" s="665"/>
      <c r="D171" s="665"/>
    </row>
    <row r="172" spans="2:4" x14ac:dyDescent="0.25">
      <c r="B172" s="665"/>
      <c r="C172" s="665"/>
      <c r="D172" s="665"/>
    </row>
    <row r="173" spans="2:4" x14ac:dyDescent="0.25">
      <c r="B173" s="665"/>
      <c r="C173" s="665"/>
      <c r="D173" s="665"/>
    </row>
    <row r="174" spans="2:4" x14ac:dyDescent="0.25">
      <c r="B174" s="665"/>
      <c r="C174" s="665"/>
      <c r="D174" s="665"/>
    </row>
    <row r="175" spans="2:4" x14ac:dyDescent="0.25">
      <c r="B175" s="665"/>
      <c r="C175" s="665"/>
      <c r="D175" s="665"/>
    </row>
    <row r="176" spans="2:4" x14ac:dyDescent="0.25">
      <c r="B176" s="665"/>
      <c r="C176" s="665"/>
      <c r="D176" s="665"/>
    </row>
    <row r="177" spans="2:4" x14ac:dyDescent="0.25">
      <c r="B177" s="665"/>
      <c r="C177" s="665"/>
      <c r="D177" s="665"/>
    </row>
    <row r="178" spans="2:4" x14ac:dyDescent="0.25">
      <c r="B178" s="665"/>
      <c r="C178" s="665"/>
      <c r="D178" s="665"/>
    </row>
  </sheetData>
  <sheetProtection sheet="1" objects="1" scenarios="1" selectLockedCells="1"/>
  <mergeCells count="100">
    <mergeCell ref="B96:D96"/>
    <mergeCell ref="B97:D97"/>
    <mergeCell ref="B98:D98"/>
    <mergeCell ref="B99:D99"/>
    <mergeCell ref="B89:D89"/>
    <mergeCell ref="B90:D90"/>
    <mergeCell ref="B95:D95"/>
    <mergeCell ref="B91:D91"/>
    <mergeCell ref="B92:F92"/>
    <mergeCell ref="B94:F94"/>
    <mergeCell ref="B88:D88"/>
    <mergeCell ref="B76:D76"/>
    <mergeCell ref="B80:D80"/>
    <mergeCell ref="B81:D81"/>
    <mergeCell ref="B82:D82"/>
    <mergeCell ref="B83:D83"/>
    <mergeCell ref="B84:D84"/>
    <mergeCell ref="B85:D85"/>
    <mergeCell ref="B86:D86"/>
    <mergeCell ref="B87:D87"/>
    <mergeCell ref="B77:D77"/>
    <mergeCell ref="B78:F78"/>
    <mergeCell ref="B75:D75"/>
    <mergeCell ref="B62:D62"/>
    <mergeCell ref="B63:D63"/>
    <mergeCell ref="B64:D64"/>
    <mergeCell ref="B65:D65"/>
    <mergeCell ref="B66:D66"/>
    <mergeCell ref="B67:D67"/>
    <mergeCell ref="B68:D68"/>
    <mergeCell ref="B69:D69"/>
    <mergeCell ref="B70:D70"/>
    <mergeCell ref="B71:F71"/>
    <mergeCell ref="B73:D73"/>
    <mergeCell ref="B50:H50"/>
    <mergeCell ref="J50:P58"/>
    <mergeCell ref="B52:H52"/>
    <mergeCell ref="B54:H54"/>
    <mergeCell ref="B56:H56"/>
    <mergeCell ref="B58:H58"/>
    <mergeCell ref="B46:H46"/>
    <mergeCell ref="J46:P46"/>
    <mergeCell ref="B48:H48"/>
    <mergeCell ref="J48:P48"/>
    <mergeCell ref="S48:T48"/>
    <mergeCell ref="S38:T38"/>
    <mergeCell ref="B40:H40"/>
    <mergeCell ref="J40:P40"/>
    <mergeCell ref="B44:H44"/>
    <mergeCell ref="J44:P44"/>
    <mergeCell ref="B42:H42"/>
    <mergeCell ref="J42:P42"/>
    <mergeCell ref="B38:H38"/>
    <mergeCell ref="J38:P38"/>
    <mergeCell ref="S36:T36"/>
    <mergeCell ref="B26:F26"/>
    <mergeCell ref="J26:P26"/>
    <mergeCell ref="B28:F28"/>
    <mergeCell ref="J28:P28"/>
    <mergeCell ref="B30:F30"/>
    <mergeCell ref="J30:P30"/>
    <mergeCell ref="B32:F32"/>
    <mergeCell ref="J32:P32"/>
    <mergeCell ref="B34:P34"/>
    <mergeCell ref="B36:H36"/>
    <mergeCell ref="J36:P36"/>
    <mergeCell ref="S18:T18"/>
    <mergeCell ref="B20:P20"/>
    <mergeCell ref="D22:H22"/>
    <mergeCell ref="J22:P22"/>
    <mergeCell ref="S22:T22"/>
    <mergeCell ref="B24:F24"/>
    <mergeCell ref="J24:P24"/>
    <mergeCell ref="B14:P14"/>
    <mergeCell ref="B16:D16"/>
    <mergeCell ref="F16:L16"/>
    <mergeCell ref="B18:D18"/>
    <mergeCell ref="F18:H18"/>
    <mergeCell ref="J18:N18"/>
    <mergeCell ref="N10:P10"/>
    <mergeCell ref="B12:D12"/>
    <mergeCell ref="F12:H12"/>
    <mergeCell ref="J12:L12"/>
    <mergeCell ref="N12:P12"/>
    <mergeCell ref="B100:D100"/>
    <mergeCell ref="S4:T4"/>
    <mergeCell ref="B2:D2"/>
    <mergeCell ref="F2:L2"/>
    <mergeCell ref="B4:D4"/>
    <mergeCell ref="F4:J4"/>
    <mergeCell ref="L4:N4"/>
    <mergeCell ref="B6:H6"/>
    <mergeCell ref="J6:P6"/>
    <mergeCell ref="B8:D8"/>
    <mergeCell ref="F8:H8"/>
    <mergeCell ref="J8:L8"/>
    <mergeCell ref="N8:P8"/>
    <mergeCell ref="B10:D10"/>
    <mergeCell ref="F10:H10"/>
    <mergeCell ref="J10:L10"/>
  </mergeCells>
  <dataValidations count="8">
    <dataValidation type="list" allowBlank="1" showInputMessage="1" showErrorMessage="1" sqref="J44:P46 J38:P38 J40:P40 J42:P42">
      <formula1>Resources</formula1>
    </dataValidation>
    <dataValidation type="list" allowBlank="1" showInputMessage="1" showErrorMessage="1" sqref="P17:P18 O18">
      <formula1>HD</formula1>
    </dataValidation>
    <dataValidation type="list" allowBlank="1" showInputMessage="1" showErrorMessage="1" sqref="B44:H46 B38:H38 B40:H40 B42:H42">
      <formula1>Tactics</formula1>
    </dataValidation>
    <dataValidation type="list" allowBlank="1" showInputMessage="1" showErrorMessage="1" sqref="B50:H50 B52:H52 B54:H54 B56:H56 B58:H58">
      <formula1>ArmySA</formula1>
    </dataValidation>
    <dataValidation type="list" allowBlank="1" showInputMessage="1" showErrorMessage="1" sqref="J24:P24 J26:P26 J28:P28 J30:P30 J32:P32">
      <formula1>Boons</formula1>
    </dataValidation>
    <dataValidation type="list" allowBlank="1" showInputMessage="1" showErrorMessage="1" sqref="N12:P12">
      <formula1>Morale</formula1>
    </dataValidation>
    <dataValidation type="list" allowBlank="1" showInputMessage="1" showErrorMessage="1" sqref="F4:J4">
      <formula1>ArmySize</formula1>
    </dataValidation>
    <dataValidation type="list" allowBlank="1" showInputMessage="1" showErrorMessage="1" sqref="P4 H32">
      <formula1>YN</formula1>
    </dataValidation>
  </dataValidation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Y178"/>
  <sheetViews>
    <sheetView workbookViewId="0">
      <selection activeCell="B46" sqref="A1:XFD1048576"/>
    </sheetView>
  </sheetViews>
  <sheetFormatPr defaultColWidth="9.140625" defaultRowHeight="15" x14ac:dyDescent="0.25"/>
  <cols>
    <col min="1" max="1" width="0.85546875" style="61" customWidth="1"/>
    <col min="2" max="2" width="9.85546875" style="61" customWidth="1"/>
    <col min="3" max="3" width="0.85546875" style="61" customWidth="1"/>
    <col min="4" max="4" width="9.7109375" style="61" customWidth="1"/>
    <col min="5" max="5" width="0.85546875" style="298" customWidth="1"/>
    <col min="6" max="6" width="6.28515625" style="298" customWidth="1"/>
    <col min="7" max="7" width="0.85546875" style="298" customWidth="1"/>
    <col min="8" max="8" width="6.28515625" style="61" customWidth="1"/>
    <col min="9" max="9" width="0.85546875" style="664" customWidth="1"/>
    <col min="10" max="10" width="9.85546875" style="61" customWidth="1"/>
    <col min="11" max="11" width="0.85546875" style="298" customWidth="1"/>
    <col min="12" max="12" width="9.7109375" style="298" customWidth="1"/>
    <col min="13" max="13" width="0.85546875" style="298" customWidth="1"/>
    <col min="14" max="14" width="6.28515625" style="298" bestFit="1" customWidth="1"/>
    <col min="15" max="15" width="0.85546875" style="298" customWidth="1"/>
    <col min="16" max="16" width="6.28515625" style="298" bestFit="1" customWidth="1"/>
    <col min="17" max="17" width="0.85546875" style="298" customWidth="1"/>
    <col min="18" max="18" width="9.140625" style="61"/>
    <col min="19" max="20" width="9.85546875" style="61" hidden="1" customWidth="1"/>
    <col min="21" max="21" width="0.85546875" style="61" hidden="1" customWidth="1"/>
    <col min="22" max="22" width="9.140625" style="61" hidden="1" customWidth="1"/>
    <col min="23" max="16384" width="9.140625" style="61"/>
  </cols>
  <sheetData>
    <row r="1" spans="1:22" ht="5.0999999999999996" customHeight="1" thickBot="1" x14ac:dyDescent="0.3">
      <c r="A1" s="241"/>
      <c r="B1" s="242"/>
      <c r="C1" s="242"/>
      <c r="D1" s="242"/>
      <c r="E1" s="242"/>
      <c r="F1" s="242"/>
      <c r="G1" s="242"/>
      <c r="H1" s="242"/>
      <c r="I1" s="242"/>
      <c r="J1" s="242"/>
      <c r="K1" s="242"/>
      <c r="L1" s="242"/>
      <c r="M1" s="242"/>
      <c r="N1" s="242"/>
      <c r="O1" s="242"/>
      <c r="P1" s="242"/>
      <c r="Q1" s="243"/>
    </row>
    <row r="2" spans="1:22" ht="15.75" thickBot="1" x14ac:dyDescent="0.3">
      <c r="A2" s="504"/>
      <c r="B2" s="800" t="s">
        <v>78</v>
      </c>
      <c r="C2" s="800"/>
      <c r="D2" s="800"/>
      <c r="E2" s="62"/>
      <c r="F2" s="797"/>
      <c r="G2" s="798"/>
      <c r="H2" s="798"/>
      <c r="I2" s="798"/>
      <c r="J2" s="798"/>
      <c r="K2" s="798"/>
      <c r="L2" s="799"/>
      <c r="M2" s="60"/>
      <c r="N2" s="663" t="s">
        <v>460</v>
      </c>
      <c r="O2" s="49"/>
      <c r="P2" s="257" t="str">
        <f>V6</f>
        <v>n/a</v>
      </c>
      <c r="Q2" s="238"/>
    </row>
    <row r="3" spans="1:22" s="65" customFormat="1" ht="3" customHeight="1" thickBot="1" x14ac:dyDescent="0.3">
      <c r="A3" s="505"/>
      <c r="B3" s="62"/>
      <c r="C3" s="62"/>
      <c r="D3" s="62"/>
      <c r="E3" s="62"/>
      <c r="F3" s="62"/>
      <c r="G3" s="62"/>
      <c r="H3" s="63"/>
      <c r="I3" s="298"/>
      <c r="J3" s="62"/>
      <c r="K3" s="62"/>
      <c r="L3" s="62"/>
      <c r="M3" s="62"/>
      <c r="N3" s="62"/>
      <c r="O3" s="62"/>
      <c r="P3" s="298"/>
      <c r="Q3" s="239"/>
    </row>
    <row r="4" spans="1:22" ht="15.75" thickBot="1" x14ac:dyDescent="0.3">
      <c r="A4" s="505"/>
      <c r="B4" s="800" t="s">
        <v>43</v>
      </c>
      <c r="C4" s="800"/>
      <c r="D4" s="800"/>
      <c r="E4" s="62"/>
      <c r="F4" s="797"/>
      <c r="G4" s="798"/>
      <c r="H4" s="798"/>
      <c r="I4" s="798"/>
      <c r="J4" s="799"/>
      <c r="K4" s="66"/>
      <c r="L4" s="814" t="s">
        <v>459</v>
      </c>
      <c r="M4" s="815"/>
      <c r="N4" s="815"/>
      <c r="P4" s="254"/>
      <c r="Q4" s="239"/>
      <c r="S4" s="765" t="s">
        <v>478</v>
      </c>
      <c r="T4" s="765"/>
      <c r="V4" s="258">
        <f>IF(F4="Fine",-8,IF(F4="Diminutive",-6,IF(F4="Tiny",-4,IF(F4="Small",-2,IF(F4="Large",2,IF(F4="Huge",4,IF(F4="Gargantuan",6,IF(F4="Colossal",8,0))))))))</f>
        <v>0</v>
      </c>
    </row>
    <row r="5" spans="1:22" s="65" customFormat="1" ht="3" customHeight="1" x14ac:dyDescent="0.25">
      <c r="A5" s="505"/>
      <c r="B5" s="62"/>
      <c r="C5" s="62"/>
      <c r="D5" s="62"/>
      <c r="E5" s="62"/>
      <c r="F5" s="62"/>
      <c r="G5" s="62"/>
      <c r="H5" s="67"/>
      <c r="I5" s="67"/>
      <c r="J5" s="298"/>
      <c r="K5" s="298"/>
      <c r="L5" s="298"/>
      <c r="M5" s="298"/>
      <c r="N5" s="298"/>
      <c r="O5" s="298"/>
      <c r="P5" s="298"/>
      <c r="Q5" s="239"/>
    </row>
    <row r="6" spans="1:22" x14ac:dyDescent="0.25">
      <c r="A6" s="505"/>
      <c r="B6" s="715" t="s">
        <v>217</v>
      </c>
      <c r="C6" s="715"/>
      <c r="D6" s="715"/>
      <c r="E6" s="715"/>
      <c r="F6" s="715"/>
      <c r="G6" s="715"/>
      <c r="H6" s="715"/>
      <c r="I6" s="504"/>
      <c r="J6" s="715" t="s">
        <v>220</v>
      </c>
      <c r="K6" s="715"/>
      <c r="L6" s="715"/>
      <c r="M6" s="715"/>
      <c r="N6" s="715"/>
      <c r="O6" s="715"/>
      <c r="P6" s="715"/>
      <c r="Q6" s="239"/>
      <c r="S6" s="61" t="s">
        <v>1691</v>
      </c>
      <c r="V6" s="61" t="str">
        <f>IF(P16&lt;&gt;"",IF(P16+V4&gt;-5,IF(P16+V4&lt;1,VLOOKUP(P16+V4,'Drop Down'!C88:D93,2,FALSE),P16+V4),"n/a"),"n/a")</f>
        <v>n/a</v>
      </c>
    </row>
    <row r="7" spans="1:22" ht="3" customHeight="1" thickBot="1" x14ac:dyDescent="0.3">
      <c r="A7" s="505"/>
      <c r="B7" s="664"/>
      <c r="C7" s="664"/>
      <c r="D7" s="664"/>
      <c r="H7" s="664"/>
      <c r="J7" s="664"/>
      <c r="Q7" s="239"/>
    </row>
    <row r="8" spans="1:22" ht="15.75" thickBot="1" x14ac:dyDescent="0.3">
      <c r="A8" s="505"/>
      <c r="B8" s="765" t="s">
        <v>462</v>
      </c>
      <c r="C8" s="765"/>
      <c r="D8" s="765"/>
      <c r="E8" s="556"/>
      <c r="F8" s="811" t="str">
        <f>IF(P2="n/a","n/a",ROUNDDOWN(V18*P2,0))</f>
        <v>n/a</v>
      </c>
      <c r="G8" s="812"/>
      <c r="H8" s="813"/>
      <c r="I8" s="504"/>
      <c r="J8" s="765" t="s">
        <v>157</v>
      </c>
      <c r="K8" s="765"/>
      <c r="L8" s="765"/>
      <c r="M8" s="504"/>
      <c r="N8" s="676" t="str">
        <f>IF(F18&lt;&gt;"",IF(ROUNDDOWN(F18/15,0)&lt;1,1,ROUNDDOWN(F18/15,0)),"n/a")</f>
        <v>n/a</v>
      </c>
      <c r="O8" s="804"/>
      <c r="P8" s="677"/>
      <c r="Q8" s="239"/>
    </row>
    <row r="9" spans="1:22" ht="3" customHeight="1" thickBot="1" x14ac:dyDescent="0.3">
      <c r="A9" s="505"/>
      <c r="B9" s="60"/>
      <c r="C9" s="60"/>
      <c r="D9" s="60"/>
      <c r="H9" s="664"/>
      <c r="J9" s="664"/>
      <c r="L9" s="60"/>
      <c r="Q9" s="239"/>
    </row>
    <row r="10" spans="1:22" ht="15.75" thickBot="1" x14ac:dyDescent="0.3">
      <c r="A10" s="505"/>
      <c r="B10" s="765" t="s">
        <v>463</v>
      </c>
      <c r="C10" s="765"/>
      <c r="D10" s="765"/>
      <c r="E10" s="556"/>
      <c r="F10" s="676" t="str">
        <f>IF(P2="n/a","n/a",CONCATENATE("+",(P2+F95),IF(F99&gt;0,", ranged","")))</f>
        <v>n/a</v>
      </c>
      <c r="G10" s="804"/>
      <c r="H10" s="677"/>
      <c r="I10" s="504"/>
      <c r="J10" s="765" t="s">
        <v>61</v>
      </c>
      <c r="K10" s="765"/>
      <c r="L10" s="765"/>
      <c r="M10" s="504"/>
      <c r="N10" s="676" t="str">
        <f>IF(P2="n/a","n/a",(IF(P2/2&lt;1,1,ROUNDDOWN(P2/2,0))+F98))</f>
        <v>n/a</v>
      </c>
      <c r="O10" s="804"/>
      <c r="P10" s="677"/>
      <c r="Q10" s="239"/>
    </row>
    <row r="11" spans="1:22" ht="3" customHeight="1" thickBot="1" x14ac:dyDescent="0.3">
      <c r="A11" s="505"/>
      <c r="B11" s="60"/>
      <c r="C11" s="60"/>
      <c r="D11" s="60"/>
      <c r="H11" s="664"/>
      <c r="J11" s="664"/>
      <c r="L11" s="60"/>
      <c r="Q11" s="239"/>
    </row>
    <row r="12" spans="1:22" ht="15.75" thickBot="1" x14ac:dyDescent="0.3">
      <c r="A12" s="505"/>
      <c r="B12" s="765" t="s">
        <v>464</v>
      </c>
      <c r="C12" s="765"/>
      <c r="D12" s="765"/>
      <c r="E12" s="556"/>
      <c r="F12" s="676" t="str">
        <f>IF(P2="n/a","n/a",10+P2+F96)</f>
        <v>n/a</v>
      </c>
      <c r="G12" s="804"/>
      <c r="H12" s="677"/>
      <c r="I12" s="504"/>
      <c r="J12" s="765" t="s">
        <v>160</v>
      </c>
      <c r="K12" s="765"/>
      <c r="L12" s="765"/>
      <c r="M12" s="504"/>
      <c r="N12" s="762" t="s">
        <v>601</v>
      </c>
      <c r="O12" s="763"/>
      <c r="P12" s="764"/>
      <c r="Q12" s="239"/>
    </row>
    <row r="13" spans="1:22" ht="3" customHeight="1" x14ac:dyDescent="0.25">
      <c r="A13" s="505"/>
      <c r="B13" s="664"/>
      <c r="C13" s="664"/>
      <c r="D13" s="664"/>
      <c r="H13" s="664"/>
      <c r="J13" s="664"/>
      <c r="Q13" s="239"/>
    </row>
    <row r="14" spans="1:22" x14ac:dyDescent="0.25">
      <c r="A14" s="505"/>
      <c r="B14" s="715" t="s">
        <v>470</v>
      </c>
      <c r="C14" s="715"/>
      <c r="D14" s="715"/>
      <c r="E14" s="715"/>
      <c r="F14" s="715"/>
      <c r="G14" s="715"/>
      <c r="H14" s="715"/>
      <c r="I14" s="715"/>
      <c r="J14" s="715"/>
      <c r="K14" s="715"/>
      <c r="L14" s="715"/>
      <c r="M14" s="715"/>
      <c r="N14" s="715"/>
      <c r="O14" s="715"/>
      <c r="P14" s="715"/>
      <c r="Q14" s="239"/>
    </row>
    <row r="15" spans="1:22" ht="3" customHeight="1" thickBot="1" x14ac:dyDescent="0.3">
      <c r="A15" s="505"/>
      <c r="B15" s="664"/>
      <c r="C15" s="664"/>
      <c r="D15" s="664"/>
      <c r="H15" s="664"/>
      <c r="J15" s="664"/>
      <c r="P15" s="71"/>
      <c r="Q15" s="239"/>
    </row>
    <row r="16" spans="1:22" ht="15.75" thickBot="1" x14ac:dyDescent="0.3">
      <c r="A16" s="505"/>
      <c r="B16" s="800" t="s">
        <v>84</v>
      </c>
      <c r="C16" s="800"/>
      <c r="D16" s="800"/>
      <c r="E16" s="62"/>
      <c r="F16" s="797"/>
      <c r="G16" s="798"/>
      <c r="H16" s="798"/>
      <c r="I16" s="798"/>
      <c r="J16" s="798"/>
      <c r="K16" s="798"/>
      <c r="L16" s="799"/>
      <c r="M16" s="658"/>
      <c r="N16" s="663" t="s">
        <v>159</v>
      </c>
      <c r="O16" s="658"/>
      <c r="P16" s="255"/>
      <c r="Q16" s="239"/>
    </row>
    <row r="17" spans="1:22" ht="3" customHeight="1" thickBot="1" x14ac:dyDescent="0.3">
      <c r="A17" s="505"/>
      <c r="B17" s="664"/>
      <c r="C17" s="664"/>
      <c r="D17" s="664"/>
      <c r="H17" s="664"/>
      <c r="I17" s="504"/>
      <c r="J17" s="664"/>
      <c r="N17" s="62" t="s">
        <v>162</v>
      </c>
      <c r="O17" s="658"/>
      <c r="P17" s="235"/>
      <c r="Q17" s="239"/>
    </row>
    <row r="18" spans="1:22" ht="15.75" thickBot="1" x14ac:dyDescent="0.3">
      <c r="A18" s="505"/>
      <c r="B18" s="765" t="s">
        <v>157</v>
      </c>
      <c r="C18" s="765"/>
      <c r="D18" s="765"/>
      <c r="E18" s="556"/>
      <c r="F18" s="805"/>
      <c r="G18" s="806"/>
      <c r="H18" s="807"/>
      <c r="I18" s="504"/>
      <c r="J18" s="765" t="s">
        <v>471</v>
      </c>
      <c r="K18" s="765"/>
      <c r="L18" s="765"/>
      <c r="M18" s="765"/>
      <c r="N18" s="765"/>
      <c r="O18" s="503"/>
      <c r="P18" s="254"/>
      <c r="Q18" s="239"/>
      <c r="S18" s="765" t="s">
        <v>461</v>
      </c>
      <c r="T18" s="765"/>
      <c r="V18" s="258">
        <f>IF(P18="d6",3.5,IF(P18="d8",4.5,IF(P18="d10",5.5,IF(P18="d12",6.5,0))))</f>
        <v>0</v>
      </c>
    </row>
    <row r="19" spans="1:22" s="65" customFormat="1" ht="3" customHeight="1" x14ac:dyDescent="0.25">
      <c r="A19" s="505"/>
      <c r="B19" s="234"/>
      <c r="C19" s="234"/>
      <c r="D19" s="234"/>
      <c r="E19" s="67"/>
      <c r="F19" s="67"/>
      <c r="G19" s="67"/>
      <c r="H19" s="67"/>
      <c r="I19" s="63"/>
      <c r="J19" s="234"/>
      <c r="K19" s="63"/>
      <c r="L19" s="63"/>
      <c r="M19" s="63"/>
      <c r="N19" s="63"/>
      <c r="O19" s="63"/>
      <c r="P19" s="63"/>
      <c r="Q19" s="239"/>
    </row>
    <row r="20" spans="1:22" x14ac:dyDescent="0.25">
      <c r="A20" s="505"/>
      <c r="B20" s="715" t="s">
        <v>468</v>
      </c>
      <c r="C20" s="715"/>
      <c r="D20" s="715"/>
      <c r="E20" s="715"/>
      <c r="F20" s="715"/>
      <c r="G20" s="715"/>
      <c r="H20" s="715"/>
      <c r="I20" s="715"/>
      <c r="J20" s="715"/>
      <c r="K20" s="715"/>
      <c r="L20" s="715"/>
      <c r="M20" s="715"/>
      <c r="N20" s="715"/>
      <c r="O20" s="715"/>
      <c r="P20" s="715"/>
      <c r="Q20" s="239"/>
    </row>
    <row r="21" spans="1:22" ht="3" customHeight="1" thickBot="1" x14ac:dyDescent="0.3">
      <c r="A21" s="505"/>
      <c r="B21" s="193"/>
      <c r="C21" s="193"/>
      <c r="D21" s="193"/>
      <c r="E21" s="193"/>
      <c r="F21" s="193"/>
      <c r="G21" s="193"/>
      <c r="H21" s="193"/>
      <c r="I21" s="193"/>
      <c r="J21" s="193"/>
      <c r="K21" s="193"/>
      <c r="L21" s="193"/>
      <c r="M21" s="193"/>
      <c r="N21" s="193"/>
      <c r="O21" s="193"/>
      <c r="P21" s="193"/>
      <c r="Q21" s="239"/>
    </row>
    <row r="22" spans="1:22" s="233" customFormat="1" ht="15.75" thickBot="1" x14ac:dyDescent="0.3">
      <c r="A22" s="505"/>
      <c r="B22" s="663" t="s">
        <v>78</v>
      </c>
      <c r="C22" s="62"/>
      <c r="D22" s="808"/>
      <c r="E22" s="809"/>
      <c r="F22" s="809"/>
      <c r="G22" s="809"/>
      <c r="H22" s="810"/>
      <c r="I22" s="248"/>
      <c r="J22" s="715" t="s">
        <v>482</v>
      </c>
      <c r="K22" s="715"/>
      <c r="L22" s="715"/>
      <c r="M22" s="715"/>
      <c r="N22" s="715"/>
      <c r="O22" s="715"/>
      <c r="P22" s="715"/>
      <c r="Q22" s="239"/>
      <c r="S22" s="765" t="s">
        <v>482</v>
      </c>
      <c r="T22" s="765"/>
      <c r="V22" s="233" t="str">
        <f>CONCATENATE(IF(J24&lt;&gt;0,J24,""),IF(J26&lt;&gt;0,CONCATENATE(", ",J26),""),IF(J28&lt;&gt;0,CONCATENATE(", ",J28),""),IF(J30&lt;&gt;0,CONCATENATE(", ",J30),""),IF(J32&lt;&gt;0,CONCATENATE(", ",J32),""))</f>
        <v/>
      </c>
    </row>
    <row r="23" spans="1:22" s="233" customFormat="1" ht="3" customHeight="1" thickBot="1" x14ac:dyDescent="0.3">
      <c r="A23" s="505"/>
      <c r="B23" s="153"/>
      <c r="C23" s="153"/>
      <c r="D23" s="153"/>
      <c r="E23" s="153"/>
      <c r="F23" s="153"/>
      <c r="G23" s="153"/>
      <c r="H23" s="153"/>
      <c r="I23" s="153"/>
      <c r="J23" s="153"/>
      <c r="K23" s="153"/>
      <c r="L23" s="153"/>
      <c r="M23" s="153"/>
      <c r="N23" s="153"/>
      <c r="O23" s="153"/>
      <c r="P23" s="153"/>
      <c r="Q23" s="239"/>
    </row>
    <row r="24" spans="1:22" s="233" customFormat="1" ht="15.75" thickBot="1" x14ac:dyDescent="0.3">
      <c r="A24" s="505"/>
      <c r="B24" s="765" t="s">
        <v>55</v>
      </c>
      <c r="C24" s="765"/>
      <c r="D24" s="765"/>
      <c r="E24" s="765"/>
      <c r="F24" s="765"/>
      <c r="G24" s="250"/>
      <c r="H24" s="150">
        <f>IF(H32="Yes",H26+H28+3,H26+H28)</f>
        <v>0</v>
      </c>
      <c r="I24" s="153"/>
      <c r="J24" s="801"/>
      <c r="K24" s="802"/>
      <c r="L24" s="802"/>
      <c r="M24" s="802"/>
      <c r="N24" s="802"/>
      <c r="O24" s="802"/>
      <c r="P24" s="803"/>
      <c r="Q24" s="239"/>
    </row>
    <row r="25" spans="1:22" s="233" customFormat="1" ht="3" customHeight="1" thickBot="1" x14ac:dyDescent="0.3">
      <c r="A25" s="505"/>
      <c r="G25" s="260"/>
      <c r="I25" s="153"/>
      <c r="J25" s="69"/>
      <c r="K25" s="69"/>
      <c r="L25" s="69"/>
      <c r="M25" s="69"/>
      <c r="N25" s="69"/>
      <c r="O25" s="69"/>
      <c r="P25" s="69"/>
      <c r="Q25" s="239"/>
    </row>
    <row r="26" spans="1:22" s="233" customFormat="1" ht="15.75" thickBot="1" x14ac:dyDescent="0.3">
      <c r="A26" s="505"/>
      <c r="B26" s="765" t="s">
        <v>483</v>
      </c>
      <c r="C26" s="765"/>
      <c r="D26" s="765"/>
      <c r="E26" s="765"/>
      <c r="F26" s="765"/>
      <c r="G26" s="250"/>
      <c r="H26" s="270"/>
      <c r="I26" s="153"/>
      <c r="J26" s="801"/>
      <c r="K26" s="802"/>
      <c r="L26" s="802"/>
      <c r="M26" s="802"/>
      <c r="N26" s="802"/>
      <c r="O26" s="802"/>
      <c r="P26" s="803"/>
      <c r="Q26" s="239"/>
    </row>
    <row r="27" spans="1:22" s="233" customFormat="1" ht="3" customHeight="1" thickBot="1" x14ac:dyDescent="0.3">
      <c r="A27" s="505"/>
      <c r="B27" s="153"/>
      <c r="C27" s="153"/>
      <c r="D27" s="153"/>
      <c r="E27" s="153"/>
      <c r="F27" s="153"/>
      <c r="G27" s="153"/>
      <c r="H27" s="153"/>
      <c r="I27" s="153"/>
      <c r="J27" s="69"/>
      <c r="K27" s="69"/>
      <c r="L27" s="69"/>
      <c r="M27" s="69"/>
      <c r="N27" s="69"/>
      <c r="O27" s="69"/>
      <c r="P27" s="69"/>
      <c r="Q27" s="239"/>
    </row>
    <row r="28" spans="1:22" s="233" customFormat="1" ht="15.75" thickBot="1" x14ac:dyDescent="0.3">
      <c r="A28" s="505"/>
      <c r="B28" s="765" t="s">
        <v>479</v>
      </c>
      <c r="C28" s="765"/>
      <c r="D28" s="765"/>
      <c r="E28" s="765"/>
      <c r="F28" s="765"/>
      <c r="G28" s="250"/>
      <c r="H28" s="270"/>
      <c r="I28" s="153"/>
      <c r="J28" s="801"/>
      <c r="K28" s="802"/>
      <c r="L28" s="802"/>
      <c r="M28" s="802"/>
      <c r="N28" s="802"/>
      <c r="O28" s="802"/>
      <c r="P28" s="803"/>
      <c r="Q28" s="239"/>
    </row>
    <row r="29" spans="1:22" ht="3" customHeight="1" thickBot="1" x14ac:dyDescent="0.3">
      <c r="A29" s="505"/>
      <c r="B29" s="664"/>
      <c r="C29" s="664"/>
      <c r="D29" s="664"/>
      <c r="H29" s="664"/>
      <c r="J29" s="69"/>
      <c r="K29" s="69"/>
      <c r="L29" s="69"/>
      <c r="M29" s="69"/>
      <c r="N29" s="69"/>
      <c r="O29" s="69"/>
      <c r="P29" s="69"/>
      <c r="Q29" s="239"/>
    </row>
    <row r="30" spans="1:22" ht="15.75" thickBot="1" x14ac:dyDescent="0.3">
      <c r="A30" s="505"/>
      <c r="B30" s="765" t="s">
        <v>481</v>
      </c>
      <c r="C30" s="765"/>
      <c r="D30" s="765"/>
      <c r="E30" s="765"/>
      <c r="F30" s="765"/>
      <c r="H30" s="270"/>
      <c r="J30" s="801"/>
      <c r="K30" s="802"/>
      <c r="L30" s="802"/>
      <c r="M30" s="802"/>
      <c r="N30" s="802"/>
      <c r="O30" s="802"/>
      <c r="P30" s="803"/>
      <c r="Q30" s="239"/>
    </row>
    <row r="31" spans="1:22" ht="3" customHeight="1" thickBot="1" x14ac:dyDescent="0.3">
      <c r="A31" s="505"/>
      <c r="B31" s="664"/>
      <c r="C31" s="664"/>
      <c r="D31" s="664"/>
      <c r="H31" s="664"/>
      <c r="J31" s="73"/>
      <c r="K31" s="73"/>
      <c r="L31" s="73"/>
      <c r="M31" s="73"/>
      <c r="N31" s="73"/>
      <c r="O31" s="73"/>
      <c r="P31" s="73"/>
      <c r="Q31" s="239"/>
    </row>
    <row r="32" spans="1:22" ht="15.75" thickBot="1" x14ac:dyDescent="0.3">
      <c r="A32" s="505"/>
      <c r="B32" s="765" t="s">
        <v>467</v>
      </c>
      <c r="C32" s="765"/>
      <c r="D32" s="765"/>
      <c r="E32" s="765"/>
      <c r="F32" s="765"/>
      <c r="H32" s="256"/>
      <c r="J32" s="801"/>
      <c r="K32" s="802"/>
      <c r="L32" s="802"/>
      <c r="M32" s="802"/>
      <c r="N32" s="802"/>
      <c r="O32" s="802"/>
      <c r="P32" s="803"/>
      <c r="Q32" s="239"/>
    </row>
    <row r="33" spans="1:25" ht="3" customHeight="1" x14ac:dyDescent="0.25">
      <c r="A33" s="505"/>
      <c r="B33" s="664"/>
      <c r="C33" s="664"/>
      <c r="D33" s="664"/>
      <c r="H33" s="664"/>
      <c r="J33" s="73"/>
      <c r="K33" s="73"/>
      <c r="L33" s="73"/>
      <c r="M33" s="73"/>
      <c r="N33" s="73"/>
      <c r="O33" s="73"/>
      <c r="P33" s="73"/>
      <c r="Q33" s="239"/>
    </row>
    <row r="34" spans="1:25" x14ac:dyDescent="0.25">
      <c r="A34" s="505"/>
      <c r="B34" s="715" t="s">
        <v>469</v>
      </c>
      <c r="C34" s="715"/>
      <c r="D34" s="715"/>
      <c r="E34" s="715"/>
      <c r="F34" s="715"/>
      <c r="G34" s="715"/>
      <c r="H34" s="715"/>
      <c r="I34" s="715"/>
      <c r="J34" s="715"/>
      <c r="K34" s="715"/>
      <c r="L34" s="715"/>
      <c r="M34" s="715"/>
      <c r="N34" s="715"/>
      <c r="O34" s="715"/>
      <c r="P34" s="715"/>
      <c r="Q34" s="239"/>
    </row>
    <row r="35" spans="1:25" ht="3" customHeight="1" x14ac:dyDescent="0.25">
      <c r="A35" s="505"/>
      <c r="B35" s="664"/>
      <c r="C35" s="664"/>
      <c r="D35" s="664"/>
      <c r="H35" s="664"/>
      <c r="J35" s="664"/>
      <c r="Q35" s="239"/>
    </row>
    <row r="36" spans="1:25" x14ac:dyDescent="0.25">
      <c r="A36" s="505"/>
      <c r="B36" s="715" t="s">
        <v>158</v>
      </c>
      <c r="C36" s="715"/>
      <c r="D36" s="715"/>
      <c r="E36" s="715"/>
      <c r="F36" s="715"/>
      <c r="G36" s="715"/>
      <c r="H36" s="715"/>
      <c r="I36" s="504"/>
      <c r="J36" s="715" t="s">
        <v>56</v>
      </c>
      <c r="K36" s="715"/>
      <c r="L36" s="715"/>
      <c r="M36" s="715"/>
      <c r="N36" s="715"/>
      <c r="O36" s="715"/>
      <c r="P36" s="715"/>
      <c r="Q36" s="239"/>
      <c r="S36" s="765" t="s">
        <v>158</v>
      </c>
      <c r="T36" s="765"/>
      <c r="U36" s="193"/>
      <c r="V36" s="504" t="str">
        <f>CONCATENATE(IF(B38&lt;&gt;0,B38,""),IF(B40&lt;&gt;0,CONCATENATE(", ",B40),""),IF(B42&lt;&gt;0,CONCATENATE(", ",B42),""),IF(B44&lt;&gt;0,CONCATENATE(", ",B44),""),IF(B46&lt;&gt;0,CONCATENATE(", ",B46),""))</f>
        <v/>
      </c>
      <c r="W36" s="504"/>
      <c r="X36" s="504"/>
      <c r="Y36" s="504"/>
    </row>
    <row r="37" spans="1:25" s="664" customFormat="1" ht="3" customHeight="1" thickBot="1" x14ac:dyDescent="0.3">
      <c r="A37" s="505"/>
      <c r="B37" s="69"/>
      <c r="C37" s="69"/>
      <c r="D37" s="69"/>
      <c r="E37" s="69"/>
      <c r="F37" s="69"/>
      <c r="G37" s="69"/>
      <c r="H37" s="69"/>
      <c r="I37" s="69"/>
      <c r="J37" s="69"/>
      <c r="K37" s="69"/>
      <c r="L37" s="69"/>
      <c r="M37" s="69"/>
      <c r="N37" s="69"/>
      <c r="O37" s="69"/>
      <c r="P37" s="69"/>
      <c r="Q37" s="239"/>
    </row>
    <row r="38" spans="1:25" s="664" customFormat="1" ht="15.75" thickBot="1" x14ac:dyDescent="0.3">
      <c r="A38" s="505"/>
      <c r="B38" s="801"/>
      <c r="C38" s="802"/>
      <c r="D38" s="802"/>
      <c r="E38" s="802"/>
      <c r="F38" s="802"/>
      <c r="G38" s="802"/>
      <c r="H38" s="803"/>
      <c r="I38" s="69"/>
      <c r="J38" s="801"/>
      <c r="K38" s="802"/>
      <c r="L38" s="802"/>
      <c r="M38" s="802"/>
      <c r="N38" s="802"/>
      <c r="O38" s="802"/>
      <c r="P38" s="803"/>
      <c r="Q38" s="239"/>
      <c r="S38" s="765" t="s">
        <v>56</v>
      </c>
      <c r="T38" s="765"/>
      <c r="V38" s="664" t="str">
        <f>CONCATENATE(IF(J38&lt;&gt;0,J38,""),IF(J40&lt;&gt;0,CONCATENATE(", ",J40),""),IF(J42&lt;&gt;0,CONCATENATE(", ",J42),""),IF(J44&lt;&gt;0,CONCATENATE(", ",J44),""),IF(J46&lt;&gt;0,CONCATENATE(", ",J46),""))</f>
        <v/>
      </c>
    </row>
    <row r="39" spans="1:25" s="664" customFormat="1" ht="3" customHeight="1" thickBot="1" x14ac:dyDescent="0.3">
      <c r="A39" s="505"/>
      <c r="B39" s="69"/>
      <c r="C39" s="69"/>
      <c r="D39" s="69"/>
      <c r="E39" s="69"/>
      <c r="F39" s="69"/>
      <c r="G39" s="69"/>
      <c r="H39" s="69"/>
      <c r="I39" s="69"/>
      <c r="J39" s="69"/>
      <c r="K39" s="69"/>
      <c r="L39" s="69"/>
      <c r="M39" s="69"/>
      <c r="N39" s="69"/>
      <c r="O39" s="69"/>
      <c r="P39" s="69"/>
      <c r="Q39" s="239"/>
    </row>
    <row r="40" spans="1:25" s="664" customFormat="1" ht="15.75" thickBot="1" x14ac:dyDescent="0.3">
      <c r="A40" s="505"/>
      <c r="B40" s="801"/>
      <c r="C40" s="802"/>
      <c r="D40" s="802"/>
      <c r="E40" s="802"/>
      <c r="F40" s="802"/>
      <c r="G40" s="802"/>
      <c r="H40" s="803"/>
      <c r="I40" s="69"/>
      <c r="J40" s="801"/>
      <c r="K40" s="802"/>
      <c r="L40" s="802"/>
      <c r="M40" s="802"/>
      <c r="N40" s="802"/>
      <c r="O40" s="802"/>
      <c r="P40" s="803"/>
      <c r="Q40" s="239"/>
    </row>
    <row r="41" spans="1:25" s="664" customFormat="1" ht="3" customHeight="1" thickBot="1" x14ac:dyDescent="0.3">
      <c r="A41" s="505"/>
      <c r="B41" s="69"/>
      <c r="C41" s="69"/>
      <c r="D41" s="69"/>
      <c r="E41" s="69"/>
      <c r="F41" s="69"/>
      <c r="G41" s="69"/>
      <c r="H41" s="69"/>
      <c r="I41" s="69"/>
      <c r="J41" s="69"/>
      <c r="K41" s="69"/>
      <c r="L41" s="69"/>
      <c r="M41" s="69"/>
      <c r="N41" s="69"/>
      <c r="O41" s="69"/>
      <c r="P41" s="69"/>
      <c r="Q41" s="239"/>
    </row>
    <row r="42" spans="1:25" s="664" customFormat="1" ht="15.75" thickBot="1" x14ac:dyDescent="0.3">
      <c r="A42" s="505"/>
      <c r="B42" s="801"/>
      <c r="C42" s="802"/>
      <c r="D42" s="802"/>
      <c r="E42" s="802"/>
      <c r="F42" s="802"/>
      <c r="G42" s="802"/>
      <c r="H42" s="803"/>
      <c r="I42" s="69"/>
      <c r="J42" s="801"/>
      <c r="K42" s="802"/>
      <c r="L42" s="802"/>
      <c r="M42" s="802"/>
      <c r="N42" s="802"/>
      <c r="O42" s="802"/>
      <c r="P42" s="803"/>
      <c r="Q42" s="239"/>
    </row>
    <row r="43" spans="1:25" s="664" customFormat="1" ht="3" customHeight="1" thickBot="1" x14ac:dyDescent="0.3">
      <c r="A43" s="505"/>
      <c r="B43" s="69"/>
      <c r="C43" s="69"/>
      <c r="D43" s="69"/>
      <c r="E43" s="69"/>
      <c r="F43" s="69"/>
      <c r="G43" s="69"/>
      <c r="H43" s="69"/>
      <c r="I43" s="69"/>
      <c r="J43" s="69"/>
      <c r="K43" s="69"/>
      <c r="L43" s="69"/>
      <c r="M43" s="69"/>
      <c r="N43" s="69"/>
      <c r="O43" s="69"/>
      <c r="P43" s="69"/>
      <c r="Q43" s="239"/>
    </row>
    <row r="44" spans="1:25" s="664" customFormat="1" ht="15.75" thickBot="1" x14ac:dyDescent="0.3">
      <c r="A44" s="505"/>
      <c r="B44" s="801"/>
      <c r="C44" s="802"/>
      <c r="D44" s="802"/>
      <c r="E44" s="802"/>
      <c r="F44" s="802"/>
      <c r="G44" s="802"/>
      <c r="H44" s="803"/>
      <c r="I44" s="69"/>
      <c r="J44" s="801"/>
      <c r="K44" s="802"/>
      <c r="L44" s="802"/>
      <c r="M44" s="802"/>
      <c r="N44" s="802"/>
      <c r="O44" s="802"/>
      <c r="P44" s="803"/>
      <c r="Q44" s="239"/>
    </row>
    <row r="45" spans="1:25" s="664" customFormat="1" ht="3" customHeight="1" thickBot="1" x14ac:dyDescent="0.3">
      <c r="A45" s="505"/>
      <c r="B45" s="261"/>
      <c r="C45" s="261"/>
      <c r="D45" s="261"/>
      <c r="E45" s="261"/>
      <c r="F45" s="261"/>
      <c r="G45" s="261"/>
      <c r="H45" s="261"/>
      <c r="I45" s="69"/>
      <c r="J45" s="69"/>
      <c r="K45" s="69"/>
      <c r="L45" s="69"/>
      <c r="M45" s="69"/>
      <c r="N45" s="69"/>
      <c r="O45" s="69"/>
      <c r="P45" s="69"/>
      <c r="Q45" s="239"/>
    </row>
    <row r="46" spans="1:25" s="664" customFormat="1" ht="15.75" thickBot="1" x14ac:dyDescent="0.3">
      <c r="A46" s="505"/>
      <c r="B46" s="801"/>
      <c r="C46" s="802"/>
      <c r="D46" s="802"/>
      <c r="E46" s="802"/>
      <c r="F46" s="802"/>
      <c r="G46" s="802"/>
      <c r="H46" s="803"/>
      <c r="I46" s="69"/>
      <c r="J46" s="801"/>
      <c r="K46" s="802"/>
      <c r="L46" s="802"/>
      <c r="M46" s="802"/>
      <c r="N46" s="802"/>
      <c r="O46" s="802"/>
      <c r="P46" s="803"/>
      <c r="Q46" s="239"/>
    </row>
    <row r="47" spans="1:25" ht="3" customHeight="1" x14ac:dyDescent="0.25">
      <c r="A47" s="505"/>
      <c r="B47" s="664"/>
      <c r="C47" s="664"/>
      <c r="D47" s="664"/>
      <c r="H47" s="664"/>
      <c r="J47" s="664"/>
      <c r="Q47" s="239"/>
    </row>
    <row r="48" spans="1:25" x14ac:dyDescent="0.25">
      <c r="A48" s="505"/>
      <c r="B48" s="715" t="s">
        <v>161</v>
      </c>
      <c r="C48" s="715"/>
      <c r="D48" s="715"/>
      <c r="E48" s="715"/>
      <c r="F48" s="715"/>
      <c r="G48" s="715"/>
      <c r="H48" s="715"/>
      <c r="I48" s="504"/>
      <c r="J48" s="715" t="s">
        <v>480</v>
      </c>
      <c r="K48" s="715"/>
      <c r="L48" s="715"/>
      <c r="M48" s="715"/>
      <c r="N48" s="715"/>
      <c r="O48" s="715"/>
      <c r="P48" s="715"/>
      <c r="Q48" s="239"/>
      <c r="S48" s="765" t="s">
        <v>161</v>
      </c>
      <c r="T48" s="765"/>
      <c r="V48" s="61" t="str">
        <f>CONCATENATE(IF(B50&lt;&gt;0,B50,""),IF(B52&lt;&gt;0,CONCATENATE(", ",B52),""),IF(B54&lt;&gt;0,CONCATENATE(", ",B54),""),IF(B56&lt;&gt;0,CONCATENATE(", ",B56),""),IF(B58&lt;&gt;0,CONCATENATE(", ",B58),""))</f>
        <v/>
      </c>
    </row>
    <row r="49" spans="1:17" s="664" customFormat="1" ht="3" customHeight="1" thickBot="1" x14ac:dyDescent="0.3">
      <c r="A49" s="505"/>
      <c r="B49" s="69"/>
      <c r="C49" s="69"/>
      <c r="D49" s="69"/>
      <c r="E49" s="69"/>
      <c r="F49" s="69"/>
      <c r="G49" s="69"/>
      <c r="H49" s="69"/>
      <c r="I49" s="69"/>
      <c r="J49" s="69"/>
      <c r="K49" s="69"/>
      <c r="L49" s="69"/>
      <c r="M49" s="69"/>
      <c r="N49" s="69"/>
      <c r="O49" s="69"/>
      <c r="P49" s="69"/>
      <c r="Q49" s="239"/>
    </row>
    <row r="50" spans="1:17" s="664" customFormat="1" ht="15.75" thickBot="1" x14ac:dyDescent="0.3">
      <c r="A50" s="505"/>
      <c r="B50" s="801"/>
      <c r="C50" s="802"/>
      <c r="D50" s="802"/>
      <c r="E50" s="802"/>
      <c r="F50" s="802"/>
      <c r="G50" s="802"/>
      <c r="H50" s="803"/>
      <c r="I50" s="69"/>
      <c r="J50" s="816"/>
      <c r="K50" s="817"/>
      <c r="L50" s="817"/>
      <c r="M50" s="817"/>
      <c r="N50" s="817"/>
      <c r="O50" s="817"/>
      <c r="P50" s="818"/>
      <c r="Q50" s="239"/>
    </row>
    <row r="51" spans="1:17" s="664" customFormat="1" ht="3" customHeight="1" thickBot="1" x14ac:dyDescent="0.3">
      <c r="A51" s="505"/>
      <c r="B51" s="69"/>
      <c r="C51" s="69"/>
      <c r="D51" s="69"/>
      <c r="E51" s="69"/>
      <c r="F51" s="69"/>
      <c r="G51" s="69"/>
      <c r="H51" s="69"/>
      <c r="I51" s="69"/>
      <c r="J51" s="819"/>
      <c r="K51" s="820"/>
      <c r="L51" s="820"/>
      <c r="M51" s="820"/>
      <c r="N51" s="820"/>
      <c r="O51" s="820"/>
      <c r="P51" s="821"/>
      <c r="Q51" s="239"/>
    </row>
    <row r="52" spans="1:17" s="664" customFormat="1" ht="15.75" thickBot="1" x14ac:dyDescent="0.3">
      <c r="A52" s="505"/>
      <c r="B52" s="801"/>
      <c r="C52" s="802"/>
      <c r="D52" s="802"/>
      <c r="E52" s="802"/>
      <c r="F52" s="802"/>
      <c r="G52" s="802"/>
      <c r="H52" s="803"/>
      <c r="I52" s="69"/>
      <c r="J52" s="819"/>
      <c r="K52" s="820"/>
      <c r="L52" s="820"/>
      <c r="M52" s="820"/>
      <c r="N52" s="820"/>
      <c r="O52" s="820"/>
      <c r="P52" s="821"/>
      <c r="Q52" s="239"/>
    </row>
    <row r="53" spans="1:17" s="664" customFormat="1" ht="3" customHeight="1" thickBot="1" x14ac:dyDescent="0.3">
      <c r="A53" s="505"/>
      <c r="B53" s="69"/>
      <c r="C53" s="69"/>
      <c r="D53" s="69"/>
      <c r="E53" s="69"/>
      <c r="F53" s="69"/>
      <c r="G53" s="69"/>
      <c r="H53" s="69"/>
      <c r="I53" s="69"/>
      <c r="J53" s="819"/>
      <c r="K53" s="820"/>
      <c r="L53" s="820"/>
      <c r="M53" s="820"/>
      <c r="N53" s="820"/>
      <c r="O53" s="820"/>
      <c r="P53" s="821"/>
      <c r="Q53" s="239"/>
    </row>
    <row r="54" spans="1:17" s="664" customFormat="1" ht="15.75" thickBot="1" x14ac:dyDescent="0.3">
      <c r="A54" s="505"/>
      <c r="B54" s="801"/>
      <c r="C54" s="802"/>
      <c r="D54" s="802"/>
      <c r="E54" s="802"/>
      <c r="F54" s="802"/>
      <c r="G54" s="802"/>
      <c r="H54" s="803"/>
      <c r="I54" s="69"/>
      <c r="J54" s="819"/>
      <c r="K54" s="820"/>
      <c r="L54" s="820"/>
      <c r="M54" s="820"/>
      <c r="N54" s="820"/>
      <c r="O54" s="820"/>
      <c r="P54" s="821"/>
      <c r="Q54" s="239"/>
    </row>
    <row r="55" spans="1:17" s="664" customFormat="1" ht="3" customHeight="1" thickBot="1" x14ac:dyDescent="0.3">
      <c r="A55" s="505"/>
      <c r="B55" s="72"/>
      <c r="C55" s="72"/>
      <c r="D55" s="72"/>
      <c r="E55" s="72"/>
      <c r="F55" s="72"/>
      <c r="G55" s="72"/>
      <c r="H55" s="72"/>
      <c r="I55" s="69"/>
      <c r="J55" s="819"/>
      <c r="K55" s="820"/>
      <c r="L55" s="820"/>
      <c r="M55" s="820"/>
      <c r="N55" s="820"/>
      <c r="O55" s="820"/>
      <c r="P55" s="821"/>
      <c r="Q55" s="239"/>
    </row>
    <row r="56" spans="1:17" s="664" customFormat="1" ht="15.75" thickBot="1" x14ac:dyDescent="0.3">
      <c r="A56" s="505"/>
      <c r="B56" s="801"/>
      <c r="C56" s="802"/>
      <c r="D56" s="802"/>
      <c r="E56" s="802"/>
      <c r="F56" s="802"/>
      <c r="G56" s="802"/>
      <c r="H56" s="803"/>
      <c r="I56" s="69"/>
      <c r="J56" s="819"/>
      <c r="K56" s="820"/>
      <c r="L56" s="820"/>
      <c r="M56" s="820"/>
      <c r="N56" s="820"/>
      <c r="O56" s="820"/>
      <c r="P56" s="821"/>
      <c r="Q56" s="239"/>
    </row>
    <row r="57" spans="1:17" s="664" customFormat="1" ht="3" customHeight="1" thickBot="1" x14ac:dyDescent="0.3">
      <c r="A57" s="505"/>
      <c r="B57" s="72"/>
      <c r="C57" s="72"/>
      <c r="D57" s="72"/>
      <c r="E57" s="72"/>
      <c r="F57" s="72"/>
      <c r="G57" s="72"/>
      <c r="H57" s="72"/>
      <c r="I57" s="69"/>
      <c r="J57" s="819"/>
      <c r="K57" s="820"/>
      <c r="L57" s="820"/>
      <c r="M57" s="820"/>
      <c r="N57" s="820"/>
      <c r="O57" s="820"/>
      <c r="P57" s="821"/>
      <c r="Q57" s="239"/>
    </row>
    <row r="58" spans="1:17" s="664" customFormat="1" ht="15.75" thickBot="1" x14ac:dyDescent="0.3">
      <c r="A58" s="505"/>
      <c r="B58" s="801"/>
      <c r="C58" s="802"/>
      <c r="D58" s="802"/>
      <c r="E58" s="802"/>
      <c r="F58" s="802"/>
      <c r="G58" s="802"/>
      <c r="H58" s="803"/>
      <c r="I58" s="69"/>
      <c r="J58" s="822"/>
      <c r="K58" s="823"/>
      <c r="L58" s="823"/>
      <c r="M58" s="823"/>
      <c r="N58" s="823"/>
      <c r="O58" s="823"/>
      <c r="P58" s="824"/>
      <c r="Q58" s="239"/>
    </row>
    <row r="59" spans="1:17" ht="3" customHeight="1" thickBot="1" x14ac:dyDescent="0.3">
      <c r="A59" s="246"/>
      <c r="B59" s="247"/>
      <c r="C59" s="247"/>
      <c r="D59" s="247"/>
      <c r="E59" s="247"/>
      <c r="F59" s="247"/>
      <c r="G59" s="247"/>
      <c r="H59" s="247"/>
      <c r="I59" s="247"/>
      <c r="J59" s="247"/>
      <c r="K59" s="247"/>
      <c r="L59" s="247"/>
      <c r="M59" s="247"/>
      <c r="N59" s="247"/>
      <c r="O59" s="247"/>
      <c r="P59" s="247"/>
      <c r="Q59" s="240"/>
    </row>
    <row r="60" spans="1:17" x14ac:dyDescent="0.25">
      <c r="A60" s="664"/>
      <c r="B60" s="664"/>
      <c r="C60" s="664"/>
      <c r="D60" s="664"/>
      <c r="H60" s="664"/>
      <c r="J60" s="664"/>
    </row>
    <row r="61" spans="1:17" hidden="1" x14ac:dyDescent="0.25">
      <c r="B61" s="664"/>
    </row>
    <row r="62" spans="1:17" ht="15" hidden="1" customHeight="1" x14ac:dyDescent="0.25">
      <c r="B62" s="800" t="s">
        <v>56</v>
      </c>
      <c r="C62" s="800"/>
      <c r="D62" s="800"/>
      <c r="F62" s="262" t="s">
        <v>367</v>
      </c>
      <c r="H62" s="661" t="s">
        <v>218</v>
      </c>
      <c r="J62" s="661" t="s">
        <v>219</v>
      </c>
      <c r="L62" s="262" t="s">
        <v>582</v>
      </c>
      <c r="N62" s="262" t="s">
        <v>583</v>
      </c>
      <c r="P62" s="666" t="s">
        <v>588</v>
      </c>
    </row>
    <row r="63" spans="1:17" ht="15" hidden="1" customHeight="1" x14ac:dyDescent="0.25">
      <c r="B63" s="796" t="s">
        <v>194</v>
      </c>
      <c r="C63" s="796"/>
      <c r="D63" s="796"/>
      <c r="F63" s="67">
        <f>IF(COUNTIF(J38:J46,"Healing Potions")&lt;1,0,1)</f>
        <v>0</v>
      </c>
      <c r="H63" s="661"/>
      <c r="J63" s="661"/>
      <c r="L63" s="377">
        <v>3</v>
      </c>
      <c r="N63" s="67">
        <f>IF($L63*$F$73&lt;1,1,ROUNDDOWN($L63*$F$73,0))</f>
        <v>3</v>
      </c>
      <c r="P63" s="666"/>
    </row>
    <row r="64" spans="1:17" ht="15" hidden="1" customHeight="1" x14ac:dyDescent="0.25">
      <c r="B64" s="826" t="s">
        <v>580</v>
      </c>
      <c r="C64" s="826"/>
      <c r="D64" s="826"/>
      <c r="F64" s="67">
        <f>IF(COUNTIF(J38:J46,"Improved Armor (Masterwork)")&lt;1,0,1)</f>
        <v>0</v>
      </c>
      <c r="H64" s="662">
        <v>1</v>
      </c>
      <c r="J64" s="662"/>
      <c r="L64" s="67">
        <v>1</v>
      </c>
      <c r="N64" s="67">
        <f t="shared" ref="N64:N70" si="0">IF($L64*$F$73&lt;1,1,ROUNDDOWN($L64*$F$73,0))</f>
        <v>1</v>
      </c>
      <c r="P64" s="67"/>
    </row>
    <row r="65" spans="2:16" ht="15" hidden="1" customHeight="1" x14ac:dyDescent="0.25">
      <c r="B65" s="826" t="s">
        <v>193</v>
      </c>
      <c r="C65" s="826"/>
      <c r="D65" s="826"/>
      <c r="F65" s="67">
        <f>IF(COUNTIF(J38:J46,"Improved Armor (Magic)")&lt;1,0,1)</f>
        <v>0</v>
      </c>
      <c r="H65" s="662">
        <v>2</v>
      </c>
      <c r="J65" s="662"/>
      <c r="L65" s="67">
        <v>2</v>
      </c>
      <c r="N65" s="67">
        <f t="shared" si="0"/>
        <v>2</v>
      </c>
      <c r="P65" s="67"/>
    </row>
    <row r="66" spans="2:16" ht="15" hidden="1" customHeight="1" x14ac:dyDescent="0.25">
      <c r="B66" s="826" t="s">
        <v>581</v>
      </c>
      <c r="C66" s="826"/>
      <c r="D66" s="826"/>
      <c r="F66" s="67">
        <f>IF(COUNTIF(J38:J46,"Improved Weapons (Masterwork)")&lt;1,0,1)</f>
        <v>0</v>
      </c>
      <c r="H66" s="662"/>
      <c r="J66" s="662">
        <v>1</v>
      </c>
      <c r="L66" s="67">
        <v>1</v>
      </c>
      <c r="N66" s="67">
        <f t="shared" si="0"/>
        <v>1</v>
      </c>
      <c r="P66" s="67"/>
    </row>
    <row r="67" spans="2:16" ht="15" hidden="1" customHeight="1" x14ac:dyDescent="0.25">
      <c r="B67" s="826" t="s">
        <v>192</v>
      </c>
      <c r="C67" s="826"/>
      <c r="D67" s="826"/>
      <c r="F67" s="67">
        <f>IF(COUNTIF(J38:J46,"Improved Weapons (Magic)")&lt;1,0,1)</f>
        <v>0</v>
      </c>
      <c r="H67" s="662"/>
      <c r="J67" s="662">
        <v>2</v>
      </c>
      <c r="L67" s="67">
        <v>2</v>
      </c>
      <c r="N67" s="67">
        <f t="shared" si="0"/>
        <v>2</v>
      </c>
      <c r="P67" s="67"/>
    </row>
    <row r="68" spans="2:16" ht="15" hidden="1" customHeight="1" x14ac:dyDescent="0.25">
      <c r="B68" s="826" t="s">
        <v>486</v>
      </c>
      <c r="C68" s="826"/>
      <c r="D68" s="826"/>
      <c r="F68" s="67">
        <f>IF(COUNTIF(J38:J46,"Mounts")&lt;1,0,1)</f>
        <v>0</v>
      </c>
      <c r="H68" s="662">
        <v>2</v>
      </c>
      <c r="J68" s="662">
        <v>2</v>
      </c>
      <c r="L68" s="67">
        <v>1</v>
      </c>
      <c r="N68" s="67">
        <f t="shared" si="0"/>
        <v>1</v>
      </c>
      <c r="P68" s="67"/>
    </row>
    <row r="69" spans="2:16" ht="15" hidden="1" customHeight="1" x14ac:dyDescent="0.25">
      <c r="B69" s="826" t="s">
        <v>195</v>
      </c>
      <c r="C69" s="826"/>
      <c r="D69" s="826"/>
      <c r="F69" s="67">
        <f>IF(COUNTIF(J38:J46,"Ranged Weapons")&lt;1,0,1)</f>
        <v>0</v>
      </c>
      <c r="H69" s="662"/>
      <c r="J69" s="662"/>
      <c r="L69" s="67">
        <v>1</v>
      </c>
      <c r="N69" s="67">
        <f t="shared" si="0"/>
        <v>1</v>
      </c>
      <c r="P69" s="67">
        <v>1</v>
      </c>
    </row>
    <row r="70" spans="2:16" ht="15" hidden="1" customHeight="1" x14ac:dyDescent="0.25">
      <c r="B70" s="825" t="s">
        <v>196</v>
      </c>
      <c r="C70" s="825"/>
      <c r="D70" s="825"/>
      <c r="F70" s="67">
        <f>IF(COUNTIF(J38:J46,"Siege Weapons")&lt;1,0,1)</f>
        <v>0</v>
      </c>
      <c r="H70" s="662"/>
      <c r="J70" s="662">
        <v>2</v>
      </c>
      <c r="L70" s="67">
        <v>3</v>
      </c>
      <c r="N70" s="67">
        <f t="shared" si="0"/>
        <v>3</v>
      </c>
      <c r="P70" s="67"/>
    </row>
    <row r="71" spans="2:16" ht="15" hidden="1" customHeight="1" x14ac:dyDescent="0.25">
      <c r="B71" s="829" t="s">
        <v>585</v>
      </c>
      <c r="C71" s="829"/>
      <c r="D71" s="829"/>
      <c r="E71" s="829"/>
      <c r="F71" s="829"/>
      <c r="G71" s="265"/>
      <c r="H71" s="175">
        <f>SUMPRODUCT($F$64:$F$70,H$64:H$70)</f>
        <v>0</v>
      </c>
      <c r="I71" s="175"/>
      <c r="J71" s="175">
        <f t="shared" ref="J71:P71" si="1">SUMPRODUCT($F$64:$F$70,J$64:J$70)</f>
        <v>0</v>
      </c>
      <c r="K71" s="175"/>
      <c r="L71" s="175">
        <f t="shared" si="1"/>
        <v>0</v>
      </c>
      <c r="M71" s="175"/>
      <c r="N71" s="175">
        <f>SUMPRODUCT($F$63:$F$70,N$63:N$70)</f>
        <v>0</v>
      </c>
      <c r="O71" s="175"/>
      <c r="P71" s="175">
        <f t="shared" si="1"/>
        <v>0</v>
      </c>
    </row>
    <row r="72" spans="2:16" hidden="1" x14ac:dyDescent="0.25">
      <c r="B72" s="664"/>
      <c r="C72" s="664"/>
      <c r="D72" s="664"/>
      <c r="F72" s="67"/>
      <c r="H72" s="662"/>
      <c r="J72" s="662"/>
      <c r="L72" s="67"/>
      <c r="N72" s="67"/>
    </row>
    <row r="73" spans="2:16" ht="15" hidden="1" customHeight="1" x14ac:dyDescent="0.25">
      <c r="B73" s="827" t="s">
        <v>584</v>
      </c>
      <c r="C73" s="827"/>
      <c r="D73" s="827"/>
      <c r="F73" s="266">
        <f>IF(F4="Fine",1/8,IF(F4="Diminutive",1/6,IF(F4="Tiny",1/4,IF(F4="Small",1/2,IF(F4="Large",2,IF(F4="Huge",4,IF(F4="Gargantuan",10,IF(F4="Colossal",20,1))))))))</f>
        <v>1</v>
      </c>
      <c r="H73" s="662"/>
      <c r="I73" s="662"/>
      <c r="J73" s="662"/>
      <c r="K73" s="662"/>
      <c r="L73" s="662"/>
      <c r="M73" s="662"/>
      <c r="N73" s="662"/>
    </row>
    <row r="74" spans="2:16" hidden="1" x14ac:dyDescent="0.25">
      <c r="B74" s="664"/>
    </row>
    <row r="75" spans="2:16" ht="15" hidden="1" customHeight="1" x14ac:dyDescent="0.25">
      <c r="B75" s="800" t="s">
        <v>482</v>
      </c>
      <c r="C75" s="800"/>
      <c r="D75" s="800"/>
      <c r="F75" s="262" t="s">
        <v>367</v>
      </c>
      <c r="G75" s="262"/>
      <c r="H75" s="661" t="s">
        <v>218</v>
      </c>
      <c r="I75" s="556"/>
      <c r="J75" s="661" t="s">
        <v>160</v>
      </c>
    </row>
    <row r="76" spans="2:16" ht="15" hidden="1" customHeight="1" x14ac:dyDescent="0.25">
      <c r="B76" s="826" t="s">
        <v>534</v>
      </c>
      <c r="C76" s="826"/>
      <c r="D76" s="826"/>
      <c r="F76" s="67">
        <f>IF(COUNTIF(J24:J32,"Defensive Tactics")&lt;1,0,1)</f>
        <v>0</v>
      </c>
      <c r="G76" s="67"/>
      <c r="H76" s="662">
        <v>2</v>
      </c>
      <c r="I76" s="556"/>
      <c r="J76" s="662"/>
    </row>
    <row r="77" spans="2:16" ht="15" hidden="1" customHeight="1" x14ac:dyDescent="0.25">
      <c r="B77" s="825" t="s">
        <v>50</v>
      </c>
      <c r="C77" s="825"/>
      <c r="D77" s="825"/>
      <c r="F77" s="67">
        <f>IF(COUNTIF(J24:J32,"Loyalty")&lt;1,0,1)</f>
        <v>0</v>
      </c>
      <c r="G77" s="67"/>
      <c r="H77" s="662"/>
      <c r="I77" s="556"/>
      <c r="J77" s="662">
        <f>IF(H24&lt;12,2,4)</f>
        <v>2</v>
      </c>
    </row>
    <row r="78" spans="2:16" ht="15" hidden="1" customHeight="1" x14ac:dyDescent="0.25">
      <c r="B78" s="829" t="s">
        <v>585</v>
      </c>
      <c r="C78" s="829"/>
      <c r="D78" s="829"/>
      <c r="E78" s="829"/>
      <c r="F78" s="829"/>
      <c r="G78" s="267"/>
      <c r="H78" s="175">
        <f>SUMPRODUCT($F$76:$F$77,H$76:H$77)</f>
        <v>0</v>
      </c>
      <c r="I78" s="175"/>
      <c r="J78" s="175">
        <f>SUMPRODUCT($F$76:$F$77,J$76:J$77)</f>
        <v>0</v>
      </c>
    </row>
    <row r="79" spans="2:16" hidden="1" x14ac:dyDescent="0.25">
      <c r="B79" s="664"/>
    </row>
    <row r="80" spans="2:16" ht="15" hidden="1" customHeight="1" x14ac:dyDescent="0.25">
      <c r="B80" s="800" t="s">
        <v>161</v>
      </c>
      <c r="C80" s="800"/>
      <c r="D80" s="800"/>
      <c r="F80" s="262" t="s">
        <v>367</v>
      </c>
      <c r="H80" s="661" t="s">
        <v>219</v>
      </c>
      <c r="J80" s="661" t="s">
        <v>218</v>
      </c>
      <c r="L80" s="262" t="s">
        <v>588</v>
      </c>
    </row>
    <row r="81" spans="2:12" ht="15" hidden="1" customHeight="1" x14ac:dyDescent="0.25">
      <c r="B81" s="830" t="s">
        <v>542</v>
      </c>
      <c r="C81" s="830"/>
      <c r="D81" s="830"/>
      <c r="F81" s="67">
        <f>IF(COUNTIF(B50:B58,"Animal Companion")&lt;1,0,1)</f>
        <v>0</v>
      </c>
      <c r="H81" s="662">
        <v>1</v>
      </c>
      <c r="J81" s="662"/>
      <c r="L81" s="67"/>
    </row>
    <row r="82" spans="2:12" ht="15" hidden="1" customHeight="1" x14ac:dyDescent="0.25">
      <c r="B82" s="830" t="s">
        <v>545</v>
      </c>
      <c r="C82" s="830"/>
      <c r="D82" s="830"/>
      <c r="F82" s="67">
        <f>IF(COUNTIF(B50:B58,"Bomb")&lt;1,0,1)</f>
        <v>0</v>
      </c>
      <c r="H82" s="662"/>
      <c r="J82" s="662"/>
      <c r="L82" s="67">
        <v>1</v>
      </c>
    </row>
    <row r="83" spans="2:12" ht="15" hidden="1" customHeight="1" x14ac:dyDescent="0.25">
      <c r="B83" s="830" t="s">
        <v>197</v>
      </c>
      <c r="C83" s="830"/>
      <c r="D83" s="830"/>
      <c r="F83" s="67">
        <f>IF(COUNTIF(B50:B58,"Breath Weapon")&lt;1,0,1)</f>
        <v>0</v>
      </c>
      <c r="H83" s="662"/>
      <c r="J83" s="662"/>
      <c r="L83" s="67">
        <v>1</v>
      </c>
    </row>
    <row r="84" spans="2:12" ht="15" hidden="1" customHeight="1" x14ac:dyDescent="0.25">
      <c r="B84" s="830" t="s">
        <v>554</v>
      </c>
      <c r="C84" s="830"/>
      <c r="D84" s="830"/>
      <c r="F84" s="67">
        <f>IF(COUNTIF(B50:B58,"Eidolon")&lt;1,0,1)</f>
        <v>0</v>
      </c>
      <c r="H84" s="662">
        <v>1</v>
      </c>
      <c r="J84" s="662"/>
      <c r="L84" s="67"/>
    </row>
    <row r="85" spans="2:12" ht="15" hidden="1" customHeight="1" x14ac:dyDescent="0.25">
      <c r="B85" s="830" t="s">
        <v>587</v>
      </c>
      <c r="C85" s="830"/>
      <c r="D85" s="830"/>
      <c r="F85" s="67">
        <f>IF(COUNTIF(B50:B58,"Hunter's Bond (Animal)")&lt;1,0,1)</f>
        <v>0</v>
      </c>
      <c r="H85" s="662">
        <v>1</v>
      </c>
      <c r="J85" s="662"/>
      <c r="L85" s="67"/>
    </row>
    <row r="86" spans="2:12" ht="15" hidden="1" customHeight="1" x14ac:dyDescent="0.25">
      <c r="B86" s="830" t="s">
        <v>514</v>
      </c>
      <c r="C86" s="830"/>
      <c r="D86" s="830"/>
      <c r="F86" s="67">
        <f>IF(COUNTIF(B50:B58,"Mindless")&lt;1,0,1)</f>
        <v>0</v>
      </c>
      <c r="H86" s="662"/>
      <c r="J86" s="662"/>
      <c r="L86" s="67"/>
    </row>
    <row r="87" spans="2:12" ht="15" hidden="1" customHeight="1" x14ac:dyDescent="0.25">
      <c r="B87" s="830" t="s">
        <v>517</v>
      </c>
      <c r="C87" s="830"/>
      <c r="D87" s="830"/>
      <c r="F87" s="67">
        <f>IF(COUNTIF(B50:B58,"Pounce")&lt;1,0,1)</f>
        <v>0</v>
      </c>
      <c r="H87" s="662">
        <v>1</v>
      </c>
      <c r="J87" s="662"/>
      <c r="L87" s="67"/>
    </row>
    <row r="88" spans="2:12" ht="15" hidden="1" customHeight="1" x14ac:dyDescent="0.25">
      <c r="B88" s="830" t="s">
        <v>518</v>
      </c>
      <c r="C88" s="830"/>
      <c r="D88" s="830"/>
      <c r="F88" s="67">
        <f>IF(COUNTIF(B50:B58,"Powerful Charge")&lt;1,0,1)</f>
        <v>0</v>
      </c>
      <c r="H88" s="662">
        <v>1</v>
      </c>
      <c r="J88" s="662"/>
      <c r="L88" s="67"/>
    </row>
    <row r="89" spans="2:12" ht="15" hidden="1" customHeight="1" x14ac:dyDescent="0.25">
      <c r="B89" s="830" t="s">
        <v>571</v>
      </c>
      <c r="C89" s="830"/>
      <c r="D89" s="830"/>
      <c r="F89" s="67">
        <f>IF(COUNTIF(B50:B58,"Shield Ally")&lt;1,0,1)</f>
        <v>0</v>
      </c>
      <c r="H89" s="662"/>
      <c r="J89" s="662">
        <v>1</v>
      </c>
      <c r="L89" s="67"/>
    </row>
    <row r="90" spans="2:12" ht="15" hidden="1" customHeight="1" x14ac:dyDescent="0.25">
      <c r="B90" s="830" t="s">
        <v>526</v>
      </c>
      <c r="C90" s="830"/>
      <c r="D90" s="830"/>
      <c r="F90" s="67">
        <f>IF(COUNTIF(B50:B58,"Trample")&lt;1,0,1)</f>
        <v>0</v>
      </c>
      <c r="H90" s="662">
        <v>1</v>
      </c>
      <c r="J90" s="662"/>
      <c r="L90" s="67"/>
    </row>
    <row r="91" spans="2:12" ht="15" hidden="1" customHeight="1" x14ac:dyDescent="0.25">
      <c r="B91" s="831" t="s">
        <v>203</v>
      </c>
      <c r="C91" s="831"/>
      <c r="D91" s="831"/>
      <c r="F91" s="67">
        <f>IF(COUNTIF(B50:B58,"Undead")&lt;1,0,1)</f>
        <v>0</v>
      </c>
      <c r="H91" s="662"/>
      <c r="J91" s="662">
        <v>2</v>
      </c>
      <c r="L91" s="67"/>
    </row>
    <row r="92" spans="2:12" ht="15" hidden="1" customHeight="1" x14ac:dyDescent="0.25">
      <c r="B92" s="829" t="s">
        <v>585</v>
      </c>
      <c r="C92" s="829"/>
      <c r="D92" s="829"/>
      <c r="E92" s="829"/>
      <c r="F92" s="829"/>
      <c r="G92" s="265"/>
      <c r="H92" s="175">
        <f>SUMPRODUCT($F$81:$F$91,H$81:H$91)</f>
        <v>0</v>
      </c>
      <c r="I92" s="268"/>
      <c r="J92" s="175">
        <f>SUMPRODUCT($F$81:$F$91,J$81:J$91)</f>
        <v>0</v>
      </c>
      <c r="K92" s="268"/>
      <c r="L92" s="175">
        <f>SUMPRODUCT($F$81:$F$91,L$81:L$91)</f>
        <v>0</v>
      </c>
    </row>
    <row r="93" spans="2:12" hidden="1" x14ac:dyDescent="0.25">
      <c r="B93" s="665"/>
      <c r="C93" s="665"/>
      <c r="D93" s="665"/>
    </row>
    <row r="94" spans="2:12" ht="15" hidden="1" customHeight="1" x14ac:dyDescent="0.25">
      <c r="B94" s="800" t="s">
        <v>585</v>
      </c>
      <c r="C94" s="800"/>
      <c r="D94" s="800"/>
      <c r="E94" s="800"/>
      <c r="F94" s="800"/>
    </row>
    <row r="95" spans="2:12" ht="15" hidden="1" customHeight="1" x14ac:dyDescent="0.25">
      <c r="B95" s="827" t="s">
        <v>219</v>
      </c>
      <c r="C95" s="827"/>
      <c r="D95" s="827"/>
      <c r="F95" s="67">
        <f>J71+H92</f>
        <v>0</v>
      </c>
    </row>
    <row r="96" spans="2:12" ht="15" hidden="1" customHeight="1" x14ac:dyDescent="0.25">
      <c r="B96" s="827" t="s">
        <v>218</v>
      </c>
      <c r="C96" s="827"/>
      <c r="D96" s="827"/>
      <c r="F96" s="67">
        <f>H71+H78+J92</f>
        <v>0</v>
      </c>
    </row>
    <row r="97" spans="2:6" ht="15" hidden="1" customHeight="1" x14ac:dyDescent="0.25">
      <c r="B97" s="827" t="s">
        <v>160</v>
      </c>
      <c r="C97" s="827"/>
      <c r="D97" s="827"/>
      <c r="F97" s="67">
        <f>J78</f>
        <v>0</v>
      </c>
    </row>
    <row r="98" spans="2:6" ht="15" hidden="1" customHeight="1" x14ac:dyDescent="0.25">
      <c r="B98" s="828" t="s">
        <v>61</v>
      </c>
      <c r="C98" s="828"/>
      <c r="D98" s="828"/>
      <c r="F98" s="67">
        <f>N71</f>
        <v>0</v>
      </c>
    </row>
    <row r="99" spans="2:6" ht="15" hidden="1" customHeight="1" x14ac:dyDescent="0.25">
      <c r="B99" s="828" t="s">
        <v>588</v>
      </c>
      <c r="C99" s="828"/>
      <c r="D99" s="828"/>
      <c r="F99" s="67">
        <f>IF(P71+L92&gt;0,1,0)</f>
        <v>0</v>
      </c>
    </row>
    <row r="100" spans="2:6" ht="15" hidden="1" customHeight="1" x14ac:dyDescent="0.25">
      <c r="B100" s="827" t="s">
        <v>514</v>
      </c>
      <c r="C100" s="827"/>
      <c r="D100" s="827"/>
      <c r="F100" s="67">
        <f>F86</f>
        <v>0</v>
      </c>
    </row>
    <row r="101" spans="2:6" hidden="1" x14ac:dyDescent="0.25">
      <c r="B101" s="665"/>
      <c r="C101" s="665"/>
      <c r="D101" s="665"/>
    </row>
    <row r="102" spans="2:6" x14ac:dyDescent="0.25">
      <c r="B102" s="665"/>
      <c r="C102" s="665"/>
      <c r="D102" s="665"/>
    </row>
    <row r="103" spans="2:6" x14ac:dyDescent="0.25">
      <c r="B103" s="665"/>
      <c r="C103" s="665"/>
      <c r="D103" s="665"/>
    </row>
    <row r="104" spans="2:6" x14ac:dyDescent="0.25">
      <c r="B104" s="665"/>
      <c r="C104" s="665"/>
      <c r="D104" s="665"/>
    </row>
    <row r="105" spans="2:6" x14ac:dyDescent="0.25">
      <c r="B105" s="665"/>
      <c r="C105" s="665"/>
      <c r="D105" s="665"/>
    </row>
    <row r="106" spans="2:6" x14ac:dyDescent="0.25">
      <c r="B106" s="665"/>
      <c r="C106" s="665"/>
      <c r="D106" s="665"/>
    </row>
    <row r="107" spans="2:6" x14ac:dyDescent="0.25">
      <c r="B107" s="665"/>
      <c r="C107" s="665"/>
      <c r="D107" s="665"/>
    </row>
    <row r="108" spans="2:6" x14ac:dyDescent="0.25">
      <c r="B108" s="665"/>
      <c r="C108" s="665"/>
      <c r="D108" s="665"/>
    </row>
    <row r="109" spans="2:6" x14ac:dyDescent="0.25">
      <c r="B109" s="665"/>
      <c r="C109" s="665"/>
      <c r="D109" s="665"/>
    </row>
    <row r="110" spans="2:6" x14ac:dyDescent="0.25">
      <c r="B110" s="665"/>
      <c r="C110" s="665"/>
      <c r="D110" s="665"/>
    </row>
    <row r="111" spans="2:6" x14ac:dyDescent="0.25">
      <c r="B111" s="665"/>
      <c r="C111" s="665"/>
      <c r="D111" s="665"/>
    </row>
    <row r="112" spans="2:6" x14ac:dyDescent="0.25">
      <c r="B112" s="665"/>
      <c r="C112" s="665"/>
      <c r="D112" s="665"/>
    </row>
    <row r="113" spans="2:4" x14ac:dyDescent="0.25">
      <c r="B113" s="665"/>
      <c r="C113" s="665"/>
      <c r="D113" s="665"/>
    </row>
    <row r="114" spans="2:4" x14ac:dyDescent="0.25">
      <c r="B114" s="665"/>
      <c r="C114" s="665"/>
      <c r="D114" s="665"/>
    </row>
    <row r="115" spans="2:4" x14ac:dyDescent="0.25">
      <c r="B115" s="665"/>
      <c r="C115" s="665"/>
      <c r="D115" s="665"/>
    </row>
    <row r="116" spans="2:4" x14ac:dyDescent="0.25">
      <c r="B116" s="665"/>
      <c r="C116" s="665"/>
      <c r="D116" s="665"/>
    </row>
    <row r="117" spans="2:4" x14ac:dyDescent="0.25">
      <c r="B117" s="665"/>
      <c r="C117" s="665"/>
      <c r="D117" s="665"/>
    </row>
    <row r="118" spans="2:4" x14ac:dyDescent="0.25">
      <c r="B118" s="665"/>
      <c r="C118" s="665"/>
      <c r="D118" s="665"/>
    </row>
    <row r="119" spans="2:4" x14ac:dyDescent="0.25">
      <c r="B119" s="665"/>
      <c r="C119" s="665"/>
      <c r="D119" s="665"/>
    </row>
    <row r="120" spans="2:4" x14ac:dyDescent="0.25">
      <c r="B120" s="665"/>
      <c r="C120" s="665"/>
      <c r="D120" s="665"/>
    </row>
    <row r="121" spans="2:4" x14ac:dyDescent="0.25">
      <c r="B121" s="665"/>
      <c r="C121" s="665"/>
      <c r="D121" s="665"/>
    </row>
    <row r="122" spans="2:4" x14ac:dyDescent="0.25">
      <c r="B122" s="665"/>
      <c r="C122" s="665"/>
      <c r="D122" s="665"/>
    </row>
    <row r="123" spans="2:4" x14ac:dyDescent="0.25">
      <c r="B123" s="665"/>
      <c r="C123" s="665"/>
      <c r="D123" s="665"/>
    </row>
    <row r="124" spans="2:4" x14ac:dyDescent="0.25">
      <c r="B124" s="665"/>
      <c r="C124" s="665"/>
      <c r="D124" s="665"/>
    </row>
    <row r="125" spans="2:4" x14ac:dyDescent="0.25">
      <c r="B125" s="665"/>
      <c r="C125" s="665"/>
      <c r="D125" s="665"/>
    </row>
    <row r="126" spans="2:4" x14ac:dyDescent="0.25">
      <c r="B126" s="665"/>
      <c r="C126" s="665"/>
      <c r="D126" s="665"/>
    </row>
    <row r="127" spans="2:4" x14ac:dyDescent="0.25">
      <c r="B127" s="665"/>
      <c r="C127" s="665"/>
      <c r="D127" s="665"/>
    </row>
    <row r="128" spans="2:4" x14ac:dyDescent="0.25">
      <c r="B128" s="665"/>
      <c r="C128" s="665"/>
      <c r="D128" s="665"/>
    </row>
    <row r="129" spans="2:4" x14ac:dyDescent="0.25">
      <c r="B129" s="665"/>
      <c r="C129" s="665"/>
      <c r="D129" s="665"/>
    </row>
    <row r="130" spans="2:4" x14ac:dyDescent="0.25">
      <c r="B130" s="665"/>
      <c r="C130" s="665"/>
      <c r="D130" s="665"/>
    </row>
    <row r="131" spans="2:4" x14ac:dyDescent="0.25">
      <c r="B131" s="665"/>
      <c r="C131" s="665"/>
      <c r="D131" s="665"/>
    </row>
    <row r="132" spans="2:4" x14ac:dyDescent="0.25">
      <c r="B132" s="665"/>
      <c r="C132" s="665"/>
      <c r="D132" s="665"/>
    </row>
    <row r="133" spans="2:4" x14ac:dyDescent="0.25">
      <c r="B133" s="665"/>
      <c r="C133" s="665"/>
      <c r="D133" s="665"/>
    </row>
    <row r="134" spans="2:4" x14ac:dyDescent="0.25">
      <c r="B134" s="665"/>
      <c r="C134" s="665"/>
      <c r="D134" s="665"/>
    </row>
    <row r="135" spans="2:4" x14ac:dyDescent="0.25">
      <c r="B135" s="665"/>
      <c r="C135" s="665"/>
      <c r="D135" s="665"/>
    </row>
    <row r="136" spans="2:4" x14ac:dyDescent="0.25">
      <c r="B136" s="665"/>
      <c r="C136" s="665"/>
      <c r="D136" s="665"/>
    </row>
    <row r="137" spans="2:4" x14ac:dyDescent="0.25">
      <c r="B137" s="665"/>
      <c r="C137" s="665"/>
      <c r="D137" s="665"/>
    </row>
    <row r="138" spans="2:4" x14ac:dyDescent="0.25">
      <c r="B138" s="665"/>
      <c r="C138" s="665"/>
      <c r="D138" s="665"/>
    </row>
    <row r="139" spans="2:4" x14ac:dyDescent="0.25">
      <c r="B139" s="665"/>
      <c r="C139" s="665"/>
      <c r="D139" s="665"/>
    </row>
    <row r="140" spans="2:4" x14ac:dyDescent="0.25">
      <c r="B140" s="665"/>
      <c r="C140" s="665"/>
      <c r="D140" s="665"/>
    </row>
    <row r="141" spans="2:4" x14ac:dyDescent="0.25">
      <c r="B141" s="665"/>
      <c r="C141" s="665"/>
      <c r="D141" s="665"/>
    </row>
    <row r="142" spans="2:4" x14ac:dyDescent="0.25">
      <c r="B142" s="665"/>
      <c r="C142" s="665"/>
      <c r="D142" s="665"/>
    </row>
    <row r="143" spans="2:4" x14ac:dyDescent="0.25">
      <c r="B143" s="665"/>
      <c r="C143" s="665"/>
      <c r="D143" s="665"/>
    </row>
    <row r="144" spans="2:4" x14ac:dyDescent="0.25">
      <c r="B144" s="665"/>
      <c r="C144" s="665"/>
      <c r="D144" s="665"/>
    </row>
    <row r="145" spans="2:4" x14ac:dyDescent="0.25">
      <c r="B145" s="665"/>
      <c r="C145" s="665"/>
      <c r="D145" s="665"/>
    </row>
    <row r="146" spans="2:4" x14ac:dyDescent="0.25">
      <c r="B146" s="665"/>
      <c r="C146" s="665"/>
      <c r="D146" s="665"/>
    </row>
    <row r="147" spans="2:4" x14ac:dyDescent="0.25">
      <c r="B147" s="665"/>
      <c r="C147" s="665"/>
      <c r="D147" s="665"/>
    </row>
    <row r="148" spans="2:4" x14ac:dyDescent="0.25">
      <c r="B148" s="665"/>
      <c r="C148" s="665"/>
      <c r="D148" s="665"/>
    </row>
    <row r="149" spans="2:4" x14ac:dyDescent="0.25">
      <c r="B149" s="665"/>
      <c r="C149" s="665"/>
      <c r="D149" s="665"/>
    </row>
    <row r="150" spans="2:4" x14ac:dyDescent="0.25">
      <c r="B150" s="665"/>
      <c r="C150" s="665"/>
      <c r="D150" s="665"/>
    </row>
    <row r="151" spans="2:4" x14ac:dyDescent="0.25">
      <c r="B151" s="665"/>
      <c r="C151" s="665"/>
      <c r="D151" s="665"/>
    </row>
    <row r="152" spans="2:4" x14ac:dyDescent="0.25">
      <c r="B152" s="665"/>
      <c r="C152" s="665"/>
      <c r="D152" s="665"/>
    </row>
    <row r="153" spans="2:4" x14ac:dyDescent="0.25">
      <c r="B153" s="665"/>
      <c r="C153" s="665"/>
      <c r="D153" s="665"/>
    </row>
    <row r="154" spans="2:4" x14ac:dyDescent="0.25">
      <c r="B154" s="665"/>
      <c r="C154" s="665"/>
      <c r="D154" s="665"/>
    </row>
    <row r="155" spans="2:4" x14ac:dyDescent="0.25">
      <c r="B155" s="665"/>
      <c r="C155" s="665"/>
      <c r="D155" s="665"/>
    </row>
    <row r="156" spans="2:4" x14ac:dyDescent="0.25">
      <c r="B156" s="665"/>
      <c r="C156" s="665"/>
      <c r="D156" s="665"/>
    </row>
    <row r="157" spans="2:4" x14ac:dyDescent="0.25">
      <c r="B157" s="665"/>
      <c r="C157" s="665"/>
      <c r="D157" s="665"/>
    </row>
    <row r="158" spans="2:4" x14ac:dyDescent="0.25">
      <c r="B158" s="665"/>
      <c r="C158" s="665"/>
      <c r="D158" s="665"/>
    </row>
    <row r="159" spans="2:4" x14ac:dyDescent="0.25">
      <c r="B159" s="665"/>
      <c r="C159" s="665"/>
      <c r="D159" s="665"/>
    </row>
    <row r="160" spans="2:4" x14ac:dyDescent="0.25">
      <c r="B160" s="665"/>
      <c r="C160" s="665"/>
      <c r="D160" s="665"/>
    </row>
    <row r="161" spans="2:4" x14ac:dyDescent="0.25">
      <c r="B161" s="665"/>
      <c r="C161" s="665"/>
      <c r="D161" s="665"/>
    </row>
    <row r="162" spans="2:4" x14ac:dyDescent="0.25">
      <c r="B162" s="665"/>
      <c r="C162" s="665"/>
      <c r="D162" s="665"/>
    </row>
    <row r="163" spans="2:4" x14ac:dyDescent="0.25">
      <c r="B163" s="665"/>
      <c r="C163" s="665"/>
      <c r="D163" s="665"/>
    </row>
    <row r="164" spans="2:4" x14ac:dyDescent="0.25">
      <c r="B164" s="665"/>
      <c r="C164" s="665"/>
      <c r="D164" s="665"/>
    </row>
    <row r="165" spans="2:4" x14ac:dyDescent="0.25">
      <c r="B165" s="665"/>
      <c r="C165" s="665"/>
      <c r="D165" s="665"/>
    </row>
    <row r="166" spans="2:4" x14ac:dyDescent="0.25">
      <c r="B166" s="665"/>
      <c r="C166" s="665"/>
      <c r="D166" s="665"/>
    </row>
    <row r="167" spans="2:4" x14ac:dyDescent="0.25">
      <c r="B167" s="665"/>
      <c r="C167" s="665"/>
      <c r="D167" s="665"/>
    </row>
    <row r="168" spans="2:4" x14ac:dyDescent="0.25">
      <c r="B168" s="665"/>
      <c r="C168" s="665"/>
      <c r="D168" s="665"/>
    </row>
    <row r="169" spans="2:4" x14ac:dyDescent="0.25">
      <c r="B169" s="665"/>
      <c r="C169" s="665"/>
      <c r="D169" s="665"/>
    </row>
    <row r="170" spans="2:4" x14ac:dyDescent="0.25">
      <c r="B170" s="665"/>
      <c r="C170" s="665"/>
      <c r="D170" s="665"/>
    </row>
    <row r="171" spans="2:4" x14ac:dyDescent="0.25">
      <c r="B171" s="665"/>
      <c r="C171" s="665"/>
      <c r="D171" s="665"/>
    </row>
    <row r="172" spans="2:4" x14ac:dyDescent="0.25">
      <c r="B172" s="665"/>
      <c r="C172" s="665"/>
      <c r="D172" s="665"/>
    </row>
    <row r="173" spans="2:4" x14ac:dyDescent="0.25">
      <c r="B173" s="665"/>
      <c r="C173" s="665"/>
      <c r="D173" s="665"/>
    </row>
    <row r="174" spans="2:4" x14ac:dyDescent="0.25">
      <c r="B174" s="665"/>
      <c r="C174" s="665"/>
      <c r="D174" s="665"/>
    </row>
    <row r="175" spans="2:4" x14ac:dyDescent="0.25">
      <c r="B175" s="665"/>
      <c r="C175" s="665"/>
      <c r="D175" s="665"/>
    </row>
    <row r="176" spans="2:4" x14ac:dyDescent="0.25">
      <c r="B176" s="665"/>
      <c r="C176" s="665"/>
      <c r="D176" s="665"/>
    </row>
    <row r="177" spans="2:4" x14ac:dyDescent="0.25">
      <c r="B177" s="665"/>
      <c r="C177" s="665"/>
      <c r="D177" s="665"/>
    </row>
    <row r="178" spans="2:4" x14ac:dyDescent="0.25">
      <c r="B178" s="665"/>
      <c r="C178" s="665"/>
      <c r="D178" s="665"/>
    </row>
  </sheetData>
  <sheetProtection sheet="1" objects="1" scenarios="1" selectLockedCells="1"/>
  <mergeCells count="100">
    <mergeCell ref="B96:D96"/>
    <mergeCell ref="B97:D97"/>
    <mergeCell ref="B98:D98"/>
    <mergeCell ref="B99:D99"/>
    <mergeCell ref="B89:D89"/>
    <mergeCell ref="B90:D90"/>
    <mergeCell ref="B95:D95"/>
    <mergeCell ref="B91:D91"/>
    <mergeCell ref="B92:F92"/>
    <mergeCell ref="B94:F94"/>
    <mergeCell ref="B88:D88"/>
    <mergeCell ref="B76:D76"/>
    <mergeCell ref="B80:D80"/>
    <mergeCell ref="B81:D81"/>
    <mergeCell ref="B82:D82"/>
    <mergeCell ref="B83:D83"/>
    <mergeCell ref="B84:D84"/>
    <mergeCell ref="B85:D85"/>
    <mergeCell ref="B86:D86"/>
    <mergeCell ref="B87:D87"/>
    <mergeCell ref="B77:D77"/>
    <mergeCell ref="B78:F78"/>
    <mergeCell ref="B75:D75"/>
    <mergeCell ref="B62:D62"/>
    <mergeCell ref="B63:D63"/>
    <mergeCell ref="B64:D64"/>
    <mergeCell ref="B65:D65"/>
    <mergeCell ref="B66:D66"/>
    <mergeCell ref="B67:D67"/>
    <mergeCell ref="B68:D68"/>
    <mergeCell ref="B69:D69"/>
    <mergeCell ref="B70:D70"/>
    <mergeCell ref="B71:F71"/>
    <mergeCell ref="B73:D73"/>
    <mergeCell ref="B50:H50"/>
    <mergeCell ref="J50:P58"/>
    <mergeCell ref="B52:H52"/>
    <mergeCell ref="B54:H54"/>
    <mergeCell ref="B56:H56"/>
    <mergeCell ref="B58:H58"/>
    <mergeCell ref="B46:H46"/>
    <mergeCell ref="J46:P46"/>
    <mergeCell ref="B48:H48"/>
    <mergeCell ref="J48:P48"/>
    <mergeCell ref="S48:T48"/>
    <mergeCell ref="S38:T38"/>
    <mergeCell ref="B40:H40"/>
    <mergeCell ref="J40:P40"/>
    <mergeCell ref="B44:H44"/>
    <mergeCell ref="J44:P44"/>
    <mergeCell ref="B42:H42"/>
    <mergeCell ref="J42:P42"/>
    <mergeCell ref="B38:H38"/>
    <mergeCell ref="J38:P38"/>
    <mergeCell ref="S36:T36"/>
    <mergeCell ref="B26:F26"/>
    <mergeCell ref="J26:P26"/>
    <mergeCell ref="B28:F28"/>
    <mergeCell ref="J28:P28"/>
    <mergeCell ref="B30:F30"/>
    <mergeCell ref="J30:P30"/>
    <mergeCell ref="B32:F32"/>
    <mergeCell ref="J32:P32"/>
    <mergeCell ref="B34:P34"/>
    <mergeCell ref="B36:H36"/>
    <mergeCell ref="J36:P36"/>
    <mergeCell ref="S18:T18"/>
    <mergeCell ref="B20:P20"/>
    <mergeCell ref="D22:H22"/>
    <mergeCell ref="J22:P22"/>
    <mergeCell ref="S22:T22"/>
    <mergeCell ref="B24:F24"/>
    <mergeCell ref="J24:P24"/>
    <mergeCell ref="B14:P14"/>
    <mergeCell ref="B16:D16"/>
    <mergeCell ref="F16:L16"/>
    <mergeCell ref="B18:D18"/>
    <mergeCell ref="F18:H18"/>
    <mergeCell ref="J18:N18"/>
    <mergeCell ref="N10:P10"/>
    <mergeCell ref="B12:D12"/>
    <mergeCell ref="F12:H12"/>
    <mergeCell ref="J12:L12"/>
    <mergeCell ref="N12:P12"/>
    <mergeCell ref="B100:D100"/>
    <mergeCell ref="S4:T4"/>
    <mergeCell ref="B2:D2"/>
    <mergeCell ref="F2:L2"/>
    <mergeCell ref="B4:D4"/>
    <mergeCell ref="F4:J4"/>
    <mergeCell ref="L4:N4"/>
    <mergeCell ref="B6:H6"/>
    <mergeCell ref="J6:P6"/>
    <mergeCell ref="B8:D8"/>
    <mergeCell ref="F8:H8"/>
    <mergeCell ref="J8:L8"/>
    <mergeCell ref="N8:P8"/>
    <mergeCell ref="B10:D10"/>
    <mergeCell ref="F10:H10"/>
    <mergeCell ref="J10:L10"/>
  </mergeCells>
  <dataValidations count="8">
    <dataValidation type="list" allowBlank="1" showInputMessage="1" showErrorMessage="1" sqref="J44:P46 J38:P38 J40:P40 J42:P42">
      <formula1>Resources</formula1>
    </dataValidation>
    <dataValidation type="list" allowBlank="1" showInputMessage="1" showErrorMessage="1" sqref="P17:P18 O18">
      <formula1>HD</formula1>
    </dataValidation>
    <dataValidation type="list" allowBlank="1" showInputMessage="1" showErrorMessage="1" sqref="B44:H46 B38:H38 B40:H40 B42:H42">
      <formula1>Tactics</formula1>
    </dataValidation>
    <dataValidation type="list" allowBlank="1" showInputMessage="1" showErrorMessage="1" sqref="B50:H50 B52:H52 B54:H54 B56:H56 B58:H58">
      <formula1>ArmySA</formula1>
    </dataValidation>
    <dataValidation type="list" allowBlank="1" showInputMessage="1" showErrorMessage="1" sqref="J24:P24 J26:P26 J28:P28 J30:P30 J32:P32">
      <formula1>Boons</formula1>
    </dataValidation>
    <dataValidation type="list" allowBlank="1" showInputMessage="1" showErrorMessage="1" sqref="N12:P12">
      <formula1>Morale</formula1>
    </dataValidation>
    <dataValidation type="list" allowBlank="1" showInputMessage="1" showErrorMessage="1" sqref="F4:J4">
      <formula1>ArmySize</formula1>
    </dataValidation>
    <dataValidation type="list" allowBlank="1" showInputMessage="1" showErrorMessage="1" sqref="P4 H32">
      <formula1>YN</formula1>
    </dataValidation>
  </dataValidation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Y178"/>
  <sheetViews>
    <sheetView workbookViewId="0">
      <selection activeCell="B46" sqref="A1:XFD1048576"/>
    </sheetView>
  </sheetViews>
  <sheetFormatPr defaultColWidth="9.140625" defaultRowHeight="15" x14ac:dyDescent="0.25"/>
  <cols>
    <col min="1" max="1" width="0.85546875" style="61" customWidth="1"/>
    <col min="2" max="2" width="9.85546875" style="61" customWidth="1"/>
    <col min="3" max="3" width="0.85546875" style="61" customWidth="1"/>
    <col min="4" max="4" width="9.7109375" style="61" customWidth="1"/>
    <col min="5" max="5" width="0.85546875" style="298" customWidth="1"/>
    <col min="6" max="6" width="6.28515625" style="298" customWidth="1"/>
    <col min="7" max="7" width="0.85546875" style="298" customWidth="1"/>
    <col min="8" max="8" width="6.28515625" style="61" customWidth="1"/>
    <col min="9" max="9" width="0.85546875" style="664" customWidth="1"/>
    <col min="10" max="10" width="9.85546875" style="61" customWidth="1"/>
    <col min="11" max="11" width="0.85546875" style="298" customWidth="1"/>
    <col min="12" max="12" width="9.7109375" style="298" customWidth="1"/>
    <col min="13" max="13" width="0.85546875" style="298" customWidth="1"/>
    <col min="14" max="14" width="6.28515625" style="298" bestFit="1" customWidth="1"/>
    <col min="15" max="15" width="0.85546875" style="298" customWidth="1"/>
    <col min="16" max="16" width="6.28515625" style="298" bestFit="1" customWidth="1"/>
    <col min="17" max="17" width="0.85546875" style="298" customWidth="1"/>
    <col min="18" max="18" width="9.140625" style="61"/>
    <col min="19" max="20" width="9.85546875" style="61" hidden="1" customWidth="1"/>
    <col min="21" max="21" width="0.85546875" style="61" hidden="1" customWidth="1"/>
    <col min="22" max="22" width="9.140625" style="61" hidden="1" customWidth="1"/>
    <col min="23" max="16384" width="9.140625" style="61"/>
  </cols>
  <sheetData>
    <row r="1" spans="1:22" ht="5.0999999999999996" customHeight="1" thickBot="1" x14ac:dyDescent="0.3">
      <c r="A1" s="241"/>
      <c r="B1" s="242"/>
      <c r="C1" s="242"/>
      <c r="D1" s="242"/>
      <c r="E1" s="242"/>
      <c r="F1" s="242"/>
      <c r="G1" s="242"/>
      <c r="H1" s="242"/>
      <c r="I1" s="242"/>
      <c r="J1" s="242"/>
      <c r="K1" s="242"/>
      <c r="L1" s="242"/>
      <c r="M1" s="242"/>
      <c r="N1" s="242"/>
      <c r="O1" s="242"/>
      <c r="P1" s="242"/>
      <c r="Q1" s="243"/>
    </row>
    <row r="2" spans="1:22" ht="15.75" thickBot="1" x14ac:dyDescent="0.3">
      <c r="A2" s="504"/>
      <c r="B2" s="800" t="s">
        <v>78</v>
      </c>
      <c r="C2" s="800"/>
      <c r="D2" s="800"/>
      <c r="E2" s="62"/>
      <c r="F2" s="797"/>
      <c r="G2" s="798"/>
      <c r="H2" s="798"/>
      <c r="I2" s="798"/>
      <c r="J2" s="798"/>
      <c r="K2" s="798"/>
      <c r="L2" s="799"/>
      <c r="M2" s="60"/>
      <c r="N2" s="663" t="s">
        <v>460</v>
      </c>
      <c r="O2" s="49"/>
      <c r="P2" s="257" t="str">
        <f>V6</f>
        <v>n/a</v>
      </c>
      <c r="Q2" s="238"/>
    </row>
    <row r="3" spans="1:22" s="65" customFormat="1" ht="3" customHeight="1" thickBot="1" x14ac:dyDescent="0.3">
      <c r="A3" s="505"/>
      <c r="B3" s="62"/>
      <c r="C3" s="62"/>
      <c r="D3" s="62"/>
      <c r="E3" s="62"/>
      <c r="F3" s="62"/>
      <c r="G3" s="62"/>
      <c r="H3" s="63"/>
      <c r="I3" s="298"/>
      <c r="J3" s="62"/>
      <c r="K3" s="62"/>
      <c r="L3" s="62"/>
      <c r="M3" s="62"/>
      <c r="N3" s="62"/>
      <c r="O3" s="62"/>
      <c r="P3" s="298"/>
      <c r="Q3" s="239"/>
    </row>
    <row r="4" spans="1:22" ht="15.75" thickBot="1" x14ac:dyDescent="0.3">
      <c r="A4" s="505"/>
      <c r="B4" s="800" t="s">
        <v>43</v>
      </c>
      <c r="C4" s="800"/>
      <c r="D4" s="800"/>
      <c r="E4" s="62"/>
      <c r="F4" s="797"/>
      <c r="G4" s="798"/>
      <c r="H4" s="798"/>
      <c r="I4" s="798"/>
      <c r="J4" s="799"/>
      <c r="K4" s="66"/>
      <c r="L4" s="814" t="s">
        <v>459</v>
      </c>
      <c r="M4" s="815"/>
      <c r="N4" s="815"/>
      <c r="P4" s="254"/>
      <c r="Q4" s="239"/>
      <c r="S4" s="765" t="s">
        <v>478</v>
      </c>
      <c r="T4" s="765"/>
      <c r="V4" s="258">
        <f>IF(F4="Fine",-8,IF(F4="Diminutive",-6,IF(F4="Tiny",-4,IF(F4="Small",-2,IF(F4="Large",2,IF(F4="Huge",4,IF(F4="Gargantuan",6,IF(F4="Colossal",8,0))))))))</f>
        <v>0</v>
      </c>
    </row>
    <row r="5" spans="1:22" s="65" customFormat="1" ht="3" customHeight="1" x14ac:dyDescent="0.25">
      <c r="A5" s="505"/>
      <c r="B5" s="62"/>
      <c r="C5" s="62"/>
      <c r="D5" s="62"/>
      <c r="E5" s="62"/>
      <c r="F5" s="62"/>
      <c r="G5" s="62"/>
      <c r="H5" s="67"/>
      <c r="I5" s="67"/>
      <c r="J5" s="298"/>
      <c r="K5" s="298"/>
      <c r="L5" s="298"/>
      <c r="M5" s="298"/>
      <c r="N5" s="298"/>
      <c r="O5" s="298"/>
      <c r="P5" s="298"/>
      <c r="Q5" s="239"/>
    </row>
    <row r="6" spans="1:22" x14ac:dyDescent="0.25">
      <c r="A6" s="505"/>
      <c r="B6" s="715" t="s">
        <v>217</v>
      </c>
      <c r="C6" s="715"/>
      <c r="D6" s="715"/>
      <c r="E6" s="715"/>
      <c r="F6" s="715"/>
      <c r="G6" s="715"/>
      <c r="H6" s="715"/>
      <c r="I6" s="504"/>
      <c r="J6" s="715" t="s">
        <v>220</v>
      </c>
      <c r="K6" s="715"/>
      <c r="L6" s="715"/>
      <c r="M6" s="715"/>
      <c r="N6" s="715"/>
      <c r="O6" s="715"/>
      <c r="P6" s="715"/>
      <c r="Q6" s="239"/>
      <c r="S6" s="61" t="s">
        <v>1691</v>
      </c>
      <c r="V6" s="61" t="str">
        <f>IF(P16&lt;&gt;"",IF(P16+V4&gt;-5,IF(P16+V4&lt;1,VLOOKUP(P16+V4,'Drop Down'!C88:D93,2,FALSE),P16+V4),"n/a"),"n/a")</f>
        <v>n/a</v>
      </c>
    </row>
    <row r="7" spans="1:22" ht="3" customHeight="1" thickBot="1" x14ac:dyDescent="0.3">
      <c r="A7" s="505"/>
      <c r="B7" s="664"/>
      <c r="C7" s="664"/>
      <c r="D7" s="664"/>
      <c r="H7" s="664"/>
      <c r="J7" s="664"/>
      <c r="Q7" s="239"/>
    </row>
    <row r="8" spans="1:22" ht="15.75" thickBot="1" x14ac:dyDescent="0.3">
      <c r="A8" s="505"/>
      <c r="B8" s="765" t="s">
        <v>462</v>
      </c>
      <c r="C8" s="765"/>
      <c r="D8" s="765"/>
      <c r="E8" s="556"/>
      <c r="F8" s="811" t="str">
        <f>IF(P2="n/a","n/a",ROUNDDOWN(V18*P2,0))</f>
        <v>n/a</v>
      </c>
      <c r="G8" s="812"/>
      <c r="H8" s="813"/>
      <c r="I8" s="504"/>
      <c r="J8" s="765" t="s">
        <v>157</v>
      </c>
      <c r="K8" s="765"/>
      <c r="L8" s="765"/>
      <c r="M8" s="504"/>
      <c r="N8" s="676" t="str">
        <f>IF(F18&lt;&gt;"",IF(ROUNDDOWN(F18/15,0)&lt;1,1,ROUNDDOWN(F18/15,0)),"n/a")</f>
        <v>n/a</v>
      </c>
      <c r="O8" s="804"/>
      <c r="P8" s="677"/>
      <c r="Q8" s="239"/>
    </row>
    <row r="9" spans="1:22" ht="3" customHeight="1" thickBot="1" x14ac:dyDescent="0.3">
      <c r="A9" s="505"/>
      <c r="B9" s="60"/>
      <c r="C9" s="60"/>
      <c r="D9" s="60"/>
      <c r="H9" s="664"/>
      <c r="J9" s="664"/>
      <c r="L9" s="60"/>
      <c r="Q9" s="239"/>
    </row>
    <row r="10" spans="1:22" ht="15.75" thickBot="1" x14ac:dyDescent="0.3">
      <c r="A10" s="505"/>
      <c r="B10" s="765" t="s">
        <v>463</v>
      </c>
      <c r="C10" s="765"/>
      <c r="D10" s="765"/>
      <c r="E10" s="556"/>
      <c r="F10" s="676" t="str">
        <f>IF(P2="n/a","n/a",CONCATENATE("+",(P2+F95),IF(F99&gt;0,", ranged","")))</f>
        <v>n/a</v>
      </c>
      <c r="G10" s="804"/>
      <c r="H10" s="677"/>
      <c r="I10" s="504"/>
      <c r="J10" s="765" t="s">
        <v>61</v>
      </c>
      <c r="K10" s="765"/>
      <c r="L10" s="765"/>
      <c r="M10" s="504"/>
      <c r="N10" s="676" t="str">
        <f>IF(P2="n/a","n/a",(IF(P2/2&lt;1,1,ROUNDDOWN(P2/2,0))+F98))</f>
        <v>n/a</v>
      </c>
      <c r="O10" s="804"/>
      <c r="P10" s="677"/>
      <c r="Q10" s="239"/>
    </row>
    <row r="11" spans="1:22" ht="3" customHeight="1" thickBot="1" x14ac:dyDescent="0.3">
      <c r="A11" s="505"/>
      <c r="B11" s="60"/>
      <c r="C11" s="60"/>
      <c r="D11" s="60"/>
      <c r="H11" s="664"/>
      <c r="J11" s="664"/>
      <c r="L11" s="60"/>
      <c r="Q11" s="239"/>
    </row>
    <row r="12" spans="1:22" ht="15.75" thickBot="1" x14ac:dyDescent="0.3">
      <c r="A12" s="505"/>
      <c r="B12" s="765" t="s">
        <v>464</v>
      </c>
      <c r="C12" s="765"/>
      <c r="D12" s="765"/>
      <c r="E12" s="556"/>
      <c r="F12" s="676" t="str">
        <f>IF(P2="n/a","n/a",10+P2+F96)</f>
        <v>n/a</v>
      </c>
      <c r="G12" s="804"/>
      <c r="H12" s="677"/>
      <c r="I12" s="504"/>
      <c r="J12" s="765" t="s">
        <v>160</v>
      </c>
      <c r="K12" s="765"/>
      <c r="L12" s="765"/>
      <c r="M12" s="504"/>
      <c r="N12" s="762" t="s">
        <v>601</v>
      </c>
      <c r="O12" s="763"/>
      <c r="P12" s="764"/>
      <c r="Q12" s="239"/>
    </row>
    <row r="13" spans="1:22" ht="3" customHeight="1" x14ac:dyDescent="0.25">
      <c r="A13" s="505"/>
      <c r="B13" s="664"/>
      <c r="C13" s="664"/>
      <c r="D13" s="664"/>
      <c r="H13" s="664"/>
      <c r="J13" s="664"/>
      <c r="Q13" s="239"/>
    </row>
    <row r="14" spans="1:22" x14ac:dyDescent="0.25">
      <c r="A14" s="505"/>
      <c r="B14" s="715" t="s">
        <v>470</v>
      </c>
      <c r="C14" s="715"/>
      <c r="D14" s="715"/>
      <c r="E14" s="715"/>
      <c r="F14" s="715"/>
      <c r="G14" s="715"/>
      <c r="H14" s="715"/>
      <c r="I14" s="715"/>
      <c r="J14" s="715"/>
      <c r="K14" s="715"/>
      <c r="L14" s="715"/>
      <c r="M14" s="715"/>
      <c r="N14" s="715"/>
      <c r="O14" s="715"/>
      <c r="P14" s="715"/>
      <c r="Q14" s="239"/>
    </row>
    <row r="15" spans="1:22" ht="3" customHeight="1" thickBot="1" x14ac:dyDescent="0.3">
      <c r="A15" s="505"/>
      <c r="B15" s="664"/>
      <c r="C15" s="664"/>
      <c r="D15" s="664"/>
      <c r="H15" s="664"/>
      <c r="J15" s="664"/>
      <c r="P15" s="71"/>
      <c r="Q15" s="239"/>
    </row>
    <row r="16" spans="1:22" ht="15.75" thickBot="1" x14ac:dyDescent="0.3">
      <c r="A16" s="505"/>
      <c r="B16" s="800" t="s">
        <v>84</v>
      </c>
      <c r="C16" s="800"/>
      <c r="D16" s="800"/>
      <c r="E16" s="62"/>
      <c r="F16" s="797"/>
      <c r="G16" s="798"/>
      <c r="H16" s="798"/>
      <c r="I16" s="798"/>
      <c r="J16" s="798"/>
      <c r="K16" s="798"/>
      <c r="L16" s="799"/>
      <c r="M16" s="658"/>
      <c r="N16" s="663" t="s">
        <v>159</v>
      </c>
      <c r="O16" s="658"/>
      <c r="P16" s="255"/>
      <c r="Q16" s="239"/>
    </row>
    <row r="17" spans="1:22" ht="3" customHeight="1" thickBot="1" x14ac:dyDescent="0.3">
      <c r="A17" s="505"/>
      <c r="B17" s="664"/>
      <c r="C17" s="664"/>
      <c r="D17" s="664"/>
      <c r="H17" s="664"/>
      <c r="I17" s="504"/>
      <c r="J17" s="664"/>
      <c r="N17" s="62" t="s">
        <v>162</v>
      </c>
      <c r="O17" s="658"/>
      <c r="P17" s="235"/>
      <c r="Q17" s="239"/>
    </row>
    <row r="18" spans="1:22" ht="15.75" thickBot="1" x14ac:dyDescent="0.3">
      <c r="A18" s="505"/>
      <c r="B18" s="765" t="s">
        <v>157</v>
      </c>
      <c r="C18" s="765"/>
      <c r="D18" s="765"/>
      <c r="E18" s="556"/>
      <c r="F18" s="805"/>
      <c r="G18" s="806"/>
      <c r="H18" s="807"/>
      <c r="I18" s="504"/>
      <c r="J18" s="765" t="s">
        <v>471</v>
      </c>
      <c r="K18" s="765"/>
      <c r="L18" s="765"/>
      <c r="M18" s="765"/>
      <c r="N18" s="765"/>
      <c r="O18" s="503"/>
      <c r="P18" s="254"/>
      <c r="Q18" s="239"/>
      <c r="S18" s="765" t="s">
        <v>461</v>
      </c>
      <c r="T18" s="765"/>
      <c r="V18" s="258">
        <f>IF(P18="d6",3.5,IF(P18="d8",4.5,IF(P18="d10",5.5,IF(P18="d12",6.5,0))))</f>
        <v>0</v>
      </c>
    </row>
    <row r="19" spans="1:22" s="65" customFormat="1" ht="3" customHeight="1" x14ac:dyDescent="0.25">
      <c r="A19" s="505"/>
      <c r="B19" s="234"/>
      <c r="C19" s="234"/>
      <c r="D19" s="234"/>
      <c r="E19" s="67"/>
      <c r="F19" s="67"/>
      <c r="G19" s="67"/>
      <c r="H19" s="67"/>
      <c r="I19" s="63"/>
      <c r="J19" s="234"/>
      <c r="K19" s="63"/>
      <c r="L19" s="63"/>
      <c r="M19" s="63"/>
      <c r="N19" s="63"/>
      <c r="O19" s="63"/>
      <c r="P19" s="63"/>
      <c r="Q19" s="239"/>
    </row>
    <row r="20" spans="1:22" x14ac:dyDescent="0.25">
      <c r="A20" s="505"/>
      <c r="B20" s="715" t="s">
        <v>468</v>
      </c>
      <c r="C20" s="715"/>
      <c r="D20" s="715"/>
      <c r="E20" s="715"/>
      <c r="F20" s="715"/>
      <c r="G20" s="715"/>
      <c r="H20" s="715"/>
      <c r="I20" s="715"/>
      <c r="J20" s="715"/>
      <c r="K20" s="715"/>
      <c r="L20" s="715"/>
      <c r="M20" s="715"/>
      <c r="N20" s="715"/>
      <c r="O20" s="715"/>
      <c r="P20" s="715"/>
      <c r="Q20" s="239"/>
    </row>
    <row r="21" spans="1:22" ht="3" customHeight="1" thickBot="1" x14ac:dyDescent="0.3">
      <c r="A21" s="505"/>
      <c r="B21" s="193"/>
      <c r="C21" s="193"/>
      <c r="D21" s="193"/>
      <c r="E21" s="193"/>
      <c r="F21" s="193"/>
      <c r="G21" s="193"/>
      <c r="H21" s="193"/>
      <c r="I21" s="193"/>
      <c r="J21" s="193"/>
      <c r="K21" s="193"/>
      <c r="L21" s="193"/>
      <c r="M21" s="193"/>
      <c r="N21" s="193"/>
      <c r="O21" s="193"/>
      <c r="P21" s="193"/>
      <c r="Q21" s="239"/>
    </row>
    <row r="22" spans="1:22" s="233" customFormat="1" ht="15.75" thickBot="1" x14ac:dyDescent="0.3">
      <c r="A22" s="505"/>
      <c r="B22" s="663" t="s">
        <v>78</v>
      </c>
      <c r="C22" s="62"/>
      <c r="D22" s="808"/>
      <c r="E22" s="809"/>
      <c r="F22" s="809"/>
      <c r="G22" s="809"/>
      <c r="H22" s="810"/>
      <c r="I22" s="248"/>
      <c r="J22" s="715" t="s">
        <v>482</v>
      </c>
      <c r="K22" s="715"/>
      <c r="L22" s="715"/>
      <c r="M22" s="715"/>
      <c r="N22" s="715"/>
      <c r="O22" s="715"/>
      <c r="P22" s="715"/>
      <c r="Q22" s="239"/>
      <c r="S22" s="765" t="s">
        <v>482</v>
      </c>
      <c r="T22" s="765"/>
      <c r="V22" s="233" t="str">
        <f>CONCATENATE(IF(J24&lt;&gt;0,J24,""),IF(J26&lt;&gt;0,CONCATENATE(", ",J26),""),IF(J28&lt;&gt;0,CONCATENATE(", ",J28),""),IF(J30&lt;&gt;0,CONCATENATE(", ",J30),""),IF(J32&lt;&gt;0,CONCATENATE(", ",J32),""))</f>
        <v/>
      </c>
    </row>
    <row r="23" spans="1:22" s="233" customFormat="1" ht="3" customHeight="1" thickBot="1" x14ac:dyDescent="0.3">
      <c r="A23" s="505"/>
      <c r="B23" s="153"/>
      <c r="C23" s="153"/>
      <c r="D23" s="153"/>
      <c r="E23" s="153"/>
      <c r="F23" s="153"/>
      <c r="G23" s="153"/>
      <c r="H23" s="153"/>
      <c r="I23" s="153"/>
      <c r="J23" s="153"/>
      <c r="K23" s="153"/>
      <c r="L23" s="153"/>
      <c r="M23" s="153"/>
      <c r="N23" s="153"/>
      <c r="O23" s="153"/>
      <c r="P23" s="153"/>
      <c r="Q23" s="239"/>
    </row>
    <row r="24" spans="1:22" s="233" customFormat="1" ht="15.75" thickBot="1" x14ac:dyDescent="0.3">
      <c r="A24" s="505"/>
      <c r="B24" s="765" t="s">
        <v>55</v>
      </c>
      <c r="C24" s="765"/>
      <c r="D24" s="765"/>
      <c r="E24" s="765"/>
      <c r="F24" s="765"/>
      <c r="G24" s="250"/>
      <c r="H24" s="150">
        <f>IF(H32="Yes",H26+H28+3,H26+H28)</f>
        <v>0</v>
      </c>
      <c r="I24" s="153"/>
      <c r="J24" s="801"/>
      <c r="K24" s="802"/>
      <c r="L24" s="802"/>
      <c r="M24" s="802"/>
      <c r="N24" s="802"/>
      <c r="O24" s="802"/>
      <c r="P24" s="803"/>
      <c r="Q24" s="239"/>
    </row>
    <row r="25" spans="1:22" s="233" customFormat="1" ht="3" customHeight="1" thickBot="1" x14ac:dyDescent="0.3">
      <c r="A25" s="505"/>
      <c r="G25" s="260"/>
      <c r="I25" s="153"/>
      <c r="J25" s="69"/>
      <c r="K25" s="69"/>
      <c r="L25" s="69"/>
      <c r="M25" s="69"/>
      <c r="N25" s="69"/>
      <c r="O25" s="69"/>
      <c r="P25" s="69"/>
      <c r="Q25" s="239"/>
    </row>
    <row r="26" spans="1:22" s="233" customFormat="1" ht="15.75" thickBot="1" x14ac:dyDescent="0.3">
      <c r="A26" s="505"/>
      <c r="B26" s="765" t="s">
        <v>483</v>
      </c>
      <c r="C26" s="765"/>
      <c r="D26" s="765"/>
      <c r="E26" s="765"/>
      <c r="F26" s="765"/>
      <c r="G26" s="250"/>
      <c r="H26" s="270"/>
      <c r="I26" s="153"/>
      <c r="J26" s="801"/>
      <c r="K26" s="802"/>
      <c r="L26" s="802"/>
      <c r="M26" s="802"/>
      <c r="N26" s="802"/>
      <c r="O26" s="802"/>
      <c r="P26" s="803"/>
      <c r="Q26" s="239"/>
    </row>
    <row r="27" spans="1:22" s="233" customFormat="1" ht="3" customHeight="1" thickBot="1" x14ac:dyDescent="0.3">
      <c r="A27" s="505"/>
      <c r="B27" s="153"/>
      <c r="C27" s="153"/>
      <c r="D27" s="153"/>
      <c r="E27" s="153"/>
      <c r="F27" s="153"/>
      <c r="G27" s="153"/>
      <c r="H27" s="153"/>
      <c r="I27" s="153"/>
      <c r="J27" s="69"/>
      <c r="K27" s="69"/>
      <c r="L27" s="69"/>
      <c r="M27" s="69"/>
      <c r="N27" s="69"/>
      <c r="O27" s="69"/>
      <c r="P27" s="69"/>
      <c r="Q27" s="239"/>
    </row>
    <row r="28" spans="1:22" s="233" customFormat="1" ht="15.75" thickBot="1" x14ac:dyDescent="0.3">
      <c r="A28" s="505"/>
      <c r="B28" s="765" t="s">
        <v>479</v>
      </c>
      <c r="C28" s="765"/>
      <c r="D28" s="765"/>
      <c r="E28" s="765"/>
      <c r="F28" s="765"/>
      <c r="G28" s="250"/>
      <c r="H28" s="270"/>
      <c r="I28" s="153"/>
      <c r="J28" s="801"/>
      <c r="K28" s="802"/>
      <c r="L28" s="802"/>
      <c r="M28" s="802"/>
      <c r="N28" s="802"/>
      <c r="O28" s="802"/>
      <c r="P28" s="803"/>
      <c r="Q28" s="239"/>
    </row>
    <row r="29" spans="1:22" ht="3" customHeight="1" thickBot="1" x14ac:dyDescent="0.3">
      <c r="A29" s="505"/>
      <c r="B29" s="664"/>
      <c r="C29" s="664"/>
      <c r="D29" s="664"/>
      <c r="H29" s="664"/>
      <c r="J29" s="69"/>
      <c r="K29" s="69"/>
      <c r="L29" s="69"/>
      <c r="M29" s="69"/>
      <c r="N29" s="69"/>
      <c r="O29" s="69"/>
      <c r="P29" s="69"/>
      <c r="Q29" s="239"/>
    </row>
    <row r="30" spans="1:22" ht="15.75" thickBot="1" x14ac:dyDescent="0.3">
      <c r="A30" s="505"/>
      <c r="B30" s="765" t="s">
        <v>481</v>
      </c>
      <c r="C30" s="765"/>
      <c r="D30" s="765"/>
      <c r="E30" s="765"/>
      <c r="F30" s="765"/>
      <c r="H30" s="270"/>
      <c r="J30" s="801"/>
      <c r="K30" s="802"/>
      <c r="L30" s="802"/>
      <c r="M30" s="802"/>
      <c r="N30" s="802"/>
      <c r="O30" s="802"/>
      <c r="P30" s="803"/>
      <c r="Q30" s="239"/>
    </row>
    <row r="31" spans="1:22" ht="3" customHeight="1" thickBot="1" x14ac:dyDescent="0.3">
      <c r="A31" s="505"/>
      <c r="B31" s="664"/>
      <c r="C31" s="664"/>
      <c r="D31" s="664"/>
      <c r="H31" s="664"/>
      <c r="J31" s="73"/>
      <c r="K31" s="73"/>
      <c r="L31" s="73"/>
      <c r="M31" s="73"/>
      <c r="N31" s="73"/>
      <c r="O31" s="73"/>
      <c r="P31" s="73"/>
      <c r="Q31" s="239"/>
    </row>
    <row r="32" spans="1:22" ht="15.75" thickBot="1" x14ac:dyDescent="0.3">
      <c r="A32" s="505"/>
      <c r="B32" s="765" t="s">
        <v>467</v>
      </c>
      <c r="C32" s="765"/>
      <c r="D32" s="765"/>
      <c r="E32" s="765"/>
      <c r="F32" s="765"/>
      <c r="H32" s="256"/>
      <c r="J32" s="801"/>
      <c r="K32" s="802"/>
      <c r="L32" s="802"/>
      <c r="M32" s="802"/>
      <c r="N32" s="802"/>
      <c r="O32" s="802"/>
      <c r="P32" s="803"/>
      <c r="Q32" s="239"/>
    </row>
    <row r="33" spans="1:25" ht="3" customHeight="1" x14ac:dyDescent="0.25">
      <c r="A33" s="505"/>
      <c r="B33" s="664"/>
      <c r="C33" s="664"/>
      <c r="D33" s="664"/>
      <c r="H33" s="664"/>
      <c r="J33" s="73"/>
      <c r="K33" s="73"/>
      <c r="L33" s="73"/>
      <c r="M33" s="73"/>
      <c r="N33" s="73"/>
      <c r="O33" s="73"/>
      <c r="P33" s="73"/>
      <c r="Q33" s="239"/>
    </row>
    <row r="34" spans="1:25" x14ac:dyDescent="0.25">
      <c r="A34" s="505"/>
      <c r="B34" s="715" t="s">
        <v>469</v>
      </c>
      <c r="C34" s="715"/>
      <c r="D34" s="715"/>
      <c r="E34" s="715"/>
      <c r="F34" s="715"/>
      <c r="G34" s="715"/>
      <c r="H34" s="715"/>
      <c r="I34" s="715"/>
      <c r="J34" s="715"/>
      <c r="K34" s="715"/>
      <c r="L34" s="715"/>
      <c r="M34" s="715"/>
      <c r="N34" s="715"/>
      <c r="O34" s="715"/>
      <c r="P34" s="715"/>
      <c r="Q34" s="239"/>
    </row>
    <row r="35" spans="1:25" ht="3" customHeight="1" x14ac:dyDescent="0.25">
      <c r="A35" s="505"/>
      <c r="B35" s="664"/>
      <c r="C35" s="664"/>
      <c r="D35" s="664"/>
      <c r="H35" s="664"/>
      <c r="J35" s="664"/>
      <c r="Q35" s="239"/>
    </row>
    <row r="36" spans="1:25" x14ac:dyDescent="0.25">
      <c r="A36" s="505"/>
      <c r="B36" s="715" t="s">
        <v>158</v>
      </c>
      <c r="C36" s="715"/>
      <c r="D36" s="715"/>
      <c r="E36" s="715"/>
      <c r="F36" s="715"/>
      <c r="G36" s="715"/>
      <c r="H36" s="715"/>
      <c r="I36" s="504"/>
      <c r="J36" s="715" t="s">
        <v>56</v>
      </c>
      <c r="K36" s="715"/>
      <c r="L36" s="715"/>
      <c r="M36" s="715"/>
      <c r="N36" s="715"/>
      <c r="O36" s="715"/>
      <c r="P36" s="715"/>
      <c r="Q36" s="239"/>
      <c r="S36" s="765" t="s">
        <v>158</v>
      </c>
      <c r="T36" s="765"/>
      <c r="U36" s="193"/>
      <c r="V36" s="504" t="str">
        <f>CONCATENATE(IF(B38&lt;&gt;0,B38,""),IF(B40&lt;&gt;0,CONCATENATE(", ",B40),""),IF(B42&lt;&gt;0,CONCATENATE(", ",B42),""),IF(B44&lt;&gt;0,CONCATENATE(", ",B44),""),IF(B46&lt;&gt;0,CONCATENATE(", ",B46),""))</f>
        <v/>
      </c>
      <c r="W36" s="504"/>
      <c r="X36" s="504"/>
      <c r="Y36" s="504"/>
    </row>
    <row r="37" spans="1:25" s="664" customFormat="1" ht="3" customHeight="1" thickBot="1" x14ac:dyDescent="0.3">
      <c r="A37" s="505"/>
      <c r="B37" s="69"/>
      <c r="C37" s="69"/>
      <c r="D37" s="69"/>
      <c r="E37" s="69"/>
      <c r="F37" s="69"/>
      <c r="G37" s="69"/>
      <c r="H37" s="69"/>
      <c r="I37" s="69"/>
      <c r="J37" s="69"/>
      <c r="K37" s="69"/>
      <c r="L37" s="69"/>
      <c r="M37" s="69"/>
      <c r="N37" s="69"/>
      <c r="O37" s="69"/>
      <c r="P37" s="69"/>
      <c r="Q37" s="239"/>
    </row>
    <row r="38" spans="1:25" s="664" customFormat="1" ht="15.75" thickBot="1" x14ac:dyDescent="0.3">
      <c r="A38" s="505"/>
      <c r="B38" s="801"/>
      <c r="C38" s="802"/>
      <c r="D38" s="802"/>
      <c r="E38" s="802"/>
      <c r="F38" s="802"/>
      <c r="G38" s="802"/>
      <c r="H38" s="803"/>
      <c r="I38" s="69"/>
      <c r="J38" s="801"/>
      <c r="K38" s="802"/>
      <c r="L38" s="802"/>
      <c r="M38" s="802"/>
      <c r="N38" s="802"/>
      <c r="O38" s="802"/>
      <c r="P38" s="803"/>
      <c r="Q38" s="239"/>
      <c r="S38" s="765" t="s">
        <v>56</v>
      </c>
      <c r="T38" s="765"/>
      <c r="V38" s="664" t="str">
        <f>CONCATENATE(IF(J38&lt;&gt;0,J38,""),IF(J40&lt;&gt;0,CONCATENATE(", ",J40),""),IF(J42&lt;&gt;0,CONCATENATE(", ",J42),""),IF(J44&lt;&gt;0,CONCATENATE(", ",J44),""),IF(J46&lt;&gt;0,CONCATENATE(", ",J46),""))</f>
        <v/>
      </c>
    </row>
    <row r="39" spans="1:25" s="664" customFormat="1" ht="3" customHeight="1" thickBot="1" x14ac:dyDescent="0.3">
      <c r="A39" s="505"/>
      <c r="B39" s="69"/>
      <c r="C39" s="69"/>
      <c r="D39" s="69"/>
      <c r="E39" s="69"/>
      <c r="F39" s="69"/>
      <c r="G39" s="69"/>
      <c r="H39" s="69"/>
      <c r="I39" s="69"/>
      <c r="J39" s="69"/>
      <c r="K39" s="69"/>
      <c r="L39" s="69"/>
      <c r="M39" s="69"/>
      <c r="N39" s="69"/>
      <c r="O39" s="69"/>
      <c r="P39" s="69"/>
      <c r="Q39" s="239"/>
    </row>
    <row r="40" spans="1:25" s="664" customFormat="1" ht="15.75" thickBot="1" x14ac:dyDescent="0.3">
      <c r="A40" s="505"/>
      <c r="B40" s="801"/>
      <c r="C40" s="802"/>
      <c r="D40" s="802"/>
      <c r="E40" s="802"/>
      <c r="F40" s="802"/>
      <c r="G40" s="802"/>
      <c r="H40" s="803"/>
      <c r="I40" s="69"/>
      <c r="J40" s="801"/>
      <c r="K40" s="802"/>
      <c r="L40" s="802"/>
      <c r="M40" s="802"/>
      <c r="N40" s="802"/>
      <c r="O40" s="802"/>
      <c r="P40" s="803"/>
      <c r="Q40" s="239"/>
    </row>
    <row r="41" spans="1:25" s="664" customFormat="1" ht="3" customHeight="1" thickBot="1" x14ac:dyDescent="0.3">
      <c r="A41" s="505"/>
      <c r="B41" s="69"/>
      <c r="C41" s="69"/>
      <c r="D41" s="69"/>
      <c r="E41" s="69"/>
      <c r="F41" s="69"/>
      <c r="G41" s="69"/>
      <c r="H41" s="69"/>
      <c r="I41" s="69"/>
      <c r="J41" s="69"/>
      <c r="K41" s="69"/>
      <c r="L41" s="69"/>
      <c r="M41" s="69"/>
      <c r="N41" s="69"/>
      <c r="O41" s="69"/>
      <c r="P41" s="69"/>
      <c r="Q41" s="239"/>
    </row>
    <row r="42" spans="1:25" s="664" customFormat="1" ht="15.75" thickBot="1" x14ac:dyDescent="0.3">
      <c r="A42" s="505"/>
      <c r="B42" s="801"/>
      <c r="C42" s="802"/>
      <c r="D42" s="802"/>
      <c r="E42" s="802"/>
      <c r="F42" s="802"/>
      <c r="G42" s="802"/>
      <c r="H42" s="803"/>
      <c r="I42" s="69"/>
      <c r="J42" s="801"/>
      <c r="K42" s="802"/>
      <c r="L42" s="802"/>
      <c r="M42" s="802"/>
      <c r="N42" s="802"/>
      <c r="O42" s="802"/>
      <c r="P42" s="803"/>
      <c r="Q42" s="239"/>
    </row>
    <row r="43" spans="1:25" s="664" customFormat="1" ht="3" customHeight="1" thickBot="1" x14ac:dyDescent="0.3">
      <c r="A43" s="505"/>
      <c r="B43" s="69"/>
      <c r="C43" s="69"/>
      <c r="D43" s="69"/>
      <c r="E43" s="69"/>
      <c r="F43" s="69"/>
      <c r="G43" s="69"/>
      <c r="H43" s="69"/>
      <c r="I43" s="69"/>
      <c r="J43" s="69"/>
      <c r="K43" s="69"/>
      <c r="L43" s="69"/>
      <c r="M43" s="69"/>
      <c r="N43" s="69"/>
      <c r="O43" s="69"/>
      <c r="P43" s="69"/>
      <c r="Q43" s="239"/>
    </row>
    <row r="44" spans="1:25" s="664" customFormat="1" ht="15.75" thickBot="1" x14ac:dyDescent="0.3">
      <c r="A44" s="505"/>
      <c r="B44" s="801"/>
      <c r="C44" s="802"/>
      <c r="D44" s="802"/>
      <c r="E44" s="802"/>
      <c r="F44" s="802"/>
      <c r="G44" s="802"/>
      <c r="H44" s="803"/>
      <c r="I44" s="69"/>
      <c r="J44" s="801"/>
      <c r="K44" s="802"/>
      <c r="L44" s="802"/>
      <c r="M44" s="802"/>
      <c r="N44" s="802"/>
      <c r="O44" s="802"/>
      <c r="P44" s="803"/>
      <c r="Q44" s="239"/>
    </row>
    <row r="45" spans="1:25" s="664" customFormat="1" ht="3" customHeight="1" thickBot="1" x14ac:dyDescent="0.3">
      <c r="A45" s="505"/>
      <c r="B45" s="261"/>
      <c r="C45" s="261"/>
      <c r="D45" s="261"/>
      <c r="E45" s="261"/>
      <c r="F45" s="261"/>
      <c r="G45" s="261"/>
      <c r="H45" s="261"/>
      <c r="I45" s="69"/>
      <c r="J45" s="69"/>
      <c r="K45" s="69"/>
      <c r="L45" s="69"/>
      <c r="M45" s="69"/>
      <c r="N45" s="69"/>
      <c r="O45" s="69"/>
      <c r="P45" s="69"/>
      <c r="Q45" s="239"/>
    </row>
    <row r="46" spans="1:25" s="664" customFormat="1" ht="15.75" thickBot="1" x14ac:dyDescent="0.3">
      <c r="A46" s="505"/>
      <c r="B46" s="801"/>
      <c r="C46" s="802"/>
      <c r="D46" s="802"/>
      <c r="E46" s="802"/>
      <c r="F46" s="802"/>
      <c r="G46" s="802"/>
      <c r="H46" s="803"/>
      <c r="I46" s="69"/>
      <c r="J46" s="801"/>
      <c r="K46" s="802"/>
      <c r="L46" s="802"/>
      <c r="M46" s="802"/>
      <c r="N46" s="802"/>
      <c r="O46" s="802"/>
      <c r="P46" s="803"/>
      <c r="Q46" s="239"/>
    </row>
    <row r="47" spans="1:25" ht="3" customHeight="1" x14ac:dyDescent="0.25">
      <c r="A47" s="505"/>
      <c r="B47" s="664"/>
      <c r="C47" s="664"/>
      <c r="D47" s="664"/>
      <c r="H47" s="664"/>
      <c r="J47" s="664"/>
      <c r="Q47" s="239"/>
    </row>
    <row r="48" spans="1:25" x14ac:dyDescent="0.25">
      <c r="A48" s="505"/>
      <c r="B48" s="715" t="s">
        <v>161</v>
      </c>
      <c r="C48" s="715"/>
      <c r="D48" s="715"/>
      <c r="E48" s="715"/>
      <c r="F48" s="715"/>
      <c r="G48" s="715"/>
      <c r="H48" s="715"/>
      <c r="I48" s="504"/>
      <c r="J48" s="715" t="s">
        <v>480</v>
      </c>
      <c r="K48" s="715"/>
      <c r="L48" s="715"/>
      <c r="M48" s="715"/>
      <c r="N48" s="715"/>
      <c r="O48" s="715"/>
      <c r="P48" s="715"/>
      <c r="Q48" s="239"/>
      <c r="S48" s="765" t="s">
        <v>161</v>
      </c>
      <c r="T48" s="765"/>
      <c r="V48" s="61" t="str">
        <f>CONCATENATE(IF(B50&lt;&gt;0,B50,""),IF(B52&lt;&gt;0,CONCATENATE(", ",B52),""),IF(B54&lt;&gt;0,CONCATENATE(", ",B54),""),IF(B56&lt;&gt;0,CONCATENATE(", ",B56),""),IF(B58&lt;&gt;0,CONCATENATE(", ",B58),""))</f>
        <v/>
      </c>
    </row>
    <row r="49" spans="1:17" s="664" customFormat="1" ht="3" customHeight="1" thickBot="1" x14ac:dyDescent="0.3">
      <c r="A49" s="505"/>
      <c r="B49" s="69"/>
      <c r="C49" s="69"/>
      <c r="D49" s="69"/>
      <c r="E49" s="69"/>
      <c r="F49" s="69"/>
      <c r="G49" s="69"/>
      <c r="H49" s="69"/>
      <c r="I49" s="69"/>
      <c r="J49" s="69"/>
      <c r="K49" s="69"/>
      <c r="L49" s="69"/>
      <c r="M49" s="69"/>
      <c r="N49" s="69"/>
      <c r="O49" s="69"/>
      <c r="P49" s="69"/>
      <c r="Q49" s="239"/>
    </row>
    <row r="50" spans="1:17" s="664" customFormat="1" ht="15.75" thickBot="1" x14ac:dyDescent="0.3">
      <c r="A50" s="505"/>
      <c r="B50" s="801"/>
      <c r="C50" s="802"/>
      <c r="D50" s="802"/>
      <c r="E50" s="802"/>
      <c r="F50" s="802"/>
      <c r="G50" s="802"/>
      <c r="H50" s="803"/>
      <c r="I50" s="69"/>
      <c r="J50" s="816"/>
      <c r="K50" s="817"/>
      <c r="L50" s="817"/>
      <c r="M50" s="817"/>
      <c r="N50" s="817"/>
      <c r="O50" s="817"/>
      <c r="P50" s="818"/>
      <c r="Q50" s="239"/>
    </row>
    <row r="51" spans="1:17" s="664" customFormat="1" ht="3" customHeight="1" thickBot="1" x14ac:dyDescent="0.3">
      <c r="A51" s="505"/>
      <c r="B51" s="69"/>
      <c r="C51" s="69"/>
      <c r="D51" s="69"/>
      <c r="E51" s="69"/>
      <c r="F51" s="69"/>
      <c r="G51" s="69"/>
      <c r="H51" s="69"/>
      <c r="I51" s="69"/>
      <c r="J51" s="819"/>
      <c r="K51" s="820"/>
      <c r="L51" s="820"/>
      <c r="M51" s="820"/>
      <c r="N51" s="820"/>
      <c r="O51" s="820"/>
      <c r="P51" s="821"/>
      <c r="Q51" s="239"/>
    </row>
    <row r="52" spans="1:17" s="664" customFormat="1" ht="15.75" thickBot="1" x14ac:dyDescent="0.3">
      <c r="A52" s="505"/>
      <c r="B52" s="801"/>
      <c r="C52" s="802"/>
      <c r="D52" s="802"/>
      <c r="E52" s="802"/>
      <c r="F52" s="802"/>
      <c r="G52" s="802"/>
      <c r="H52" s="803"/>
      <c r="I52" s="69"/>
      <c r="J52" s="819"/>
      <c r="K52" s="820"/>
      <c r="L52" s="820"/>
      <c r="M52" s="820"/>
      <c r="N52" s="820"/>
      <c r="O52" s="820"/>
      <c r="P52" s="821"/>
      <c r="Q52" s="239"/>
    </row>
    <row r="53" spans="1:17" s="664" customFormat="1" ht="3" customHeight="1" thickBot="1" x14ac:dyDescent="0.3">
      <c r="A53" s="505"/>
      <c r="B53" s="69"/>
      <c r="C53" s="69"/>
      <c r="D53" s="69"/>
      <c r="E53" s="69"/>
      <c r="F53" s="69"/>
      <c r="G53" s="69"/>
      <c r="H53" s="69"/>
      <c r="I53" s="69"/>
      <c r="J53" s="819"/>
      <c r="K53" s="820"/>
      <c r="L53" s="820"/>
      <c r="M53" s="820"/>
      <c r="N53" s="820"/>
      <c r="O53" s="820"/>
      <c r="P53" s="821"/>
      <c r="Q53" s="239"/>
    </row>
    <row r="54" spans="1:17" s="664" customFormat="1" ht="15.75" thickBot="1" x14ac:dyDescent="0.3">
      <c r="A54" s="505"/>
      <c r="B54" s="801"/>
      <c r="C54" s="802"/>
      <c r="D54" s="802"/>
      <c r="E54" s="802"/>
      <c r="F54" s="802"/>
      <c r="G54" s="802"/>
      <c r="H54" s="803"/>
      <c r="I54" s="69"/>
      <c r="J54" s="819"/>
      <c r="K54" s="820"/>
      <c r="L54" s="820"/>
      <c r="M54" s="820"/>
      <c r="N54" s="820"/>
      <c r="O54" s="820"/>
      <c r="P54" s="821"/>
      <c r="Q54" s="239"/>
    </row>
    <row r="55" spans="1:17" s="664" customFormat="1" ht="3" customHeight="1" thickBot="1" x14ac:dyDescent="0.3">
      <c r="A55" s="505"/>
      <c r="B55" s="72"/>
      <c r="C55" s="72"/>
      <c r="D55" s="72"/>
      <c r="E55" s="72"/>
      <c r="F55" s="72"/>
      <c r="G55" s="72"/>
      <c r="H55" s="72"/>
      <c r="I55" s="69"/>
      <c r="J55" s="819"/>
      <c r="K55" s="820"/>
      <c r="L55" s="820"/>
      <c r="M55" s="820"/>
      <c r="N55" s="820"/>
      <c r="O55" s="820"/>
      <c r="P55" s="821"/>
      <c r="Q55" s="239"/>
    </row>
    <row r="56" spans="1:17" s="664" customFormat="1" ht="15.75" thickBot="1" x14ac:dyDescent="0.3">
      <c r="A56" s="505"/>
      <c r="B56" s="801"/>
      <c r="C56" s="802"/>
      <c r="D56" s="802"/>
      <c r="E56" s="802"/>
      <c r="F56" s="802"/>
      <c r="G56" s="802"/>
      <c r="H56" s="803"/>
      <c r="I56" s="69"/>
      <c r="J56" s="819"/>
      <c r="K56" s="820"/>
      <c r="L56" s="820"/>
      <c r="M56" s="820"/>
      <c r="N56" s="820"/>
      <c r="O56" s="820"/>
      <c r="P56" s="821"/>
      <c r="Q56" s="239"/>
    </row>
    <row r="57" spans="1:17" s="664" customFormat="1" ht="3" customHeight="1" thickBot="1" x14ac:dyDescent="0.3">
      <c r="A57" s="505"/>
      <c r="B57" s="72"/>
      <c r="C57" s="72"/>
      <c r="D57" s="72"/>
      <c r="E57" s="72"/>
      <c r="F57" s="72"/>
      <c r="G57" s="72"/>
      <c r="H57" s="72"/>
      <c r="I57" s="69"/>
      <c r="J57" s="819"/>
      <c r="K57" s="820"/>
      <c r="L57" s="820"/>
      <c r="M57" s="820"/>
      <c r="N57" s="820"/>
      <c r="O57" s="820"/>
      <c r="P57" s="821"/>
      <c r="Q57" s="239"/>
    </row>
    <row r="58" spans="1:17" s="664" customFormat="1" ht="15.75" thickBot="1" x14ac:dyDescent="0.3">
      <c r="A58" s="505"/>
      <c r="B58" s="801"/>
      <c r="C58" s="802"/>
      <c r="D58" s="802"/>
      <c r="E58" s="802"/>
      <c r="F58" s="802"/>
      <c r="G58" s="802"/>
      <c r="H58" s="803"/>
      <c r="I58" s="69"/>
      <c r="J58" s="822"/>
      <c r="K58" s="823"/>
      <c r="L58" s="823"/>
      <c r="M58" s="823"/>
      <c r="N58" s="823"/>
      <c r="O58" s="823"/>
      <c r="P58" s="824"/>
      <c r="Q58" s="239"/>
    </row>
    <row r="59" spans="1:17" ht="3" customHeight="1" thickBot="1" x14ac:dyDescent="0.3">
      <c r="A59" s="246"/>
      <c r="B59" s="247"/>
      <c r="C59" s="247"/>
      <c r="D59" s="247"/>
      <c r="E59" s="247"/>
      <c r="F59" s="247"/>
      <c r="G59" s="247"/>
      <c r="H59" s="247"/>
      <c r="I59" s="247"/>
      <c r="J59" s="247"/>
      <c r="K59" s="247"/>
      <c r="L59" s="247"/>
      <c r="M59" s="247"/>
      <c r="N59" s="247"/>
      <c r="O59" s="247"/>
      <c r="P59" s="247"/>
      <c r="Q59" s="240"/>
    </row>
    <row r="60" spans="1:17" x14ac:dyDescent="0.25">
      <c r="A60" s="664"/>
      <c r="B60" s="664"/>
      <c r="C60" s="664"/>
      <c r="D60" s="664"/>
      <c r="H60" s="664"/>
      <c r="J60" s="664"/>
    </row>
    <row r="61" spans="1:17" hidden="1" x14ac:dyDescent="0.25">
      <c r="B61" s="664"/>
    </row>
    <row r="62" spans="1:17" ht="15" hidden="1" customHeight="1" x14ac:dyDescent="0.25">
      <c r="B62" s="800" t="s">
        <v>56</v>
      </c>
      <c r="C62" s="800"/>
      <c r="D62" s="800"/>
      <c r="F62" s="262" t="s">
        <v>367</v>
      </c>
      <c r="H62" s="661" t="s">
        <v>218</v>
      </c>
      <c r="J62" s="661" t="s">
        <v>219</v>
      </c>
      <c r="L62" s="262" t="s">
        <v>582</v>
      </c>
      <c r="N62" s="262" t="s">
        <v>583</v>
      </c>
      <c r="P62" s="666" t="s">
        <v>588</v>
      </c>
    </row>
    <row r="63" spans="1:17" ht="15" hidden="1" customHeight="1" x14ac:dyDescent="0.25">
      <c r="B63" s="796" t="s">
        <v>194</v>
      </c>
      <c r="C63" s="796"/>
      <c r="D63" s="796"/>
      <c r="F63" s="67">
        <f>IF(COUNTIF(J38:J46,"Healing Potions")&lt;1,0,1)</f>
        <v>0</v>
      </c>
      <c r="H63" s="661"/>
      <c r="J63" s="661"/>
      <c r="L63" s="377">
        <v>3</v>
      </c>
      <c r="N63" s="67">
        <f>IF($L63*$F$73&lt;1,1,ROUNDDOWN($L63*$F$73,0))</f>
        <v>3</v>
      </c>
      <c r="P63" s="666"/>
    </row>
    <row r="64" spans="1:17" ht="15" hidden="1" customHeight="1" x14ac:dyDescent="0.25">
      <c r="B64" s="826" t="s">
        <v>580</v>
      </c>
      <c r="C64" s="826"/>
      <c r="D64" s="826"/>
      <c r="F64" s="67">
        <f>IF(COUNTIF(J38:J46,"Improved Armor (Masterwork)")&lt;1,0,1)</f>
        <v>0</v>
      </c>
      <c r="H64" s="662">
        <v>1</v>
      </c>
      <c r="J64" s="662"/>
      <c r="L64" s="67">
        <v>1</v>
      </c>
      <c r="N64" s="67">
        <f t="shared" ref="N64:N70" si="0">IF($L64*$F$73&lt;1,1,ROUNDDOWN($L64*$F$73,0))</f>
        <v>1</v>
      </c>
      <c r="P64" s="67"/>
    </row>
    <row r="65" spans="2:16" ht="15" hidden="1" customHeight="1" x14ac:dyDescent="0.25">
      <c r="B65" s="826" t="s">
        <v>193</v>
      </c>
      <c r="C65" s="826"/>
      <c r="D65" s="826"/>
      <c r="F65" s="67">
        <f>IF(COUNTIF(J38:J46,"Improved Armor (Magic)")&lt;1,0,1)</f>
        <v>0</v>
      </c>
      <c r="H65" s="662">
        <v>2</v>
      </c>
      <c r="J65" s="662"/>
      <c r="L65" s="67">
        <v>2</v>
      </c>
      <c r="N65" s="67">
        <f t="shared" si="0"/>
        <v>2</v>
      </c>
      <c r="P65" s="67"/>
    </row>
    <row r="66" spans="2:16" ht="15" hidden="1" customHeight="1" x14ac:dyDescent="0.25">
      <c r="B66" s="826" t="s">
        <v>581</v>
      </c>
      <c r="C66" s="826"/>
      <c r="D66" s="826"/>
      <c r="F66" s="67">
        <f>IF(COUNTIF(J38:J46,"Improved Weapons (Masterwork)")&lt;1,0,1)</f>
        <v>0</v>
      </c>
      <c r="H66" s="662"/>
      <c r="J66" s="662">
        <v>1</v>
      </c>
      <c r="L66" s="67">
        <v>1</v>
      </c>
      <c r="N66" s="67">
        <f t="shared" si="0"/>
        <v>1</v>
      </c>
      <c r="P66" s="67"/>
    </row>
    <row r="67" spans="2:16" ht="15" hidden="1" customHeight="1" x14ac:dyDescent="0.25">
      <c r="B67" s="826" t="s">
        <v>192</v>
      </c>
      <c r="C67" s="826"/>
      <c r="D67" s="826"/>
      <c r="F67" s="67">
        <f>IF(COUNTIF(J38:J46,"Improved Weapons (Magic)")&lt;1,0,1)</f>
        <v>0</v>
      </c>
      <c r="H67" s="662"/>
      <c r="J67" s="662">
        <v>2</v>
      </c>
      <c r="L67" s="67">
        <v>2</v>
      </c>
      <c r="N67" s="67">
        <f t="shared" si="0"/>
        <v>2</v>
      </c>
      <c r="P67" s="67"/>
    </row>
    <row r="68" spans="2:16" ht="15" hidden="1" customHeight="1" x14ac:dyDescent="0.25">
      <c r="B68" s="826" t="s">
        <v>486</v>
      </c>
      <c r="C68" s="826"/>
      <c r="D68" s="826"/>
      <c r="F68" s="67">
        <f>IF(COUNTIF(J38:J46,"Mounts")&lt;1,0,1)</f>
        <v>0</v>
      </c>
      <c r="H68" s="662">
        <v>2</v>
      </c>
      <c r="J68" s="662">
        <v>2</v>
      </c>
      <c r="L68" s="67">
        <v>1</v>
      </c>
      <c r="N68" s="67">
        <f t="shared" si="0"/>
        <v>1</v>
      </c>
      <c r="P68" s="67"/>
    </row>
    <row r="69" spans="2:16" ht="15" hidden="1" customHeight="1" x14ac:dyDescent="0.25">
      <c r="B69" s="826" t="s">
        <v>195</v>
      </c>
      <c r="C69" s="826"/>
      <c r="D69" s="826"/>
      <c r="F69" s="67">
        <f>IF(COUNTIF(J38:J46,"Ranged Weapons")&lt;1,0,1)</f>
        <v>0</v>
      </c>
      <c r="H69" s="662"/>
      <c r="J69" s="662"/>
      <c r="L69" s="67">
        <v>1</v>
      </c>
      <c r="N69" s="67">
        <f t="shared" si="0"/>
        <v>1</v>
      </c>
      <c r="P69" s="67">
        <v>1</v>
      </c>
    </row>
    <row r="70" spans="2:16" ht="15" hidden="1" customHeight="1" x14ac:dyDescent="0.25">
      <c r="B70" s="825" t="s">
        <v>196</v>
      </c>
      <c r="C70" s="825"/>
      <c r="D70" s="825"/>
      <c r="F70" s="67">
        <f>IF(COUNTIF(J38:J46,"Siege Weapons")&lt;1,0,1)</f>
        <v>0</v>
      </c>
      <c r="H70" s="662"/>
      <c r="J70" s="662">
        <v>2</v>
      </c>
      <c r="L70" s="67">
        <v>3</v>
      </c>
      <c r="N70" s="67">
        <f t="shared" si="0"/>
        <v>3</v>
      </c>
      <c r="P70" s="67"/>
    </row>
    <row r="71" spans="2:16" ht="15" hidden="1" customHeight="1" x14ac:dyDescent="0.25">
      <c r="B71" s="829" t="s">
        <v>585</v>
      </c>
      <c r="C71" s="829"/>
      <c r="D71" s="829"/>
      <c r="E71" s="829"/>
      <c r="F71" s="829"/>
      <c r="G71" s="265"/>
      <c r="H71" s="175">
        <f>SUMPRODUCT($F$64:$F$70,H$64:H$70)</f>
        <v>0</v>
      </c>
      <c r="I71" s="175"/>
      <c r="J71" s="175">
        <f t="shared" ref="J71:P71" si="1">SUMPRODUCT($F$64:$F$70,J$64:J$70)</f>
        <v>0</v>
      </c>
      <c r="K71" s="175"/>
      <c r="L71" s="175">
        <f t="shared" si="1"/>
        <v>0</v>
      </c>
      <c r="M71" s="175"/>
      <c r="N71" s="175">
        <f>SUMPRODUCT($F$63:$F$70,N$63:N$70)</f>
        <v>0</v>
      </c>
      <c r="O71" s="175"/>
      <c r="P71" s="175">
        <f t="shared" si="1"/>
        <v>0</v>
      </c>
    </row>
    <row r="72" spans="2:16" hidden="1" x14ac:dyDescent="0.25">
      <c r="B72" s="664"/>
      <c r="C72" s="664"/>
      <c r="D72" s="664"/>
      <c r="F72" s="67"/>
      <c r="H72" s="662"/>
      <c r="J72" s="662"/>
      <c r="L72" s="67"/>
      <c r="N72" s="67"/>
    </row>
    <row r="73" spans="2:16" ht="15" hidden="1" customHeight="1" x14ac:dyDescent="0.25">
      <c r="B73" s="827" t="s">
        <v>584</v>
      </c>
      <c r="C73" s="827"/>
      <c r="D73" s="827"/>
      <c r="F73" s="266">
        <f>IF(F4="Fine",1/8,IF(F4="Diminutive",1/6,IF(F4="Tiny",1/4,IF(F4="Small",1/2,IF(F4="Large",2,IF(F4="Huge",4,IF(F4="Gargantuan",10,IF(F4="Colossal",20,1))))))))</f>
        <v>1</v>
      </c>
      <c r="H73" s="662"/>
      <c r="I73" s="662"/>
      <c r="J73" s="662"/>
      <c r="K73" s="662"/>
      <c r="L73" s="662"/>
      <c r="M73" s="662"/>
      <c r="N73" s="662"/>
    </row>
    <row r="74" spans="2:16" hidden="1" x14ac:dyDescent="0.25">
      <c r="B74" s="664"/>
    </row>
    <row r="75" spans="2:16" ht="15" hidden="1" customHeight="1" x14ac:dyDescent="0.25">
      <c r="B75" s="800" t="s">
        <v>482</v>
      </c>
      <c r="C75" s="800"/>
      <c r="D75" s="800"/>
      <c r="F75" s="262" t="s">
        <v>367</v>
      </c>
      <c r="G75" s="262"/>
      <c r="H75" s="661" t="s">
        <v>218</v>
      </c>
      <c r="I75" s="556"/>
      <c r="J75" s="661" t="s">
        <v>160</v>
      </c>
    </row>
    <row r="76" spans="2:16" ht="15" hidden="1" customHeight="1" x14ac:dyDescent="0.25">
      <c r="B76" s="826" t="s">
        <v>534</v>
      </c>
      <c r="C76" s="826"/>
      <c r="D76" s="826"/>
      <c r="F76" s="67">
        <f>IF(COUNTIF(J24:J32,"Defensive Tactics")&lt;1,0,1)</f>
        <v>0</v>
      </c>
      <c r="G76" s="67"/>
      <c r="H76" s="662">
        <v>2</v>
      </c>
      <c r="I76" s="556"/>
      <c r="J76" s="662"/>
    </row>
    <row r="77" spans="2:16" ht="15" hidden="1" customHeight="1" x14ac:dyDescent="0.25">
      <c r="B77" s="825" t="s">
        <v>50</v>
      </c>
      <c r="C77" s="825"/>
      <c r="D77" s="825"/>
      <c r="F77" s="67">
        <f>IF(COUNTIF(J24:J32,"Loyalty")&lt;1,0,1)</f>
        <v>0</v>
      </c>
      <c r="G77" s="67"/>
      <c r="H77" s="662"/>
      <c r="I77" s="556"/>
      <c r="J77" s="662">
        <f>IF(H24&lt;12,2,4)</f>
        <v>2</v>
      </c>
    </row>
    <row r="78" spans="2:16" ht="15" hidden="1" customHeight="1" x14ac:dyDescent="0.25">
      <c r="B78" s="829" t="s">
        <v>585</v>
      </c>
      <c r="C78" s="829"/>
      <c r="D78" s="829"/>
      <c r="E78" s="829"/>
      <c r="F78" s="829"/>
      <c r="G78" s="267"/>
      <c r="H78" s="175">
        <f>SUMPRODUCT($F$76:$F$77,H$76:H$77)</f>
        <v>0</v>
      </c>
      <c r="I78" s="175"/>
      <c r="J78" s="175">
        <f>SUMPRODUCT($F$76:$F$77,J$76:J$77)</f>
        <v>0</v>
      </c>
    </row>
    <row r="79" spans="2:16" hidden="1" x14ac:dyDescent="0.25">
      <c r="B79" s="664"/>
    </row>
    <row r="80" spans="2:16" ht="15" hidden="1" customHeight="1" x14ac:dyDescent="0.25">
      <c r="B80" s="800" t="s">
        <v>161</v>
      </c>
      <c r="C80" s="800"/>
      <c r="D80" s="800"/>
      <c r="F80" s="262" t="s">
        <v>367</v>
      </c>
      <c r="H80" s="661" t="s">
        <v>219</v>
      </c>
      <c r="J80" s="661" t="s">
        <v>218</v>
      </c>
      <c r="L80" s="262" t="s">
        <v>588</v>
      </c>
    </row>
    <row r="81" spans="2:12" ht="15" hidden="1" customHeight="1" x14ac:dyDescent="0.25">
      <c r="B81" s="830" t="s">
        <v>542</v>
      </c>
      <c r="C81" s="830"/>
      <c r="D81" s="830"/>
      <c r="F81" s="67">
        <f>IF(COUNTIF(B50:B58,"Animal Companion")&lt;1,0,1)</f>
        <v>0</v>
      </c>
      <c r="H81" s="662">
        <v>1</v>
      </c>
      <c r="J81" s="662"/>
      <c r="L81" s="67"/>
    </row>
    <row r="82" spans="2:12" ht="15" hidden="1" customHeight="1" x14ac:dyDescent="0.25">
      <c r="B82" s="830" t="s">
        <v>545</v>
      </c>
      <c r="C82" s="830"/>
      <c r="D82" s="830"/>
      <c r="F82" s="67">
        <f>IF(COUNTIF(B50:B58,"Bomb")&lt;1,0,1)</f>
        <v>0</v>
      </c>
      <c r="H82" s="662"/>
      <c r="J82" s="662"/>
      <c r="L82" s="67">
        <v>1</v>
      </c>
    </row>
    <row r="83" spans="2:12" ht="15" hidden="1" customHeight="1" x14ac:dyDescent="0.25">
      <c r="B83" s="830" t="s">
        <v>197</v>
      </c>
      <c r="C83" s="830"/>
      <c r="D83" s="830"/>
      <c r="F83" s="67">
        <f>IF(COUNTIF(B50:B58,"Breath Weapon")&lt;1,0,1)</f>
        <v>0</v>
      </c>
      <c r="H83" s="662"/>
      <c r="J83" s="662"/>
      <c r="L83" s="67">
        <v>1</v>
      </c>
    </row>
    <row r="84" spans="2:12" ht="15" hidden="1" customHeight="1" x14ac:dyDescent="0.25">
      <c r="B84" s="830" t="s">
        <v>554</v>
      </c>
      <c r="C84" s="830"/>
      <c r="D84" s="830"/>
      <c r="F84" s="67">
        <f>IF(COUNTIF(B50:B58,"Eidolon")&lt;1,0,1)</f>
        <v>0</v>
      </c>
      <c r="H84" s="662">
        <v>1</v>
      </c>
      <c r="J84" s="662"/>
      <c r="L84" s="67"/>
    </row>
    <row r="85" spans="2:12" ht="15" hidden="1" customHeight="1" x14ac:dyDescent="0.25">
      <c r="B85" s="830" t="s">
        <v>587</v>
      </c>
      <c r="C85" s="830"/>
      <c r="D85" s="830"/>
      <c r="F85" s="67">
        <f>IF(COUNTIF(B50:B58,"Hunter's Bond (Animal)")&lt;1,0,1)</f>
        <v>0</v>
      </c>
      <c r="H85" s="662">
        <v>1</v>
      </c>
      <c r="J85" s="662"/>
      <c r="L85" s="67"/>
    </row>
    <row r="86" spans="2:12" ht="15" hidden="1" customHeight="1" x14ac:dyDescent="0.25">
      <c r="B86" s="830" t="s">
        <v>514</v>
      </c>
      <c r="C86" s="830"/>
      <c r="D86" s="830"/>
      <c r="F86" s="67">
        <f>IF(COUNTIF(B50:B58,"Mindless")&lt;1,0,1)</f>
        <v>0</v>
      </c>
      <c r="H86" s="662"/>
      <c r="J86" s="662"/>
      <c r="L86" s="67"/>
    </row>
    <row r="87" spans="2:12" ht="15" hidden="1" customHeight="1" x14ac:dyDescent="0.25">
      <c r="B87" s="830" t="s">
        <v>517</v>
      </c>
      <c r="C87" s="830"/>
      <c r="D87" s="830"/>
      <c r="F87" s="67">
        <f>IF(COUNTIF(B50:B58,"Pounce")&lt;1,0,1)</f>
        <v>0</v>
      </c>
      <c r="H87" s="662">
        <v>1</v>
      </c>
      <c r="J87" s="662"/>
      <c r="L87" s="67"/>
    </row>
    <row r="88" spans="2:12" ht="15" hidden="1" customHeight="1" x14ac:dyDescent="0.25">
      <c r="B88" s="830" t="s">
        <v>518</v>
      </c>
      <c r="C88" s="830"/>
      <c r="D88" s="830"/>
      <c r="F88" s="67">
        <f>IF(COUNTIF(B50:B58,"Powerful Charge")&lt;1,0,1)</f>
        <v>0</v>
      </c>
      <c r="H88" s="662">
        <v>1</v>
      </c>
      <c r="J88" s="662"/>
      <c r="L88" s="67"/>
    </row>
    <row r="89" spans="2:12" ht="15" hidden="1" customHeight="1" x14ac:dyDescent="0.25">
      <c r="B89" s="830" t="s">
        <v>571</v>
      </c>
      <c r="C89" s="830"/>
      <c r="D89" s="830"/>
      <c r="F89" s="67">
        <f>IF(COUNTIF(B50:B58,"Shield Ally")&lt;1,0,1)</f>
        <v>0</v>
      </c>
      <c r="H89" s="662"/>
      <c r="J89" s="662">
        <v>1</v>
      </c>
      <c r="L89" s="67"/>
    </row>
    <row r="90" spans="2:12" ht="15" hidden="1" customHeight="1" x14ac:dyDescent="0.25">
      <c r="B90" s="830" t="s">
        <v>526</v>
      </c>
      <c r="C90" s="830"/>
      <c r="D90" s="830"/>
      <c r="F90" s="67">
        <f>IF(COUNTIF(B50:B58,"Trample")&lt;1,0,1)</f>
        <v>0</v>
      </c>
      <c r="H90" s="662">
        <v>1</v>
      </c>
      <c r="J90" s="662"/>
      <c r="L90" s="67"/>
    </row>
    <row r="91" spans="2:12" ht="15" hidden="1" customHeight="1" x14ac:dyDescent="0.25">
      <c r="B91" s="831" t="s">
        <v>203</v>
      </c>
      <c r="C91" s="831"/>
      <c r="D91" s="831"/>
      <c r="F91" s="67">
        <f>IF(COUNTIF(B50:B58,"Undead")&lt;1,0,1)</f>
        <v>0</v>
      </c>
      <c r="H91" s="662"/>
      <c r="J91" s="662">
        <v>2</v>
      </c>
      <c r="L91" s="67"/>
    </row>
    <row r="92" spans="2:12" ht="15" hidden="1" customHeight="1" x14ac:dyDescent="0.25">
      <c r="B92" s="829" t="s">
        <v>585</v>
      </c>
      <c r="C92" s="829"/>
      <c r="D92" s="829"/>
      <c r="E92" s="829"/>
      <c r="F92" s="829"/>
      <c r="G92" s="265"/>
      <c r="H92" s="175">
        <f>SUMPRODUCT($F$81:$F$91,H$81:H$91)</f>
        <v>0</v>
      </c>
      <c r="I92" s="268"/>
      <c r="J92" s="175">
        <f>SUMPRODUCT($F$81:$F$91,J$81:J$91)</f>
        <v>0</v>
      </c>
      <c r="K92" s="268"/>
      <c r="L92" s="175">
        <f>SUMPRODUCT($F$81:$F$91,L$81:L$91)</f>
        <v>0</v>
      </c>
    </row>
    <row r="93" spans="2:12" hidden="1" x14ac:dyDescent="0.25">
      <c r="B93" s="665"/>
      <c r="C93" s="665"/>
      <c r="D93" s="665"/>
    </row>
    <row r="94" spans="2:12" ht="15" hidden="1" customHeight="1" x14ac:dyDescent="0.25">
      <c r="B94" s="800" t="s">
        <v>585</v>
      </c>
      <c r="C94" s="800"/>
      <c r="D94" s="800"/>
      <c r="E94" s="800"/>
      <c r="F94" s="800"/>
    </row>
    <row r="95" spans="2:12" ht="15" hidden="1" customHeight="1" x14ac:dyDescent="0.25">
      <c r="B95" s="827" t="s">
        <v>219</v>
      </c>
      <c r="C95" s="827"/>
      <c r="D95" s="827"/>
      <c r="F95" s="67">
        <f>J71+H92</f>
        <v>0</v>
      </c>
    </row>
    <row r="96" spans="2:12" ht="15" hidden="1" customHeight="1" x14ac:dyDescent="0.25">
      <c r="B96" s="827" t="s">
        <v>218</v>
      </c>
      <c r="C96" s="827"/>
      <c r="D96" s="827"/>
      <c r="F96" s="67">
        <f>H71+H78+J92</f>
        <v>0</v>
      </c>
    </row>
    <row r="97" spans="2:6" ht="15" hidden="1" customHeight="1" x14ac:dyDescent="0.25">
      <c r="B97" s="827" t="s">
        <v>160</v>
      </c>
      <c r="C97" s="827"/>
      <c r="D97" s="827"/>
      <c r="F97" s="67">
        <f>J78</f>
        <v>0</v>
      </c>
    </row>
    <row r="98" spans="2:6" ht="15" hidden="1" customHeight="1" x14ac:dyDescent="0.25">
      <c r="B98" s="828" t="s">
        <v>61</v>
      </c>
      <c r="C98" s="828"/>
      <c r="D98" s="828"/>
      <c r="F98" s="67">
        <f>N71</f>
        <v>0</v>
      </c>
    </row>
    <row r="99" spans="2:6" ht="15" hidden="1" customHeight="1" x14ac:dyDescent="0.25">
      <c r="B99" s="828" t="s">
        <v>588</v>
      </c>
      <c r="C99" s="828"/>
      <c r="D99" s="828"/>
      <c r="F99" s="67">
        <f>IF(P71+L92&gt;0,1,0)</f>
        <v>0</v>
      </c>
    </row>
    <row r="100" spans="2:6" ht="15" hidden="1" customHeight="1" x14ac:dyDescent="0.25">
      <c r="B100" s="827" t="s">
        <v>514</v>
      </c>
      <c r="C100" s="827"/>
      <c r="D100" s="827"/>
      <c r="F100" s="67">
        <f>F86</f>
        <v>0</v>
      </c>
    </row>
    <row r="101" spans="2:6" hidden="1" x14ac:dyDescent="0.25">
      <c r="B101" s="665"/>
      <c r="C101" s="665"/>
      <c r="D101" s="665"/>
    </row>
    <row r="102" spans="2:6" x14ac:dyDescent="0.25">
      <c r="B102" s="665"/>
      <c r="C102" s="665"/>
      <c r="D102" s="665"/>
    </row>
    <row r="103" spans="2:6" x14ac:dyDescent="0.25">
      <c r="B103" s="665"/>
      <c r="C103" s="665"/>
      <c r="D103" s="665"/>
    </row>
    <row r="104" spans="2:6" x14ac:dyDescent="0.25">
      <c r="B104" s="665"/>
      <c r="C104" s="665"/>
      <c r="D104" s="665"/>
    </row>
    <row r="105" spans="2:6" x14ac:dyDescent="0.25">
      <c r="B105" s="665"/>
      <c r="C105" s="665"/>
      <c r="D105" s="665"/>
    </row>
    <row r="106" spans="2:6" x14ac:dyDescent="0.25">
      <c r="B106" s="665"/>
      <c r="C106" s="665"/>
      <c r="D106" s="665"/>
    </row>
    <row r="107" spans="2:6" x14ac:dyDescent="0.25">
      <c r="B107" s="665"/>
      <c r="C107" s="665"/>
      <c r="D107" s="665"/>
    </row>
    <row r="108" spans="2:6" x14ac:dyDescent="0.25">
      <c r="B108" s="665"/>
      <c r="C108" s="665"/>
      <c r="D108" s="665"/>
    </row>
    <row r="109" spans="2:6" x14ac:dyDescent="0.25">
      <c r="B109" s="665"/>
      <c r="C109" s="665"/>
      <c r="D109" s="665"/>
    </row>
    <row r="110" spans="2:6" x14ac:dyDescent="0.25">
      <c r="B110" s="665"/>
      <c r="C110" s="665"/>
      <c r="D110" s="665"/>
    </row>
    <row r="111" spans="2:6" x14ac:dyDescent="0.25">
      <c r="B111" s="665"/>
      <c r="C111" s="665"/>
      <c r="D111" s="665"/>
    </row>
    <row r="112" spans="2:6" x14ac:dyDescent="0.25">
      <c r="B112" s="665"/>
      <c r="C112" s="665"/>
      <c r="D112" s="665"/>
    </row>
    <row r="113" spans="2:4" x14ac:dyDescent="0.25">
      <c r="B113" s="665"/>
      <c r="C113" s="665"/>
      <c r="D113" s="665"/>
    </row>
    <row r="114" spans="2:4" x14ac:dyDescent="0.25">
      <c r="B114" s="665"/>
      <c r="C114" s="665"/>
      <c r="D114" s="665"/>
    </row>
    <row r="115" spans="2:4" x14ac:dyDescent="0.25">
      <c r="B115" s="665"/>
      <c r="C115" s="665"/>
      <c r="D115" s="665"/>
    </row>
    <row r="116" spans="2:4" x14ac:dyDescent="0.25">
      <c r="B116" s="665"/>
      <c r="C116" s="665"/>
      <c r="D116" s="665"/>
    </row>
    <row r="117" spans="2:4" x14ac:dyDescent="0.25">
      <c r="B117" s="665"/>
      <c r="C117" s="665"/>
      <c r="D117" s="665"/>
    </row>
    <row r="118" spans="2:4" x14ac:dyDescent="0.25">
      <c r="B118" s="665"/>
      <c r="C118" s="665"/>
      <c r="D118" s="665"/>
    </row>
    <row r="119" spans="2:4" x14ac:dyDescent="0.25">
      <c r="B119" s="665"/>
      <c r="C119" s="665"/>
      <c r="D119" s="665"/>
    </row>
    <row r="120" spans="2:4" x14ac:dyDescent="0.25">
      <c r="B120" s="665"/>
      <c r="C120" s="665"/>
      <c r="D120" s="665"/>
    </row>
    <row r="121" spans="2:4" x14ac:dyDescent="0.25">
      <c r="B121" s="665"/>
      <c r="C121" s="665"/>
      <c r="D121" s="665"/>
    </row>
    <row r="122" spans="2:4" x14ac:dyDescent="0.25">
      <c r="B122" s="665"/>
      <c r="C122" s="665"/>
      <c r="D122" s="665"/>
    </row>
    <row r="123" spans="2:4" x14ac:dyDescent="0.25">
      <c r="B123" s="665"/>
      <c r="C123" s="665"/>
      <c r="D123" s="665"/>
    </row>
    <row r="124" spans="2:4" x14ac:dyDescent="0.25">
      <c r="B124" s="665"/>
      <c r="C124" s="665"/>
      <c r="D124" s="665"/>
    </row>
    <row r="125" spans="2:4" x14ac:dyDescent="0.25">
      <c r="B125" s="665"/>
      <c r="C125" s="665"/>
      <c r="D125" s="665"/>
    </row>
    <row r="126" spans="2:4" x14ac:dyDescent="0.25">
      <c r="B126" s="665"/>
      <c r="C126" s="665"/>
      <c r="D126" s="665"/>
    </row>
    <row r="127" spans="2:4" x14ac:dyDescent="0.25">
      <c r="B127" s="665"/>
      <c r="C127" s="665"/>
      <c r="D127" s="665"/>
    </row>
    <row r="128" spans="2:4" x14ac:dyDescent="0.25">
      <c r="B128" s="665"/>
      <c r="C128" s="665"/>
      <c r="D128" s="665"/>
    </row>
    <row r="129" spans="2:4" x14ac:dyDescent="0.25">
      <c r="B129" s="665"/>
      <c r="C129" s="665"/>
      <c r="D129" s="665"/>
    </row>
    <row r="130" spans="2:4" x14ac:dyDescent="0.25">
      <c r="B130" s="665"/>
      <c r="C130" s="665"/>
      <c r="D130" s="665"/>
    </row>
    <row r="131" spans="2:4" x14ac:dyDescent="0.25">
      <c r="B131" s="665"/>
      <c r="C131" s="665"/>
      <c r="D131" s="665"/>
    </row>
    <row r="132" spans="2:4" x14ac:dyDescent="0.25">
      <c r="B132" s="665"/>
      <c r="C132" s="665"/>
      <c r="D132" s="665"/>
    </row>
    <row r="133" spans="2:4" x14ac:dyDescent="0.25">
      <c r="B133" s="665"/>
      <c r="C133" s="665"/>
      <c r="D133" s="665"/>
    </row>
    <row r="134" spans="2:4" x14ac:dyDescent="0.25">
      <c r="B134" s="665"/>
      <c r="C134" s="665"/>
      <c r="D134" s="665"/>
    </row>
    <row r="135" spans="2:4" x14ac:dyDescent="0.25">
      <c r="B135" s="665"/>
      <c r="C135" s="665"/>
      <c r="D135" s="665"/>
    </row>
    <row r="136" spans="2:4" x14ac:dyDescent="0.25">
      <c r="B136" s="665"/>
      <c r="C136" s="665"/>
      <c r="D136" s="665"/>
    </row>
    <row r="137" spans="2:4" x14ac:dyDescent="0.25">
      <c r="B137" s="665"/>
      <c r="C137" s="665"/>
      <c r="D137" s="665"/>
    </row>
    <row r="138" spans="2:4" x14ac:dyDescent="0.25">
      <c r="B138" s="665"/>
      <c r="C138" s="665"/>
      <c r="D138" s="665"/>
    </row>
    <row r="139" spans="2:4" x14ac:dyDescent="0.25">
      <c r="B139" s="665"/>
      <c r="C139" s="665"/>
      <c r="D139" s="665"/>
    </row>
    <row r="140" spans="2:4" x14ac:dyDescent="0.25">
      <c r="B140" s="665"/>
      <c r="C140" s="665"/>
      <c r="D140" s="665"/>
    </row>
    <row r="141" spans="2:4" x14ac:dyDescent="0.25">
      <c r="B141" s="665"/>
      <c r="C141" s="665"/>
      <c r="D141" s="665"/>
    </row>
    <row r="142" spans="2:4" x14ac:dyDescent="0.25">
      <c r="B142" s="665"/>
      <c r="C142" s="665"/>
      <c r="D142" s="665"/>
    </row>
    <row r="143" spans="2:4" x14ac:dyDescent="0.25">
      <c r="B143" s="665"/>
      <c r="C143" s="665"/>
      <c r="D143" s="665"/>
    </row>
    <row r="144" spans="2:4" x14ac:dyDescent="0.25">
      <c r="B144" s="665"/>
      <c r="C144" s="665"/>
      <c r="D144" s="665"/>
    </row>
    <row r="145" spans="2:4" x14ac:dyDescent="0.25">
      <c r="B145" s="665"/>
      <c r="C145" s="665"/>
      <c r="D145" s="665"/>
    </row>
    <row r="146" spans="2:4" x14ac:dyDescent="0.25">
      <c r="B146" s="665"/>
      <c r="C146" s="665"/>
      <c r="D146" s="665"/>
    </row>
    <row r="147" spans="2:4" x14ac:dyDescent="0.25">
      <c r="B147" s="665"/>
      <c r="C147" s="665"/>
      <c r="D147" s="665"/>
    </row>
    <row r="148" spans="2:4" x14ac:dyDescent="0.25">
      <c r="B148" s="665"/>
      <c r="C148" s="665"/>
      <c r="D148" s="665"/>
    </row>
    <row r="149" spans="2:4" x14ac:dyDescent="0.25">
      <c r="B149" s="665"/>
      <c r="C149" s="665"/>
      <c r="D149" s="665"/>
    </row>
    <row r="150" spans="2:4" x14ac:dyDescent="0.25">
      <c r="B150" s="665"/>
      <c r="C150" s="665"/>
      <c r="D150" s="665"/>
    </row>
    <row r="151" spans="2:4" x14ac:dyDescent="0.25">
      <c r="B151" s="665"/>
      <c r="C151" s="665"/>
      <c r="D151" s="665"/>
    </row>
    <row r="152" spans="2:4" x14ac:dyDescent="0.25">
      <c r="B152" s="665"/>
      <c r="C152" s="665"/>
      <c r="D152" s="665"/>
    </row>
    <row r="153" spans="2:4" x14ac:dyDescent="0.25">
      <c r="B153" s="665"/>
      <c r="C153" s="665"/>
      <c r="D153" s="665"/>
    </row>
    <row r="154" spans="2:4" x14ac:dyDescent="0.25">
      <c r="B154" s="665"/>
      <c r="C154" s="665"/>
      <c r="D154" s="665"/>
    </row>
    <row r="155" spans="2:4" x14ac:dyDescent="0.25">
      <c r="B155" s="665"/>
      <c r="C155" s="665"/>
      <c r="D155" s="665"/>
    </row>
    <row r="156" spans="2:4" x14ac:dyDescent="0.25">
      <c r="B156" s="665"/>
      <c r="C156" s="665"/>
      <c r="D156" s="665"/>
    </row>
    <row r="157" spans="2:4" x14ac:dyDescent="0.25">
      <c r="B157" s="665"/>
      <c r="C157" s="665"/>
      <c r="D157" s="665"/>
    </row>
    <row r="158" spans="2:4" x14ac:dyDescent="0.25">
      <c r="B158" s="665"/>
      <c r="C158" s="665"/>
      <c r="D158" s="665"/>
    </row>
    <row r="159" spans="2:4" x14ac:dyDescent="0.25">
      <c r="B159" s="665"/>
      <c r="C159" s="665"/>
      <c r="D159" s="665"/>
    </row>
    <row r="160" spans="2:4" x14ac:dyDescent="0.25">
      <c r="B160" s="665"/>
      <c r="C160" s="665"/>
      <c r="D160" s="665"/>
    </row>
    <row r="161" spans="2:4" x14ac:dyDescent="0.25">
      <c r="B161" s="665"/>
      <c r="C161" s="665"/>
      <c r="D161" s="665"/>
    </row>
    <row r="162" spans="2:4" x14ac:dyDescent="0.25">
      <c r="B162" s="665"/>
      <c r="C162" s="665"/>
      <c r="D162" s="665"/>
    </row>
    <row r="163" spans="2:4" x14ac:dyDescent="0.25">
      <c r="B163" s="665"/>
      <c r="C163" s="665"/>
      <c r="D163" s="665"/>
    </row>
    <row r="164" spans="2:4" x14ac:dyDescent="0.25">
      <c r="B164" s="665"/>
      <c r="C164" s="665"/>
      <c r="D164" s="665"/>
    </row>
    <row r="165" spans="2:4" x14ac:dyDescent="0.25">
      <c r="B165" s="665"/>
      <c r="C165" s="665"/>
      <c r="D165" s="665"/>
    </row>
    <row r="166" spans="2:4" x14ac:dyDescent="0.25">
      <c r="B166" s="665"/>
      <c r="C166" s="665"/>
      <c r="D166" s="665"/>
    </row>
    <row r="167" spans="2:4" x14ac:dyDescent="0.25">
      <c r="B167" s="665"/>
      <c r="C167" s="665"/>
      <c r="D167" s="665"/>
    </row>
    <row r="168" spans="2:4" x14ac:dyDescent="0.25">
      <c r="B168" s="665"/>
      <c r="C168" s="665"/>
      <c r="D168" s="665"/>
    </row>
    <row r="169" spans="2:4" x14ac:dyDescent="0.25">
      <c r="B169" s="665"/>
      <c r="C169" s="665"/>
      <c r="D169" s="665"/>
    </row>
    <row r="170" spans="2:4" x14ac:dyDescent="0.25">
      <c r="B170" s="665"/>
      <c r="C170" s="665"/>
      <c r="D170" s="665"/>
    </row>
    <row r="171" spans="2:4" x14ac:dyDescent="0.25">
      <c r="B171" s="665"/>
      <c r="C171" s="665"/>
      <c r="D171" s="665"/>
    </row>
    <row r="172" spans="2:4" x14ac:dyDescent="0.25">
      <c r="B172" s="665"/>
      <c r="C172" s="665"/>
      <c r="D172" s="665"/>
    </row>
    <row r="173" spans="2:4" x14ac:dyDescent="0.25">
      <c r="B173" s="665"/>
      <c r="C173" s="665"/>
      <c r="D173" s="665"/>
    </row>
    <row r="174" spans="2:4" x14ac:dyDescent="0.25">
      <c r="B174" s="665"/>
      <c r="C174" s="665"/>
      <c r="D174" s="665"/>
    </row>
    <row r="175" spans="2:4" x14ac:dyDescent="0.25">
      <c r="B175" s="665"/>
      <c r="C175" s="665"/>
      <c r="D175" s="665"/>
    </row>
    <row r="176" spans="2:4" x14ac:dyDescent="0.25">
      <c r="B176" s="665"/>
      <c r="C176" s="665"/>
      <c r="D176" s="665"/>
    </row>
    <row r="177" spans="2:4" x14ac:dyDescent="0.25">
      <c r="B177" s="665"/>
      <c r="C177" s="665"/>
      <c r="D177" s="665"/>
    </row>
    <row r="178" spans="2:4" x14ac:dyDescent="0.25">
      <c r="B178" s="665"/>
      <c r="C178" s="665"/>
      <c r="D178" s="665"/>
    </row>
  </sheetData>
  <sheetProtection sheet="1" objects="1" scenarios="1" selectLockedCells="1"/>
  <mergeCells count="100">
    <mergeCell ref="B96:D96"/>
    <mergeCell ref="B97:D97"/>
    <mergeCell ref="B98:D98"/>
    <mergeCell ref="B99:D99"/>
    <mergeCell ref="B89:D89"/>
    <mergeCell ref="B90:D90"/>
    <mergeCell ref="B95:D95"/>
    <mergeCell ref="B91:D91"/>
    <mergeCell ref="B92:F92"/>
    <mergeCell ref="B94:F94"/>
    <mergeCell ref="B88:D88"/>
    <mergeCell ref="B76:D76"/>
    <mergeCell ref="B80:D80"/>
    <mergeCell ref="B81:D81"/>
    <mergeCell ref="B82:D82"/>
    <mergeCell ref="B83:D83"/>
    <mergeCell ref="B84:D84"/>
    <mergeCell ref="B85:D85"/>
    <mergeCell ref="B86:D86"/>
    <mergeCell ref="B87:D87"/>
    <mergeCell ref="B77:D77"/>
    <mergeCell ref="B78:F78"/>
    <mergeCell ref="B75:D75"/>
    <mergeCell ref="B62:D62"/>
    <mergeCell ref="B63:D63"/>
    <mergeCell ref="B64:D64"/>
    <mergeCell ref="B65:D65"/>
    <mergeCell ref="B66:D66"/>
    <mergeCell ref="B67:D67"/>
    <mergeCell ref="B68:D68"/>
    <mergeCell ref="B69:D69"/>
    <mergeCell ref="B70:D70"/>
    <mergeCell ref="B71:F71"/>
    <mergeCell ref="B73:D73"/>
    <mergeCell ref="B50:H50"/>
    <mergeCell ref="J50:P58"/>
    <mergeCell ref="B52:H52"/>
    <mergeCell ref="B54:H54"/>
    <mergeCell ref="B56:H56"/>
    <mergeCell ref="B58:H58"/>
    <mergeCell ref="B46:H46"/>
    <mergeCell ref="J46:P46"/>
    <mergeCell ref="B48:H48"/>
    <mergeCell ref="J48:P48"/>
    <mergeCell ref="S48:T48"/>
    <mergeCell ref="S38:T38"/>
    <mergeCell ref="B40:H40"/>
    <mergeCell ref="J40:P40"/>
    <mergeCell ref="B44:H44"/>
    <mergeCell ref="J44:P44"/>
    <mergeCell ref="B42:H42"/>
    <mergeCell ref="J42:P42"/>
    <mergeCell ref="B38:H38"/>
    <mergeCell ref="J38:P38"/>
    <mergeCell ref="S36:T36"/>
    <mergeCell ref="B26:F26"/>
    <mergeCell ref="J26:P26"/>
    <mergeCell ref="B28:F28"/>
    <mergeCell ref="J28:P28"/>
    <mergeCell ref="B30:F30"/>
    <mergeCell ref="J30:P30"/>
    <mergeCell ref="B32:F32"/>
    <mergeCell ref="J32:P32"/>
    <mergeCell ref="B34:P34"/>
    <mergeCell ref="B36:H36"/>
    <mergeCell ref="J36:P36"/>
    <mergeCell ref="S18:T18"/>
    <mergeCell ref="B20:P20"/>
    <mergeCell ref="D22:H22"/>
    <mergeCell ref="J22:P22"/>
    <mergeCell ref="S22:T22"/>
    <mergeCell ref="B24:F24"/>
    <mergeCell ref="J24:P24"/>
    <mergeCell ref="B14:P14"/>
    <mergeCell ref="B16:D16"/>
    <mergeCell ref="F16:L16"/>
    <mergeCell ref="B18:D18"/>
    <mergeCell ref="F18:H18"/>
    <mergeCell ref="J18:N18"/>
    <mergeCell ref="N10:P10"/>
    <mergeCell ref="B12:D12"/>
    <mergeCell ref="F12:H12"/>
    <mergeCell ref="J12:L12"/>
    <mergeCell ref="N12:P12"/>
    <mergeCell ref="B100:D100"/>
    <mergeCell ref="S4:T4"/>
    <mergeCell ref="B2:D2"/>
    <mergeCell ref="F2:L2"/>
    <mergeCell ref="B4:D4"/>
    <mergeCell ref="F4:J4"/>
    <mergeCell ref="L4:N4"/>
    <mergeCell ref="B6:H6"/>
    <mergeCell ref="J6:P6"/>
    <mergeCell ref="B8:D8"/>
    <mergeCell ref="F8:H8"/>
    <mergeCell ref="J8:L8"/>
    <mergeCell ref="N8:P8"/>
    <mergeCell ref="B10:D10"/>
    <mergeCell ref="F10:H10"/>
    <mergeCell ref="J10:L10"/>
  </mergeCells>
  <dataValidations count="8">
    <dataValidation type="list" allowBlank="1" showInputMessage="1" showErrorMessage="1" sqref="J44:P46 J38:P38 J40:P40 J42:P42">
      <formula1>Resources</formula1>
    </dataValidation>
    <dataValidation type="list" allowBlank="1" showInputMessage="1" showErrorMessage="1" sqref="P17:P18 O18">
      <formula1>HD</formula1>
    </dataValidation>
    <dataValidation type="list" allowBlank="1" showInputMessage="1" showErrorMessage="1" sqref="B44:H46 B38:H38 B40:H40 B42:H42">
      <formula1>Tactics</formula1>
    </dataValidation>
    <dataValidation type="list" allowBlank="1" showInputMessage="1" showErrorMessage="1" sqref="B50:H50 B52:H52 B54:H54 B56:H56 B58:H58">
      <formula1>ArmySA</formula1>
    </dataValidation>
    <dataValidation type="list" allowBlank="1" showInputMessage="1" showErrorMessage="1" sqref="J24:P24 J26:P26 J28:P28 J30:P30 J32:P32">
      <formula1>Boons</formula1>
    </dataValidation>
    <dataValidation type="list" allowBlank="1" showInputMessage="1" showErrorMessage="1" sqref="N12:P12">
      <formula1>Morale</formula1>
    </dataValidation>
    <dataValidation type="list" allowBlank="1" showInputMessage="1" showErrorMessage="1" sqref="F4:J4">
      <formula1>ArmySize</formula1>
    </dataValidation>
    <dataValidation type="list" allowBlank="1" showInputMessage="1" showErrorMessage="1" sqref="P4 H32">
      <formula1>YN</formula1>
    </dataValidation>
  </dataValidation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Y178"/>
  <sheetViews>
    <sheetView workbookViewId="0">
      <selection activeCell="B46" sqref="A1:XFD1048576"/>
    </sheetView>
  </sheetViews>
  <sheetFormatPr defaultColWidth="9.140625" defaultRowHeight="15" x14ac:dyDescent="0.25"/>
  <cols>
    <col min="1" max="1" width="0.85546875" style="61" customWidth="1"/>
    <col min="2" max="2" width="9.85546875" style="61" customWidth="1"/>
    <col min="3" max="3" width="0.85546875" style="61" customWidth="1"/>
    <col min="4" max="4" width="9.7109375" style="61" customWidth="1"/>
    <col min="5" max="5" width="0.85546875" style="298" customWidth="1"/>
    <col min="6" max="6" width="6.28515625" style="298" customWidth="1"/>
    <col min="7" max="7" width="0.85546875" style="298" customWidth="1"/>
    <col min="8" max="8" width="6.28515625" style="61" customWidth="1"/>
    <col min="9" max="9" width="0.85546875" style="664" customWidth="1"/>
    <col min="10" max="10" width="9.85546875" style="61" customWidth="1"/>
    <col min="11" max="11" width="0.85546875" style="298" customWidth="1"/>
    <col min="12" max="12" width="9.7109375" style="298" customWidth="1"/>
    <col min="13" max="13" width="0.85546875" style="298" customWidth="1"/>
    <col min="14" max="14" width="6.28515625" style="298" bestFit="1" customWidth="1"/>
    <col min="15" max="15" width="0.85546875" style="298" customWidth="1"/>
    <col min="16" max="16" width="6.28515625" style="298" bestFit="1" customWidth="1"/>
    <col min="17" max="17" width="0.85546875" style="298" customWidth="1"/>
    <col min="18" max="18" width="9.140625" style="61"/>
    <col min="19" max="20" width="9.85546875" style="61" hidden="1" customWidth="1"/>
    <col min="21" max="21" width="0.85546875" style="61" hidden="1" customWidth="1"/>
    <col min="22" max="22" width="9.140625" style="61" hidden="1" customWidth="1"/>
    <col min="23" max="16384" width="9.140625" style="61"/>
  </cols>
  <sheetData>
    <row r="1" spans="1:22" ht="5.0999999999999996" customHeight="1" thickBot="1" x14ac:dyDescent="0.3">
      <c r="A1" s="241"/>
      <c r="B1" s="242"/>
      <c r="C1" s="242"/>
      <c r="D1" s="242"/>
      <c r="E1" s="242"/>
      <c r="F1" s="242"/>
      <c r="G1" s="242"/>
      <c r="H1" s="242"/>
      <c r="I1" s="242"/>
      <c r="J1" s="242"/>
      <c r="K1" s="242"/>
      <c r="L1" s="242"/>
      <c r="M1" s="242"/>
      <c r="N1" s="242"/>
      <c r="O1" s="242"/>
      <c r="P1" s="242"/>
      <c r="Q1" s="243"/>
    </row>
    <row r="2" spans="1:22" ht="15.75" thickBot="1" x14ac:dyDescent="0.3">
      <c r="A2" s="504"/>
      <c r="B2" s="800" t="s">
        <v>78</v>
      </c>
      <c r="C2" s="800"/>
      <c r="D2" s="800"/>
      <c r="E2" s="62"/>
      <c r="F2" s="797"/>
      <c r="G2" s="798"/>
      <c r="H2" s="798"/>
      <c r="I2" s="798"/>
      <c r="J2" s="798"/>
      <c r="K2" s="798"/>
      <c r="L2" s="799"/>
      <c r="M2" s="60"/>
      <c r="N2" s="663" t="s">
        <v>460</v>
      </c>
      <c r="O2" s="49"/>
      <c r="P2" s="257" t="str">
        <f>V6</f>
        <v>n/a</v>
      </c>
      <c r="Q2" s="238"/>
    </row>
    <row r="3" spans="1:22" s="65" customFormat="1" ht="3" customHeight="1" thickBot="1" x14ac:dyDescent="0.3">
      <c r="A3" s="505"/>
      <c r="B3" s="62"/>
      <c r="C3" s="62"/>
      <c r="D3" s="62"/>
      <c r="E3" s="62"/>
      <c r="F3" s="62"/>
      <c r="G3" s="62"/>
      <c r="H3" s="63"/>
      <c r="I3" s="298"/>
      <c r="J3" s="62"/>
      <c r="K3" s="62"/>
      <c r="L3" s="62"/>
      <c r="M3" s="62"/>
      <c r="N3" s="62"/>
      <c r="O3" s="62"/>
      <c r="P3" s="298"/>
      <c r="Q3" s="239"/>
    </row>
    <row r="4" spans="1:22" ht="15.75" thickBot="1" x14ac:dyDescent="0.3">
      <c r="A4" s="505"/>
      <c r="B4" s="800" t="s">
        <v>43</v>
      </c>
      <c r="C4" s="800"/>
      <c r="D4" s="800"/>
      <c r="E4" s="62"/>
      <c r="F4" s="797"/>
      <c r="G4" s="798"/>
      <c r="H4" s="798"/>
      <c r="I4" s="798"/>
      <c r="J4" s="799"/>
      <c r="K4" s="66"/>
      <c r="L4" s="814" t="s">
        <v>459</v>
      </c>
      <c r="M4" s="815"/>
      <c r="N4" s="815"/>
      <c r="P4" s="254"/>
      <c r="Q4" s="239"/>
      <c r="S4" s="765" t="s">
        <v>478</v>
      </c>
      <c r="T4" s="765"/>
      <c r="V4" s="258">
        <f>IF(F4="Fine",-8,IF(F4="Diminutive",-6,IF(F4="Tiny",-4,IF(F4="Small",-2,IF(F4="Large",2,IF(F4="Huge",4,IF(F4="Gargantuan",6,IF(F4="Colossal",8,0))))))))</f>
        <v>0</v>
      </c>
    </row>
    <row r="5" spans="1:22" s="65" customFormat="1" ht="3" customHeight="1" x14ac:dyDescent="0.25">
      <c r="A5" s="505"/>
      <c r="B5" s="62"/>
      <c r="C5" s="62"/>
      <c r="D5" s="62"/>
      <c r="E5" s="62"/>
      <c r="F5" s="62"/>
      <c r="G5" s="62"/>
      <c r="H5" s="67"/>
      <c r="I5" s="67"/>
      <c r="J5" s="298"/>
      <c r="K5" s="298"/>
      <c r="L5" s="298"/>
      <c r="M5" s="298"/>
      <c r="N5" s="298"/>
      <c r="O5" s="298"/>
      <c r="P5" s="298"/>
      <c r="Q5" s="239"/>
    </row>
    <row r="6" spans="1:22" x14ac:dyDescent="0.25">
      <c r="A6" s="505"/>
      <c r="B6" s="715" t="s">
        <v>217</v>
      </c>
      <c r="C6" s="715"/>
      <c r="D6" s="715"/>
      <c r="E6" s="715"/>
      <c r="F6" s="715"/>
      <c r="G6" s="715"/>
      <c r="H6" s="715"/>
      <c r="I6" s="504"/>
      <c r="J6" s="715" t="s">
        <v>220</v>
      </c>
      <c r="K6" s="715"/>
      <c r="L6" s="715"/>
      <c r="M6" s="715"/>
      <c r="N6" s="715"/>
      <c r="O6" s="715"/>
      <c r="P6" s="715"/>
      <c r="Q6" s="239"/>
      <c r="S6" s="61" t="s">
        <v>1691</v>
      </c>
      <c r="V6" s="61" t="str">
        <f>IF(P16&lt;&gt;"",IF(P16+V4&gt;-5,IF(P16+V4&lt;1,VLOOKUP(P16+V4,'Drop Down'!C88:D93,2,FALSE),P16+V4),"n/a"),"n/a")</f>
        <v>n/a</v>
      </c>
    </row>
    <row r="7" spans="1:22" ht="3" customHeight="1" thickBot="1" x14ac:dyDescent="0.3">
      <c r="A7" s="505"/>
      <c r="B7" s="664"/>
      <c r="C7" s="664"/>
      <c r="D7" s="664"/>
      <c r="H7" s="664"/>
      <c r="J7" s="664"/>
      <c r="Q7" s="239"/>
    </row>
    <row r="8" spans="1:22" ht="15.75" thickBot="1" x14ac:dyDescent="0.3">
      <c r="A8" s="505"/>
      <c r="B8" s="765" t="s">
        <v>462</v>
      </c>
      <c r="C8" s="765"/>
      <c r="D8" s="765"/>
      <c r="E8" s="556"/>
      <c r="F8" s="811" t="str">
        <f>IF(P2="n/a","n/a",ROUNDDOWN(V18*P2,0))</f>
        <v>n/a</v>
      </c>
      <c r="G8" s="812"/>
      <c r="H8" s="813"/>
      <c r="I8" s="504"/>
      <c r="J8" s="765" t="s">
        <v>157</v>
      </c>
      <c r="K8" s="765"/>
      <c r="L8" s="765"/>
      <c r="M8" s="504"/>
      <c r="N8" s="676" t="str">
        <f>IF(F18&lt;&gt;"",IF(ROUNDDOWN(F18/15,0)&lt;1,1,ROUNDDOWN(F18/15,0)),"n/a")</f>
        <v>n/a</v>
      </c>
      <c r="O8" s="804"/>
      <c r="P8" s="677"/>
      <c r="Q8" s="239"/>
    </row>
    <row r="9" spans="1:22" ht="3" customHeight="1" thickBot="1" x14ac:dyDescent="0.3">
      <c r="A9" s="505"/>
      <c r="B9" s="60"/>
      <c r="C9" s="60"/>
      <c r="D9" s="60"/>
      <c r="H9" s="664"/>
      <c r="J9" s="664"/>
      <c r="L9" s="60"/>
      <c r="Q9" s="239"/>
    </row>
    <row r="10" spans="1:22" ht="15.75" thickBot="1" x14ac:dyDescent="0.3">
      <c r="A10" s="505"/>
      <c r="B10" s="765" t="s">
        <v>463</v>
      </c>
      <c r="C10" s="765"/>
      <c r="D10" s="765"/>
      <c r="E10" s="556"/>
      <c r="F10" s="676" t="str">
        <f>IF(P2="n/a","n/a",CONCATENATE("+",(P2+F95),IF(F99&gt;0,", ranged","")))</f>
        <v>n/a</v>
      </c>
      <c r="G10" s="804"/>
      <c r="H10" s="677"/>
      <c r="I10" s="504"/>
      <c r="J10" s="765" t="s">
        <v>61</v>
      </c>
      <c r="K10" s="765"/>
      <c r="L10" s="765"/>
      <c r="M10" s="504"/>
      <c r="N10" s="676" t="str">
        <f>IF(P2="n/a","n/a",(IF(P2/2&lt;1,1,ROUNDDOWN(P2/2,0))+F98))</f>
        <v>n/a</v>
      </c>
      <c r="O10" s="804"/>
      <c r="P10" s="677"/>
      <c r="Q10" s="239"/>
    </row>
    <row r="11" spans="1:22" ht="3" customHeight="1" thickBot="1" x14ac:dyDescent="0.3">
      <c r="A11" s="505"/>
      <c r="B11" s="60"/>
      <c r="C11" s="60"/>
      <c r="D11" s="60"/>
      <c r="H11" s="664"/>
      <c r="J11" s="664"/>
      <c r="L11" s="60"/>
      <c r="Q11" s="239"/>
    </row>
    <row r="12" spans="1:22" ht="15.75" thickBot="1" x14ac:dyDescent="0.3">
      <c r="A12" s="505"/>
      <c r="B12" s="765" t="s">
        <v>464</v>
      </c>
      <c r="C12" s="765"/>
      <c r="D12" s="765"/>
      <c r="E12" s="556"/>
      <c r="F12" s="676" t="str">
        <f>IF(P2="n/a","n/a",10+P2+F96)</f>
        <v>n/a</v>
      </c>
      <c r="G12" s="804"/>
      <c r="H12" s="677"/>
      <c r="I12" s="504"/>
      <c r="J12" s="765" t="s">
        <v>160</v>
      </c>
      <c r="K12" s="765"/>
      <c r="L12" s="765"/>
      <c r="M12" s="504"/>
      <c r="N12" s="762" t="s">
        <v>601</v>
      </c>
      <c r="O12" s="763"/>
      <c r="P12" s="764"/>
      <c r="Q12" s="239"/>
    </row>
    <row r="13" spans="1:22" ht="3" customHeight="1" x14ac:dyDescent="0.25">
      <c r="A13" s="505"/>
      <c r="B13" s="664"/>
      <c r="C13" s="664"/>
      <c r="D13" s="664"/>
      <c r="H13" s="664"/>
      <c r="J13" s="664"/>
      <c r="Q13" s="239"/>
    </row>
    <row r="14" spans="1:22" x14ac:dyDescent="0.25">
      <c r="A14" s="505"/>
      <c r="B14" s="715" t="s">
        <v>470</v>
      </c>
      <c r="C14" s="715"/>
      <c r="D14" s="715"/>
      <c r="E14" s="715"/>
      <c r="F14" s="715"/>
      <c r="G14" s="715"/>
      <c r="H14" s="715"/>
      <c r="I14" s="715"/>
      <c r="J14" s="715"/>
      <c r="K14" s="715"/>
      <c r="L14" s="715"/>
      <c r="M14" s="715"/>
      <c r="N14" s="715"/>
      <c r="O14" s="715"/>
      <c r="P14" s="715"/>
      <c r="Q14" s="239"/>
    </row>
    <row r="15" spans="1:22" ht="3" customHeight="1" thickBot="1" x14ac:dyDescent="0.3">
      <c r="A15" s="505"/>
      <c r="B15" s="664"/>
      <c r="C15" s="664"/>
      <c r="D15" s="664"/>
      <c r="H15" s="664"/>
      <c r="J15" s="664"/>
      <c r="P15" s="71"/>
      <c r="Q15" s="239"/>
    </row>
    <row r="16" spans="1:22" ht="15.75" thickBot="1" x14ac:dyDescent="0.3">
      <c r="A16" s="505"/>
      <c r="B16" s="800" t="s">
        <v>84</v>
      </c>
      <c r="C16" s="800"/>
      <c r="D16" s="800"/>
      <c r="E16" s="62"/>
      <c r="F16" s="797"/>
      <c r="G16" s="798"/>
      <c r="H16" s="798"/>
      <c r="I16" s="798"/>
      <c r="J16" s="798"/>
      <c r="K16" s="798"/>
      <c r="L16" s="799"/>
      <c r="M16" s="658"/>
      <c r="N16" s="663" t="s">
        <v>159</v>
      </c>
      <c r="O16" s="658"/>
      <c r="P16" s="255"/>
      <c r="Q16" s="239"/>
    </row>
    <row r="17" spans="1:22" ht="3" customHeight="1" thickBot="1" x14ac:dyDescent="0.3">
      <c r="A17" s="505"/>
      <c r="B17" s="664"/>
      <c r="C17" s="664"/>
      <c r="D17" s="664"/>
      <c r="H17" s="664"/>
      <c r="I17" s="504"/>
      <c r="J17" s="664"/>
      <c r="N17" s="62" t="s">
        <v>162</v>
      </c>
      <c r="O17" s="658"/>
      <c r="P17" s="235"/>
      <c r="Q17" s="239"/>
    </row>
    <row r="18" spans="1:22" ht="15.75" thickBot="1" x14ac:dyDescent="0.3">
      <c r="A18" s="505"/>
      <c r="B18" s="765" t="s">
        <v>157</v>
      </c>
      <c r="C18" s="765"/>
      <c r="D18" s="765"/>
      <c r="E18" s="556"/>
      <c r="F18" s="805"/>
      <c r="G18" s="806"/>
      <c r="H18" s="807"/>
      <c r="I18" s="504"/>
      <c r="J18" s="765" t="s">
        <v>471</v>
      </c>
      <c r="K18" s="765"/>
      <c r="L18" s="765"/>
      <c r="M18" s="765"/>
      <c r="N18" s="765"/>
      <c r="O18" s="503"/>
      <c r="P18" s="254"/>
      <c r="Q18" s="239"/>
      <c r="S18" s="765" t="s">
        <v>461</v>
      </c>
      <c r="T18" s="765"/>
      <c r="V18" s="258">
        <f>IF(P18="d6",3.5,IF(P18="d8",4.5,IF(P18="d10",5.5,IF(P18="d12",6.5,0))))</f>
        <v>0</v>
      </c>
    </row>
    <row r="19" spans="1:22" s="65" customFormat="1" ht="3" customHeight="1" x14ac:dyDescent="0.25">
      <c r="A19" s="505"/>
      <c r="B19" s="234"/>
      <c r="C19" s="234"/>
      <c r="D19" s="234"/>
      <c r="E19" s="67"/>
      <c r="F19" s="67"/>
      <c r="G19" s="67"/>
      <c r="H19" s="67"/>
      <c r="I19" s="63"/>
      <c r="J19" s="234"/>
      <c r="K19" s="63"/>
      <c r="L19" s="63"/>
      <c r="M19" s="63"/>
      <c r="N19" s="63"/>
      <c r="O19" s="63"/>
      <c r="P19" s="63"/>
      <c r="Q19" s="239"/>
    </row>
    <row r="20" spans="1:22" x14ac:dyDescent="0.25">
      <c r="A20" s="505"/>
      <c r="B20" s="715" t="s">
        <v>468</v>
      </c>
      <c r="C20" s="715"/>
      <c r="D20" s="715"/>
      <c r="E20" s="715"/>
      <c r="F20" s="715"/>
      <c r="G20" s="715"/>
      <c r="H20" s="715"/>
      <c r="I20" s="715"/>
      <c r="J20" s="715"/>
      <c r="K20" s="715"/>
      <c r="L20" s="715"/>
      <c r="M20" s="715"/>
      <c r="N20" s="715"/>
      <c r="O20" s="715"/>
      <c r="P20" s="715"/>
      <c r="Q20" s="239"/>
    </row>
    <row r="21" spans="1:22" ht="3" customHeight="1" thickBot="1" x14ac:dyDescent="0.3">
      <c r="A21" s="505"/>
      <c r="B21" s="193"/>
      <c r="C21" s="193"/>
      <c r="D21" s="193"/>
      <c r="E21" s="193"/>
      <c r="F21" s="193"/>
      <c r="G21" s="193"/>
      <c r="H21" s="193"/>
      <c r="I21" s="193"/>
      <c r="J21" s="193"/>
      <c r="K21" s="193"/>
      <c r="L21" s="193"/>
      <c r="M21" s="193"/>
      <c r="N21" s="193"/>
      <c r="O21" s="193"/>
      <c r="P21" s="193"/>
      <c r="Q21" s="239"/>
    </row>
    <row r="22" spans="1:22" s="233" customFormat="1" ht="15.75" thickBot="1" x14ac:dyDescent="0.3">
      <c r="A22" s="505"/>
      <c r="B22" s="663" t="s">
        <v>78</v>
      </c>
      <c r="C22" s="62"/>
      <c r="D22" s="808"/>
      <c r="E22" s="809"/>
      <c r="F22" s="809"/>
      <c r="G22" s="809"/>
      <c r="H22" s="810"/>
      <c r="I22" s="248"/>
      <c r="J22" s="715" t="s">
        <v>482</v>
      </c>
      <c r="K22" s="715"/>
      <c r="L22" s="715"/>
      <c r="M22" s="715"/>
      <c r="N22" s="715"/>
      <c r="O22" s="715"/>
      <c r="P22" s="715"/>
      <c r="Q22" s="239"/>
      <c r="S22" s="765" t="s">
        <v>482</v>
      </c>
      <c r="T22" s="765"/>
      <c r="V22" s="233" t="str">
        <f>CONCATENATE(IF(J24&lt;&gt;0,J24,""),IF(J26&lt;&gt;0,CONCATENATE(", ",J26),""),IF(J28&lt;&gt;0,CONCATENATE(", ",J28),""),IF(J30&lt;&gt;0,CONCATENATE(", ",J30),""),IF(J32&lt;&gt;0,CONCATENATE(", ",J32),""))</f>
        <v/>
      </c>
    </row>
    <row r="23" spans="1:22" s="233" customFormat="1" ht="3" customHeight="1" thickBot="1" x14ac:dyDescent="0.3">
      <c r="A23" s="505"/>
      <c r="B23" s="153"/>
      <c r="C23" s="153"/>
      <c r="D23" s="153"/>
      <c r="E23" s="153"/>
      <c r="F23" s="153"/>
      <c r="G23" s="153"/>
      <c r="H23" s="153"/>
      <c r="I23" s="153"/>
      <c r="J23" s="153"/>
      <c r="K23" s="153"/>
      <c r="L23" s="153"/>
      <c r="M23" s="153"/>
      <c r="N23" s="153"/>
      <c r="O23" s="153"/>
      <c r="P23" s="153"/>
      <c r="Q23" s="239"/>
    </row>
    <row r="24" spans="1:22" s="233" customFormat="1" ht="15.75" thickBot="1" x14ac:dyDescent="0.3">
      <c r="A24" s="505"/>
      <c r="B24" s="765" t="s">
        <v>55</v>
      </c>
      <c r="C24" s="765"/>
      <c r="D24" s="765"/>
      <c r="E24" s="765"/>
      <c r="F24" s="765"/>
      <c r="G24" s="250"/>
      <c r="H24" s="150">
        <f>IF(H32="Yes",H26+H28+3,H26+H28)</f>
        <v>0</v>
      </c>
      <c r="I24" s="153"/>
      <c r="J24" s="801"/>
      <c r="K24" s="802"/>
      <c r="L24" s="802"/>
      <c r="M24" s="802"/>
      <c r="N24" s="802"/>
      <c r="O24" s="802"/>
      <c r="P24" s="803"/>
      <c r="Q24" s="239"/>
    </row>
    <row r="25" spans="1:22" s="233" customFormat="1" ht="3" customHeight="1" thickBot="1" x14ac:dyDescent="0.3">
      <c r="A25" s="505"/>
      <c r="G25" s="260"/>
      <c r="I25" s="153"/>
      <c r="J25" s="69"/>
      <c r="K25" s="69"/>
      <c r="L25" s="69"/>
      <c r="M25" s="69"/>
      <c r="N25" s="69"/>
      <c r="O25" s="69"/>
      <c r="P25" s="69"/>
      <c r="Q25" s="239"/>
    </row>
    <row r="26" spans="1:22" s="233" customFormat="1" ht="15.75" thickBot="1" x14ac:dyDescent="0.3">
      <c r="A26" s="505"/>
      <c r="B26" s="765" t="s">
        <v>483</v>
      </c>
      <c r="C26" s="765"/>
      <c r="D26" s="765"/>
      <c r="E26" s="765"/>
      <c r="F26" s="765"/>
      <c r="G26" s="250"/>
      <c r="H26" s="270"/>
      <c r="I26" s="153"/>
      <c r="J26" s="801"/>
      <c r="K26" s="802"/>
      <c r="L26" s="802"/>
      <c r="M26" s="802"/>
      <c r="N26" s="802"/>
      <c r="O26" s="802"/>
      <c r="P26" s="803"/>
      <c r="Q26" s="239"/>
    </row>
    <row r="27" spans="1:22" s="233" customFormat="1" ht="3" customHeight="1" thickBot="1" x14ac:dyDescent="0.3">
      <c r="A27" s="505"/>
      <c r="B27" s="153"/>
      <c r="C27" s="153"/>
      <c r="D27" s="153"/>
      <c r="E27" s="153"/>
      <c r="F27" s="153"/>
      <c r="G27" s="153"/>
      <c r="H27" s="153"/>
      <c r="I27" s="153"/>
      <c r="J27" s="69"/>
      <c r="K27" s="69"/>
      <c r="L27" s="69"/>
      <c r="M27" s="69"/>
      <c r="N27" s="69"/>
      <c r="O27" s="69"/>
      <c r="P27" s="69"/>
      <c r="Q27" s="239"/>
    </row>
    <row r="28" spans="1:22" s="233" customFormat="1" ht="15.75" thickBot="1" x14ac:dyDescent="0.3">
      <c r="A28" s="505"/>
      <c r="B28" s="765" t="s">
        <v>479</v>
      </c>
      <c r="C28" s="765"/>
      <c r="D28" s="765"/>
      <c r="E28" s="765"/>
      <c r="F28" s="765"/>
      <c r="G28" s="250"/>
      <c r="H28" s="270"/>
      <c r="I28" s="153"/>
      <c r="J28" s="801"/>
      <c r="K28" s="802"/>
      <c r="L28" s="802"/>
      <c r="M28" s="802"/>
      <c r="N28" s="802"/>
      <c r="O28" s="802"/>
      <c r="P28" s="803"/>
      <c r="Q28" s="239"/>
    </row>
    <row r="29" spans="1:22" ht="3" customHeight="1" thickBot="1" x14ac:dyDescent="0.3">
      <c r="A29" s="505"/>
      <c r="B29" s="664"/>
      <c r="C29" s="664"/>
      <c r="D29" s="664"/>
      <c r="H29" s="664"/>
      <c r="J29" s="69"/>
      <c r="K29" s="69"/>
      <c r="L29" s="69"/>
      <c r="M29" s="69"/>
      <c r="N29" s="69"/>
      <c r="O29" s="69"/>
      <c r="P29" s="69"/>
      <c r="Q29" s="239"/>
    </row>
    <row r="30" spans="1:22" ht="15.75" thickBot="1" x14ac:dyDescent="0.3">
      <c r="A30" s="505"/>
      <c r="B30" s="765" t="s">
        <v>481</v>
      </c>
      <c r="C30" s="765"/>
      <c r="D30" s="765"/>
      <c r="E30" s="765"/>
      <c r="F30" s="765"/>
      <c r="H30" s="270"/>
      <c r="J30" s="801"/>
      <c r="K30" s="802"/>
      <c r="L30" s="802"/>
      <c r="M30" s="802"/>
      <c r="N30" s="802"/>
      <c r="O30" s="802"/>
      <c r="P30" s="803"/>
      <c r="Q30" s="239"/>
    </row>
    <row r="31" spans="1:22" ht="3" customHeight="1" thickBot="1" x14ac:dyDescent="0.3">
      <c r="A31" s="505"/>
      <c r="B31" s="664"/>
      <c r="C31" s="664"/>
      <c r="D31" s="664"/>
      <c r="H31" s="664"/>
      <c r="J31" s="73"/>
      <c r="K31" s="73"/>
      <c r="L31" s="73"/>
      <c r="M31" s="73"/>
      <c r="N31" s="73"/>
      <c r="O31" s="73"/>
      <c r="P31" s="73"/>
      <c r="Q31" s="239"/>
    </row>
    <row r="32" spans="1:22" ht="15.75" thickBot="1" x14ac:dyDescent="0.3">
      <c r="A32" s="505"/>
      <c r="B32" s="765" t="s">
        <v>467</v>
      </c>
      <c r="C32" s="765"/>
      <c r="D32" s="765"/>
      <c r="E32" s="765"/>
      <c r="F32" s="765"/>
      <c r="H32" s="256"/>
      <c r="J32" s="801"/>
      <c r="K32" s="802"/>
      <c r="L32" s="802"/>
      <c r="M32" s="802"/>
      <c r="N32" s="802"/>
      <c r="O32" s="802"/>
      <c r="P32" s="803"/>
      <c r="Q32" s="239"/>
    </row>
    <row r="33" spans="1:25" ht="3" customHeight="1" x14ac:dyDescent="0.25">
      <c r="A33" s="505"/>
      <c r="B33" s="664"/>
      <c r="C33" s="664"/>
      <c r="D33" s="664"/>
      <c r="H33" s="664"/>
      <c r="J33" s="73"/>
      <c r="K33" s="73"/>
      <c r="L33" s="73"/>
      <c r="M33" s="73"/>
      <c r="N33" s="73"/>
      <c r="O33" s="73"/>
      <c r="P33" s="73"/>
      <c r="Q33" s="239"/>
    </row>
    <row r="34" spans="1:25" x14ac:dyDescent="0.25">
      <c r="A34" s="505"/>
      <c r="B34" s="715" t="s">
        <v>469</v>
      </c>
      <c r="C34" s="715"/>
      <c r="D34" s="715"/>
      <c r="E34" s="715"/>
      <c r="F34" s="715"/>
      <c r="G34" s="715"/>
      <c r="H34" s="715"/>
      <c r="I34" s="715"/>
      <c r="J34" s="715"/>
      <c r="K34" s="715"/>
      <c r="L34" s="715"/>
      <c r="M34" s="715"/>
      <c r="N34" s="715"/>
      <c r="O34" s="715"/>
      <c r="P34" s="715"/>
      <c r="Q34" s="239"/>
    </row>
    <row r="35" spans="1:25" ht="3" customHeight="1" x14ac:dyDescent="0.25">
      <c r="A35" s="505"/>
      <c r="B35" s="664"/>
      <c r="C35" s="664"/>
      <c r="D35" s="664"/>
      <c r="H35" s="664"/>
      <c r="J35" s="664"/>
      <c r="Q35" s="239"/>
    </row>
    <row r="36" spans="1:25" x14ac:dyDescent="0.25">
      <c r="A36" s="505"/>
      <c r="B36" s="715" t="s">
        <v>158</v>
      </c>
      <c r="C36" s="715"/>
      <c r="D36" s="715"/>
      <c r="E36" s="715"/>
      <c r="F36" s="715"/>
      <c r="G36" s="715"/>
      <c r="H36" s="715"/>
      <c r="I36" s="504"/>
      <c r="J36" s="715" t="s">
        <v>56</v>
      </c>
      <c r="K36" s="715"/>
      <c r="L36" s="715"/>
      <c r="M36" s="715"/>
      <c r="N36" s="715"/>
      <c r="O36" s="715"/>
      <c r="P36" s="715"/>
      <c r="Q36" s="239"/>
      <c r="S36" s="765" t="s">
        <v>158</v>
      </c>
      <c r="T36" s="765"/>
      <c r="U36" s="193"/>
      <c r="V36" s="504" t="str">
        <f>CONCATENATE(IF(B38&lt;&gt;0,B38,""),IF(B40&lt;&gt;0,CONCATENATE(", ",B40),""),IF(B42&lt;&gt;0,CONCATENATE(", ",B42),""),IF(B44&lt;&gt;0,CONCATENATE(", ",B44),""),IF(B46&lt;&gt;0,CONCATENATE(", ",B46),""))</f>
        <v/>
      </c>
      <c r="W36" s="504"/>
      <c r="X36" s="504"/>
      <c r="Y36" s="504"/>
    </row>
    <row r="37" spans="1:25" s="664" customFormat="1" ht="3" customHeight="1" thickBot="1" x14ac:dyDescent="0.3">
      <c r="A37" s="505"/>
      <c r="B37" s="69"/>
      <c r="C37" s="69"/>
      <c r="D37" s="69"/>
      <c r="E37" s="69"/>
      <c r="F37" s="69"/>
      <c r="G37" s="69"/>
      <c r="H37" s="69"/>
      <c r="I37" s="69"/>
      <c r="J37" s="69"/>
      <c r="K37" s="69"/>
      <c r="L37" s="69"/>
      <c r="M37" s="69"/>
      <c r="N37" s="69"/>
      <c r="O37" s="69"/>
      <c r="P37" s="69"/>
      <c r="Q37" s="239"/>
    </row>
    <row r="38" spans="1:25" s="664" customFormat="1" ht="15.75" thickBot="1" x14ac:dyDescent="0.3">
      <c r="A38" s="505"/>
      <c r="B38" s="801"/>
      <c r="C38" s="802"/>
      <c r="D38" s="802"/>
      <c r="E38" s="802"/>
      <c r="F38" s="802"/>
      <c r="G38" s="802"/>
      <c r="H38" s="803"/>
      <c r="I38" s="69"/>
      <c r="J38" s="801"/>
      <c r="K38" s="802"/>
      <c r="L38" s="802"/>
      <c r="M38" s="802"/>
      <c r="N38" s="802"/>
      <c r="O38" s="802"/>
      <c r="P38" s="803"/>
      <c r="Q38" s="239"/>
      <c r="S38" s="765" t="s">
        <v>56</v>
      </c>
      <c r="T38" s="765"/>
      <c r="V38" s="664" t="str">
        <f>CONCATENATE(IF(J38&lt;&gt;0,J38,""),IF(J40&lt;&gt;0,CONCATENATE(", ",J40),""),IF(J42&lt;&gt;0,CONCATENATE(", ",J42),""),IF(J44&lt;&gt;0,CONCATENATE(", ",J44),""),IF(J46&lt;&gt;0,CONCATENATE(", ",J46),""))</f>
        <v/>
      </c>
    </row>
    <row r="39" spans="1:25" s="664" customFormat="1" ht="3" customHeight="1" thickBot="1" x14ac:dyDescent="0.3">
      <c r="A39" s="505"/>
      <c r="B39" s="69"/>
      <c r="C39" s="69"/>
      <c r="D39" s="69"/>
      <c r="E39" s="69"/>
      <c r="F39" s="69"/>
      <c r="G39" s="69"/>
      <c r="H39" s="69"/>
      <c r="I39" s="69"/>
      <c r="J39" s="69"/>
      <c r="K39" s="69"/>
      <c r="L39" s="69"/>
      <c r="M39" s="69"/>
      <c r="N39" s="69"/>
      <c r="O39" s="69"/>
      <c r="P39" s="69"/>
      <c r="Q39" s="239"/>
    </row>
    <row r="40" spans="1:25" s="664" customFormat="1" ht="15.75" thickBot="1" x14ac:dyDescent="0.3">
      <c r="A40" s="505"/>
      <c r="B40" s="801"/>
      <c r="C40" s="802"/>
      <c r="D40" s="802"/>
      <c r="E40" s="802"/>
      <c r="F40" s="802"/>
      <c r="G40" s="802"/>
      <c r="H40" s="803"/>
      <c r="I40" s="69"/>
      <c r="J40" s="801"/>
      <c r="K40" s="802"/>
      <c r="L40" s="802"/>
      <c r="M40" s="802"/>
      <c r="N40" s="802"/>
      <c r="O40" s="802"/>
      <c r="P40" s="803"/>
      <c r="Q40" s="239"/>
    </row>
    <row r="41" spans="1:25" s="664" customFormat="1" ht="3" customHeight="1" thickBot="1" x14ac:dyDescent="0.3">
      <c r="A41" s="505"/>
      <c r="B41" s="69"/>
      <c r="C41" s="69"/>
      <c r="D41" s="69"/>
      <c r="E41" s="69"/>
      <c r="F41" s="69"/>
      <c r="G41" s="69"/>
      <c r="H41" s="69"/>
      <c r="I41" s="69"/>
      <c r="J41" s="69"/>
      <c r="K41" s="69"/>
      <c r="L41" s="69"/>
      <c r="M41" s="69"/>
      <c r="N41" s="69"/>
      <c r="O41" s="69"/>
      <c r="P41" s="69"/>
      <c r="Q41" s="239"/>
    </row>
    <row r="42" spans="1:25" s="664" customFormat="1" ht="15.75" thickBot="1" x14ac:dyDescent="0.3">
      <c r="A42" s="505"/>
      <c r="B42" s="801"/>
      <c r="C42" s="802"/>
      <c r="D42" s="802"/>
      <c r="E42" s="802"/>
      <c r="F42" s="802"/>
      <c r="G42" s="802"/>
      <c r="H42" s="803"/>
      <c r="I42" s="69"/>
      <c r="J42" s="801"/>
      <c r="K42" s="802"/>
      <c r="L42" s="802"/>
      <c r="M42" s="802"/>
      <c r="N42" s="802"/>
      <c r="O42" s="802"/>
      <c r="P42" s="803"/>
      <c r="Q42" s="239"/>
    </row>
    <row r="43" spans="1:25" s="664" customFormat="1" ht="3" customHeight="1" thickBot="1" x14ac:dyDescent="0.3">
      <c r="A43" s="505"/>
      <c r="B43" s="69"/>
      <c r="C43" s="69"/>
      <c r="D43" s="69"/>
      <c r="E43" s="69"/>
      <c r="F43" s="69"/>
      <c r="G43" s="69"/>
      <c r="H43" s="69"/>
      <c r="I43" s="69"/>
      <c r="J43" s="69"/>
      <c r="K43" s="69"/>
      <c r="L43" s="69"/>
      <c r="M43" s="69"/>
      <c r="N43" s="69"/>
      <c r="O43" s="69"/>
      <c r="P43" s="69"/>
      <c r="Q43" s="239"/>
    </row>
    <row r="44" spans="1:25" s="664" customFormat="1" ht="15.75" thickBot="1" x14ac:dyDescent="0.3">
      <c r="A44" s="505"/>
      <c r="B44" s="801"/>
      <c r="C44" s="802"/>
      <c r="D44" s="802"/>
      <c r="E44" s="802"/>
      <c r="F44" s="802"/>
      <c r="G44" s="802"/>
      <c r="H44" s="803"/>
      <c r="I44" s="69"/>
      <c r="J44" s="801"/>
      <c r="K44" s="802"/>
      <c r="L44" s="802"/>
      <c r="M44" s="802"/>
      <c r="N44" s="802"/>
      <c r="O44" s="802"/>
      <c r="P44" s="803"/>
      <c r="Q44" s="239"/>
    </row>
    <row r="45" spans="1:25" s="664" customFormat="1" ht="3" customHeight="1" thickBot="1" x14ac:dyDescent="0.3">
      <c r="A45" s="505"/>
      <c r="B45" s="261"/>
      <c r="C45" s="261"/>
      <c r="D45" s="261"/>
      <c r="E45" s="261"/>
      <c r="F45" s="261"/>
      <c r="G45" s="261"/>
      <c r="H45" s="261"/>
      <c r="I45" s="69"/>
      <c r="J45" s="69"/>
      <c r="K45" s="69"/>
      <c r="L45" s="69"/>
      <c r="M45" s="69"/>
      <c r="N45" s="69"/>
      <c r="O45" s="69"/>
      <c r="P45" s="69"/>
      <c r="Q45" s="239"/>
    </row>
    <row r="46" spans="1:25" s="664" customFormat="1" ht="15.75" thickBot="1" x14ac:dyDescent="0.3">
      <c r="A46" s="505"/>
      <c r="B46" s="801"/>
      <c r="C46" s="802"/>
      <c r="D46" s="802"/>
      <c r="E46" s="802"/>
      <c r="F46" s="802"/>
      <c r="G46" s="802"/>
      <c r="H46" s="803"/>
      <c r="I46" s="69"/>
      <c r="J46" s="801"/>
      <c r="K46" s="802"/>
      <c r="L46" s="802"/>
      <c r="M46" s="802"/>
      <c r="N46" s="802"/>
      <c r="O46" s="802"/>
      <c r="P46" s="803"/>
      <c r="Q46" s="239"/>
    </row>
    <row r="47" spans="1:25" ht="3" customHeight="1" x14ac:dyDescent="0.25">
      <c r="A47" s="505"/>
      <c r="B47" s="664"/>
      <c r="C47" s="664"/>
      <c r="D47" s="664"/>
      <c r="H47" s="664"/>
      <c r="J47" s="664"/>
      <c r="Q47" s="239"/>
    </row>
    <row r="48" spans="1:25" x14ac:dyDescent="0.25">
      <c r="A48" s="505"/>
      <c r="B48" s="715" t="s">
        <v>161</v>
      </c>
      <c r="C48" s="715"/>
      <c r="D48" s="715"/>
      <c r="E48" s="715"/>
      <c r="F48" s="715"/>
      <c r="G48" s="715"/>
      <c r="H48" s="715"/>
      <c r="I48" s="504"/>
      <c r="J48" s="715" t="s">
        <v>480</v>
      </c>
      <c r="K48" s="715"/>
      <c r="L48" s="715"/>
      <c r="M48" s="715"/>
      <c r="N48" s="715"/>
      <c r="O48" s="715"/>
      <c r="P48" s="715"/>
      <c r="Q48" s="239"/>
      <c r="S48" s="765" t="s">
        <v>161</v>
      </c>
      <c r="T48" s="765"/>
      <c r="V48" s="61" t="str">
        <f>CONCATENATE(IF(B50&lt;&gt;0,B50,""),IF(B52&lt;&gt;0,CONCATENATE(", ",B52),""),IF(B54&lt;&gt;0,CONCATENATE(", ",B54),""),IF(B56&lt;&gt;0,CONCATENATE(", ",B56),""),IF(B58&lt;&gt;0,CONCATENATE(", ",B58),""))</f>
        <v/>
      </c>
    </row>
    <row r="49" spans="1:17" s="664" customFormat="1" ht="3" customHeight="1" thickBot="1" x14ac:dyDescent="0.3">
      <c r="A49" s="505"/>
      <c r="B49" s="69"/>
      <c r="C49" s="69"/>
      <c r="D49" s="69"/>
      <c r="E49" s="69"/>
      <c r="F49" s="69"/>
      <c r="G49" s="69"/>
      <c r="H49" s="69"/>
      <c r="I49" s="69"/>
      <c r="J49" s="69"/>
      <c r="K49" s="69"/>
      <c r="L49" s="69"/>
      <c r="M49" s="69"/>
      <c r="N49" s="69"/>
      <c r="O49" s="69"/>
      <c r="P49" s="69"/>
      <c r="Q49" s="239"/>
    </row>
    <row r="50" spans="1:17" s="664" customFormat="1" ht="15.75" thickBot="1" x14ac:dyDescent="0.3">
      <c r="A50" s="505"/>
      <c r="B50" s="801"/>
      <c r="C50" s="802"/>
      <c r="D50" s="802"/>
      <c r="E50" s="802"/>
      <c r="F50" s="802"/>
      <c r="G50" s="802"/>
      <c r="H50" s="803"/>
      <c r="I50" s="69"/>
      <c r="J50" s="816"/>
      <c r="K50" s="817"/>
      <c r="L50" s="817"/>
      <c r="M50" s="817"/>
      <c r="N50" s="817"/>
      <c r="O50" s="817"/>
      <c r="P50" s="818"/>
      <c r="Q50" s="239"/>
    </row>
    <row r="51" spans="1:17" s="664" customFormat="1" ht="3" customHeight="1" thickBot="1" x14ac:dyDescent="0.3">
      <c r="A51" s="505"/>
      <c r="B51" s="69"/>
      <c r="C51" s="69"/>
      <c r="D51" s="69"/>
      <c r="E51" s="69"/>
      <c r="F51" s="69"/>
      <c r="G51" s="69"/>
      <c r="H51" s="69"/>
      <c r="I51" s="69"/>
      <c r="J51" s="819"/>
      <c r="K51" s="820"/>
      <c r="L51" s="820"/>
      <c r="M51" s="820"/>
      <c r="N51" s="820"/>
      <c r="O51" s="820"/>
      <c r="P51" s="821"/>
      <c r="Q51" s="239"/>
    </row>
    <row r="52" spans="1:17" s="664" customFormat="1" ht="15.75" thickBot="1" x14ac:dyDescent="0.3">
      <c r="A52" s="505"/>
      <c r="B52" s="801"/>
      <c r="C52" s="802"/>
      <c r="D52" s="802"/>
      <c r="E52" s="802"/>
      <c r="F52" s="802"/>
      <c r="G52" s="802"/>
      <c r="H52" s="803"/>
      <c r="I52" s="69"/>
      <c r="J52" s="819"/>
      <c r="K52" s="820"/>
      <c r="L52" s="820"/>
      <c r="M52" s="820"/>
      <c r="N52" s="820"/>
      <c r="O52" s="820"/>
      <c r="P52" s="821"/>
      <c r="Q52" s="239"/>
    </row>
    <row r="53" spans="1:17" s="664" customFormat="1" ht="3" customHeight="1" thickBot="1" x14ac:dyDescent="0.3">
      <c r="A53" s="505"/>
      <c r="B53" s="69"/>
      <c r="C53" s="69"/>
      <c r="D53" s="69"/>
      <c r="E53" s="69"/>
      <c r="F53" s="69"/>
      <c r="G53" s="69"/>
      <c r="H53" s="69"/>
      <c r="I53" s="69"/>
      <c r="J53" s="819"/>
      <c r="K53" s="820"/>
      <c r="L53" s="820"/>
      <c r="M53" s="820"/>
      <c r="N53" s="820"/>
      <c r="O53" s="820"/>
      <c r="P53" s="821"/>
      <c r="Q53" s="239"/>
    </row>
    <row r="54" spans="1:17" s="664" customFormat="1" ht="15.75" thickBot="1" x14ac:dyDescent="0.3">
      <c r="A54" s="505"/>
      <c r="B54" s="801"/>
      <c r="C54" s="802"/>
      <c r="D54" s="802"/>
      <c r="E54" s="802"/>
      <c r="F54" s="802"/>
      <c r="G54" s="802"/>
      <c r="H54" s="803"/>
      <c r="I54" s="69"/>
      <c r="J54" s="819"/>
      <c r="K54" s="820"/>
      <c r="L54" s="820"/>
      <c r="M54" s="820"/>
      <c r="N54" s="820"/>
      <c r="O54" s="820"/>
      <c r="P54" s="821"/>
      <c r="Q54" s="239"/>
    </row>
    <row r="55" spans="1:17" s="664" customFormat="1" ht="3" customHeight="1" thickBot="1" x14ac:dyDescent="0.3">
      <c r="A55" s="505"/>
      <c r="B55" s="72"/>
      <c r="C55" s="72"/>
      <c r="D55" s="72"/>
      <c r="E55" s="72"/>
      <c r="F55" s="72"/>
      <c r="G55" s="72"/>
      <c r="H55" s="72"/>
      <c r="I55" s="69"/>
      <c r="J55" s="819"/>
      <c r="K55" s="820"/>
      <c r="L55" s="820"/>
      <c r="M55" s="820"/>
      <c r="N55" s="820"/>
      <c r="O55" s="820"/>
      <c r="P55" s="821"/>
      <c r="Q55" s="239"/>
    </row>
    <row r="56" spans="1:17" s="664" customFormat="1" ht="15.75" thickBot="1" x14ac:dyDescent="0.3">
      <c r="A56" s="505"/>
      <c r="B56" s="801"/>
      <c r="C56" s="802"/>
      <c r="D56" s="802"/>
      <c r="E56" s="802"/>
      <c r="F56" s="802"/>
      <c r="G56" s="802"/>
      <c r="H56" s="803"/>
      <c r="I56" s="69"/>
      <c r="J56" s="819"/>
      <c r="K56" s="820"/>
      <c r="L56" s="820"/>
      <c r="M56" s="820"/>
      <c r="N56" s="820"/>
      <c r="O56" s="820"/>
      <c r="P56" s="821"/>
      <c r="Q56" s="239"/>
    </row>
    <row r="57" spans="1:17" s="664" customFormat="1" ht="3" customHeight="1" thickBot="1" x14ac:dyDescent="0.3">
      <c r="A57" s="505"/>
      <c r="B57" s="72"/>
      <c r="C57" s="72"/>
      <c r="D57" s="72"/>
      <c r="E57" s="72"/>
      <c r="F57" s="72"/>
      <c r="G57" s="72"/>
      <c r="H57" s="72"/>
      <c r="I57" s="69"/>
      <c r="J57" s="819"/>
      <c r="K57" s="820"/>
      <c r="L57" s="820"/>
      <c r="M57" s="820"/>
      <c r="N57" s="820"/>
      <c r="O57" s="820"/>
      <c r="P57" s="821"/>
      <c r="Q57" s="239"/>
    </row>
    <row r="58" spans="1:17" s="664" customFormat="1" ht="15.75" thickBot="1" x14ac:dyDescent="0.3">
      <c r="A58" s="505"/>
      <c r="B58" s="801"/>
      <c r="C58" s="802"/>
      <c r="D58" s="802"/>
      <c r="E58" s="802"/>
      <c r="F58" s="802"/>
      <c r="G58" s="802"/>
      <c r="H58" s="803"/>
      <c r="I58" s="69"/>
      <c r="J58" s="822"/>
      <c r="K58" s="823"/>
      <c r="L58" s="823"/>
      <c r="M58" s="823"/>
      <c r="N58" s="823"/>
      <c r="O58" s="823"/>
      <c r="P58" s="824"/>
      <c r="Q58" s="239"/>
    </row>
    <row r="59" spans="1:17" ht="3" customHeight="1" thickBot="1" x14ac:dyDescent="0.3">
      <c r="A59" s="246"/>
      <c r="B59" s="247"/>
      <c r="C59" s="247"/>
      <c r="D59" s="247"/>
      <c r="E59" s="247"/>
      <c r="F59" s="247"/>
      <c r="G59" s="247"/>
      <c r="H59" s="247"/>
      <c r="I59" s="247"/>
      <c r="J59" s="247"/>
      <c r="K59" s="247"/>
      <c r="L59" s="247"/>
      <c r="M59" s="247"/>
      <c r="N59" s="247"/>
      <c r="O59" s="247"/>
      <c r="P59" s="247"/>
      <c r="Q59" s="240"/>
    </row>
    <row r="60" spans="1:17" x14ac:dyDescent="0.25">
      <c r="A60" s="664"/>
      <c r="B60" s="664"/>
      <c r="C60" s="664"/>
      <c r="D60" s="664"/>
      <c r="H60" s="664"/>
      <c r="J60" s="664"/>
    </row>
    <row r="61" spans="1:17" hidden="1" x14ac:dyDescent="0.25">
      <c r="B61" s="664"/>
    </row>
    <row r="62" spans="1:17" ht="15" hidden="1" customHeight="1" x14ac:dyDescent="0.25">
      <c r="B62" s="800" t="s">
        <v>56</v>
      </c>
      <c r="C62" s="800"/>
      <c r="D62" s="800"/>
      <c r="F62" s="262" t="s">
        <v>367</v>
      </c>
      <c r="H62" s="661" t="s">
        <v>218</v>
      </c>
      <c r="J62" s="661" t="s">
        <v>219</v>
      </c>
      <c r="L62" s="262" t="s">
        <v>582</v>
      </c>
      <c r="N62" s="262" t="s">
        <v>583</v>
      </c>
      <c r="P62" s="666" t="s">
        <v>588</v>
      </c>
    </row>
    <row r="63" spans="1:17" ht="15" hidden="1" customHeight="1" x14ac:dyDescent="0.25">
      <c r="B63" s="796" t="s">
        <v>194</v>
      </c>
      <c r="C63" s="796"/>
      <c r="D63" s="796"/>
      <c r="F63" s="67">
        <f>IF(COUNTIF(J38:J46,"Healing Potions")&lt;1,0,1)</f>
        <v>0</v>
      </c>
      <c r="H63" s="661"/>
      <c r="J63" s="661"/>
      <c r="L63" s="377">
        <v>3</v>
      </c>
      <c r="N63" s="67">
        <f>IF($L63*$F$73&lt;1,1,ROUNDDOWN($L63*$F$73,0))</f>
        <v>3</v>
      </c>
      <c r="P63" s="666"/>
    </row>
    <row r="64" spans="1:17" ht="15" hidden="1" customHeight="1" x14ac:dyDescent="0.25">
      <c r="B64" s="826" t="s">
        <v>580</v>
      </c>
      <c r="C64" s="826"/>
      <c r="D64" s="826"/>
      <c r="F64" s="67">
        <f>IF(COUNTIF(J38:J46,"Improved Armor (Masterwork)")&lt;1,0,1)</f>
        <v>0</v>
      </c>
      <c r="H64" s="662">
        <v>1</v>
      </c>
      <c r="J64" s="662"/>
      <c r="L64" s="67">
        <v>1</v>
      </c>
      <c r="N64" s="67">
        <f t="shared" ref="N64:N70" si="0">IF($L64*$F$73&lt;1,1,ROUNDDOWN($L64*$F$73,0))</f>
        <v>1</v>
      </c>
      <c r="P64" s="67"/>
    </row>
    <row r="65" spans="2:16" ht="15" hidden="1" customHeight="1" x14ac:dyDescent="0.25">
      <c r="B65" s="826" t="s">
        <v>193</v>
      </c>
      <c r="C65" s="826"/>
      <c r="D65" s="826"/>
      <c r="F65" s="67">
        <f>IF(COUNTIF(J38:J46,"Improved Armor (Magic)")&lt;1,0,1)</f>
        <v>0</v>
      </c>
      <c r="H65" s="662">
        <v>2</v>
      </c>
      <c r="J65" s="662"/>
      <c r="L65" s="67">
        <v>2</v>
      </c>
      <c r="N65" s="67">
        <f t="shared" si="0"/>
        <v>2</v>
      </c>
      <c r="P65" s="67"/>
    </row>
    <row r="66" spans="2:16" ht="15" hidden="1" customHeight="1" x14ac:dyDescent="0.25">
      <c r="B66" s="826" t="s">
        <v>581</v>
      </c>
      <c r="C66" s="826"/>
      <c r="D66" s="826"/>
      <c r="F66" s="67">
        <f>IF(COUNTIF(J38:J46,"Improved Weapons (Masterwork)")&lt;1,0,1)</f>
        <v>0</v>
      </c>
      <c r="H66" s="662"/>
      <c r="J66" s="662">
        <v>1</v>
      </c>
      <c r="L66" s="67">
        <v>1</v>
      </c>
      <c r="N66" s="67">
        <f t="shared" si="0"/>
        <v>1</v>
      </c>
      <c r="P66" s="67"/>
    </row>
    <row r="67" spans="2:16" ht="15" hidden="1" customHeight="1" x14ac:dyDescent="0.25">
      <c r="B67" s="826" t="s">
        <v>192</v>
      </c>
      <c r="C67" s="826"/>
      <c r="D67" s="826"/>
      <c r="F67" s="67">
        <f>IF(COUNTIF(J38:J46,"Improved Weapons (Magic)")&lt;1,0,1)</f>
        <v>0</v>
      </c>
      <c r="H67" s="662"/>
      <c r="J67" s="662">
        <v>2</v>
      </c>
      <c r="L67" s="67">
        <v>2</v>
      </c>
      <c r="N67" s="67">
        <f t="shared" si="0"/>
        <v>2</v>
      </c>
      <c r="P67" s="67"/>
    </row>
    <row r="68" spans="2:16" ht="15" hidden="1" customHeight="1" x14ac:dyDescent="0.25">
      <c r="B68" s="826" t="s">
        <v>486</v>
      </c>
      <c r="C68" s="826"/>
      <c r="D68" s="826"/>
      <c r="F68" s="67">
        <f>IF(COUNTIF(J38:J46,"Mounts")&lt;1,0,1)</f>
        <v>0</v>
      </c>
      <c r="H68" s="662">
        <v>2</v>
      </c>
      <c r="J68" s="662">
        <v>2</v>
      </c>
      <c r="L68" s="67">
        <v>1</v>
      </c>
      <c r="N68" s="67">
        <f t="shared" si="0"/>
        <v>1</v>
      </c>
      <c r="P68" s="67"/>
    </row>
    <row r="69" spans="2:16" ht="15" hidden="1" customHeight="1" x14ac:dyDescent="0.25">
      <c r="B69" s="826" t="s">
        <v>195</v>
      </c>
      <c r="C69" s="826"/>
      <c r="D69" s="826"/>
      <c r="F69" s="67">
        <f>IF(COUNTIF(J38:J46,"Ranged Weapons")&lt;1,0,1)</f>
        <v>0</v>
      </c>
      <c r="H69" s="662"/>
      <c r="J69" s="662"/>
      <c r="L69" s="67">
        <v>1</v>
      </c>
      <c r="N69" s="67">
        <f t="shared" si="0"/>
        <v>1</v>
      </c>
      <c r="P69" s="67">
        <v>1</v>
      </c>
    </row>
    <row r="70" spans="2:16" ht="15" hidden="1" customHeight="1" x14ac:dyDescent="0.25">
      <c r="B70" s="825" t="s">
        <v>196</v>
      </c>
      <c r="C70" s="825"/>
      <c r="D70" s="825"/>
      <c r="F70" s="67">
        <f>IF(COUNTIF(J38:J46,"Siege Weapons")&lt;1,0,1)</f>
        <v>0</v>
      </c>
      <c r="H70" s="662"/>
      <c r="J70" s="662">
        <v>2</v>
      </c>
      <c r="L70" s="67">
        <v>3</v>
      </c>
      <c r="N70" s="67">
        <f t="shared" si="0"/>
        <v>3</v>
      </c>
      <c r="P70" s="67"/>
    </row>
    <row r="71" spans="2:16" ht="15" hidden="1" customHeight="1" x14ac:dyDescent="0.25">
      <c r="B71" s="829" t="s">
        <v>585</v>
      </c>
      <c r="C71" s="829"/>
      <c r="D71" s="829"/>
      <c r="E71" s="829"/>
      <c r="F71" s="829"/>
      <c r="G71" s="265"/>
      <c r="H71" s="175">
        <f>SUMPRODUCT($F$64:$F$70,H$64:H$70)</f>
        <v>0</v>
      </c>
      <c r="I71" s="175"/>
      <c r="J71" s="175">
        <f t="shared" ref="J71:P71" si="1">SUMPRODUCT($F$64:$F$70,J$64:J$70)</f>
        <v>0</v>
      </c>
      <c r="K71" s="175"/>
      <c r="L71" s="175">
        <f t="shared" si="1"/>
        <v>0</v>
      </c>
      <c r="M71" s="175"/>
      <c r="N71" s="175">
        <f>SUMPRODUCT($F$63:$F$70,N$63:N$70)</f>
        <v>0</v>
      </c>
      <c r="O71" s="175"/>
      <c r="P71" s="175">
        <f t="shared" si="1"/>
        <v>0</v>
      </c>
    </row>
    <row r="72" spans="2:16" hidden="1" x14ac:dyDescent="0.25">
      <c r="B72" s="664"/>
      <c r="C72" s="664"/>
      <c r="D72" s="664"/>
      <c r="F72" s="67"/>
      <c r="H72" s="662"/>
      <c r="J72" s="662"/>
      <c r="L72" s="67"/>
      <c r="N72" s="67"/>
    </row>
    <row r="73" spans="2:16" ht="15" hidden="1" customHeight="1" x14ac:dyDescent="0.25">
      <c r="B73" s="827" t="s">
        <v>584</v>
      </c>
      <c r="C73" s="827"/>
      <c r="D73" s="827"/>
      <c r="F73" s="266">
        <f>IF(F4="Fine",1/8,IF(F4="Diminutive",1/6,IF(F4="Tiny",1/4,IF(F4="Small",1/2,IF(F4="Large",2,IF(F4="Huge",4,IF(F4="Gargantuan",10,IF(F4="Colossal",20,1))))))))</f>
        <v>1</v>
      </c>
      <c r="H73" s="662"/>
      <c r="I73" s="662"/>
      <c r="J73" s="662"/>
      <c r="K73" s="662"/>
      <c r="L73" s="662"/>
      <c r="M73" s="662"/>
      <c r="N73" s="662"/>
    </row>
    <row r="74" spans="2:16" hidden="1" x14ac:dyDescent="0.25">
      <c r="B74" s="664"/>
    </row>
    <row r="75" spans="2:16" ht="15" hidden="1" customHeight="1" x14ac:dyDescent="0.25">
      <c r="B75" s="800" t="s">
        <v>482</v>
      </c>
      <c r="C75" s="800"/>
      <c r="D75" s="800"/>
      <c r="F75" s="262" t="s">
        <v>367</v>
      </c>
      <c r="G75" s="262"/>
      <c r="H75" s="661" t="s">
        <v>218</v>
      </c>
      <c r="I75" s="556"/>
      <c r="J75" s="661" t="s">
        <v>160</v>
      </c>
    </row>
    <row r="76" spans="2:16" ht="15" hidden="1" customHeight="1" x14ac:dyDescent="0.25">
      <c r="B76" s="826" t="s">
        <v>534</v>
      </c>
      <c r="C76" s="826"/>
      <c r="D76" s="826"/>
      <c r="F76" s="67">
        <f>IF(COUNTIF(J24:J32,"Defensive Tactics")&lt;1,0,1)</f>
        <v>0</v>
      </c>
      <c r="G76" s="67"/>
      <c r="H76" s="662">
        <v>2</v>
      </c>
      <c r="I76" s="556"/>
      <c r="J76" s="662"/>
    </row>
    <row r="77" spans="2:16" ht="15" hidden="1" customHeight="1" x14ac:dyDescent="0.25">
      <c r="B77" s="825" t="s">
        <v>50</v>
      </c>
      <c r="C77" s="825"/>
      <c r="D77" s="825"/>
      <c r="F77" s="67">
        <f>IF(COUNTIF(J24:J32,"Loyalty")&lt;1,0,1)</f>
        <v>0</v>
      </c>
      <c r="G77" s="67"/>
      <c r="H77" s="662"/>
      <c r="I77" s="556"/>
      <c r="J77" s="662">
        <f>IF(H24&lt;12,2,4)</f>
        <v>2</v>
      </c>
    </row>
    <row r="78" spans="2:16" ht="15" hidden="1" customHeight="1" x14ac:dyDescent="0.25">
      <c r="B78" s="829" t="s">
        <v>585</v>
      </c>
      <c r="C78" s="829"/>
      <c r="D78" s="829"/>
      <c r="E78" s="829"/>
      <c r="F78" s="829"/>
      <c r="G78" s="267"/>
      <c r="H78" s="175">
        <f>SUMPRODUCT($F$76:$F$77,H$76:H$77)</f>
        <v>0</v>
      </c>
      <c r="I78" s="175"/>
      <c r="J78" s="175">
        <f>SUMPRODUCT($F$76:$F$77,J$76:J$77)</f>
        <v>0</v>
      </c>
    </row>
    <row r="79" spans="2:16" hidden="1" x14ac:dyDescent="0.25">
      <c r="B79" s="664"/>
    </row>
    <row r="80" spans="2:16" ht="15" hidden="1" customHeight="1" x14ac:dyDescent="0.25">
      <c r="B80" s="800" t="s">
        <v>161</v>
      </c>
      <c r="C80" s="800"/>
      <c r="D80" s="800"/>
      <c r="F80" s="262" t="s">
        <v>367</v>
      </c>
      <c r="H80" s="661" t="s">
        <v>219</v>
      </c>
      <c r="J80" s="661" t="s">
        <v>218</v>
      </c>
      <c r="L80" s="262" t="s">
        <v>588</v>
      </c>
    </row>
    <row r="81" spans="2:12" ht="15" hidden="1" customHeight="1" x14ac:dyDescent="0.25">
      <c r="B81" s="830" t="s">
        <v>542</v>
      </c>
      <c r="C81" s="830"/>
      <c r="D81" s="830"/>
      <c r="F81" s="67">
        <f>IF(COUNTIF(B50:B58,"Animal Companion")&lt;1,0,1)</f>
        <v>0</v>
      </c>
      <c r="H81" s="662">
        <v>1</v>
      </c>
      <c r="J81" s="662"/>
      <c r="L81" s="67"/>
    </row>
    <row r="82" spans="2:12" ht="15" hidden="1" customHeight="1" x14ac:dyDescent="0.25">
      <c r="B82" s="830" t="s">
        <v>545</v>
      </c>
      <c r="C82" s="830"/>
      <c r="D82" s="830"/>
      <c r="F82" s="67">
        <f>IF(COUNTIF(B50:B58,"Bomb")&lt;1,0,1)</f>
        <v>0</v>
      </c>
      <c r="H82" s="662"/>
      <c r="J82" s="662"/>
      <c r="L82" s="67">
        <v>1</v>
      </c>
    </row>
    <row r="83" spans="2:12" ht="15" hidden="1" customHeight="1" x14ac:dyDescent="0.25">
      <c r="B83" s="830" t="s">
        <v>197</v>
      </c>
      <c r="C83" s="830"/>
      <c r="D83" s="830"/>
      <c r="F83" s="67">
        <f>IF(COUNTIF(B50:B58,"Breath Weapon")&lt;1,0,1)</f>
        <v>0</v>
      </c>
      <c r="H83" s="662"/>
      <c r="J83" s="662"/>
      <c r="L83" s="67">
        <v>1</v>
      </c>
    </row>
    <row r="84" spans="2:12" ht="15" hidden="1" customHeight="1" x14ac:dyDescent="0.25">
      <c r="B84" s="830" t="s">
        <v>554</v>
      </c>
      <c r="C84" s="830"/>
      <c r="D84" s="830"/>
      <c r="F84" s="67">
        <f>IF(COUNTIF(B50:B58,"Eidolon")&lt;1,0,1)</f>
        <v>0</v>
      </c>
      <c r="H84" s="662">
        <v>1</v>
      </c>
      <c r="J84" s="662"/>
      <c r="L84" s="67"/>
    </row>
    <row r="85" spans="2:12" ht="15" hidden="1" customHeight="1" x14ac:dyDescent="0.25">
      <c r="B85" s="830" t="s">
        <v>587</v>
      </c>
      <c r="C85" s="830"/>
      <c r="D85" s="830"/>
      <c r="F85" s="67">
        <f>IF(COUNTIF(B50:B58,"Hunter's Bond (Animal)")&lt;1,0,1)</f>
        <v>0</v>
      </c>
      <c r="H85" s="662">
        <v>1</v>
      </c>
      <c r="J85" s="662"/>
      <c r="L85" s="67"/>
    </row>
    <row r="86" spans="2:12" ht="15" hidden="1" customHeight="1" x14ac:dyDescent="0.25">
      <c r="B86" s="830" t="s">
        <v>514</v>
      </c>
      <c r="C86" s="830"/>
      <c r="D86" s="830"/>
      <c r="F86" s="67">
        <f>IF(COUNTIF(B50:B58,"Mindless")&lt;1,0,1)</f>
        <v>0</v>
      </c>
      <c r="H86" s="662"/>
      <c r="J86" s="662"/>
      <c r="L86" s="67"/>
    </row>
    <row r="87" spans="2:12" ht="15" hidden="1" customHeight="1" x14ac:dyDescent="0.25">
      <c r="B87" s="830" t="s">
        <v>517</v>
      </c>
      <c r="C87" s="830"/>
      <c r="D87" s="830"/>
      <c r="F87" s="67">
        <f>IF(COUNTIF(B50:B58,"Pounce")&lt;1,0,1)</f>
        <v>0</v>
      </c>
      <c r="H87" s="662">
        <v>1</v>
      </c>
      <c r="J87" s="662"/>
      <c r="L87" s="67"/>
    </row>
    <row r="88" spans="2:12" ht="15" hidden="1" customHeight="1" x14ac:dyDescent="0.25">
      <c r="B88" s="830" t="s">
        <v>518</v>
      </c>
      <c r="C88" s="830"/>
      <c r="D88" s="830"/>
      <c r="F88" s="67">
        <f>IF(COUNTIF(B50:B58,"Powerful Charge")&lt;1,0,1)</f>
        <v>0</v>
      </c>
      <c r="H88" s="662">
        <v>1</v>
      </c>
      <c r="J88" s="662"/>
      <c r="L88" s="67"/>
    </row>
    <row r="89" spans="2:12" ht="15" hidden="1" customHeight="1" x14ac:dyDescent="0.25">
      <c r="B89" s="830" t="s">
        <v>571</v>
      </c>
      <c r="C89" s="830"/>
      <c r="D89" s="830"/>
      <c r="F89" s="67">
        <f>IF(COUNTIF(B50:B58,"Shield Ally")&lt;1,0,1)</f>
        <v>0</v>
      </c>
      <c r="H89" s="662"/>
      <c r="J89" s="662">
        <v>1</v>
      </c>
      <c r="L89" s="67"/>
    </row>
    <row r="90" spans="2:12" ht="15" hidden="1" customHeight="1" x14ac:dyDescent="0.25">
      <c r="B90" s="830" t="s">
        <v>526</v>
      </c>
      <c r="C90" s="830"/>
      <c r="D90" s="830"/>
      <c r="F90" s="67">
        <f>IF(COUNTIF(B50:B58,"Trample")&lt;1,0,1)</f>
        <v>0</v>
      </c>
      <c r="H90" s="662">
        <v>1</v>
      </c>
      <c r="J90" s="662"/>
      <c r="L90" s="67"/>
    </row>
    <row r="91" spans="2:12" ht="15" hidden="1" customHeight="1" x14ac:dyDescent="0.25">
      <c r="B91" s="831" t="s">
        <v>203</v>
      </c>
      <c r="C91" s="831"/>
      <c r="D91" s="831"/>
      <c r="F91" s="67">
        <f>IF(COUNTIF(B50:B58,"Undead")&lt;1,0,1)</f>
        <v>0</v>
      </c>
      <c r="H91" s="662"/>
      <c r="J91" s="662">
        <v>2</v>
      </c>
      <c r="L91" s="67"/>
    </row>
    <row r="92" spans="2:12" ht="15" hidden="1" customHeight="1" x14ac:dyDescent="0.25">
      <c r="B92" s="829" t="s">
        <v>585</v>
      </c>
      <c r="C92" s="829"/>
      <c r="D92" s="829"/>
      <c r="E92" s="829"/>
      <c r="F92" s="829"/>
      <c r="G92" s="265"/>
      <c r="H92" s="175">
        <f>SUMPRODUCT($F$81:$F$91,H$81:H$91)</f>
        <v>0</v>
      </c>
      <c r="I92" s="268"/>
      <c r="J92" s="175">
        <f>SUMPRODUCT($F$81:$F$91,J$81:J$91)</f>
        <v>0</v>
      </c>
      <c r="K92" s="268"/>
      <c r="L92" s="175">
        <f>SUMPRODUCT($F$81:$F$91,L$81:L$91)</f>
        <v>0</v>
      </c>
    </row>
    <row r="93" spans="2:12" hidden="1" x14ac:dyDescent="0.25">
      <c r="B93" s="665"/>
      <c r="C93" s="665"/>
      <c r="D93" s="665"/>
    </row>
    <row r="94" spans="2:12" ht="15" hidden="1" customHeight="1" x14ac:dyDescent="0.25">
      <c r="B94" s="800" t="s">
        <v>585</v>
      </c>
      <c r="C94" s="800"/>
      <c r="D94" s="800"/>
      <c r="E94" s="800"/>
      <c r="F94" s="800"/>
    </row>
    <row r="95" spans="2:12" ht="15" hidden="1" customHeight="1" x14ac:dyDescent="0.25">
      <c r="B95" s="827" t="s">
        <v>219</v>
      </c>
      <c r="C95" s="827"/>
      <c r="D95" s="827"/>
      <c r="F95" s="67">
        <f>J71+H92</f>
        <v>0</v>
      </c>
    </row>
    <row r="96" spans="2:12" ht="15" hidden="1" customHeight="1" x14ac:dyDescent="0.25">
      <c r="B96" s="827" t="s">
        <v>218</v>
      </c>
      <c r="C96" s="827"/>
      <c r="D96" s="827"/>
      <c r="F96" s="67">
        <f>H71+H78+J92</f>
        <v>0</v>
      </c>
    </row>
    <row r="97" spans="2:6" ht="15" hidden="1" customHeight="1" x14ac:dyDescent="0.25">
      <c r="B97" s="827" t="s">
        <v>160</v>
      </c>
      <c r="C97" s="827"/>
      <c r="D97" s="827"/>
      <c r="F97" s="67">
        <f>J78</f>
        <v>0</v>
      </c>
    </row>
    <row r="98" spans="2:6" ht="15" hidden="1" customHeight="1" x14ac:dyDescent="0.25">
      <c r="B98" s="828" t="s">
        <v>61</v>
      </c>
      <c r="C98" s="828"/>
      <c r="D98" s="828"/>
      <c r="F98" s="67">
        <f>N71</f>
        <v>0</v>
      </c>
    </row>
    <row r="99" spans="2:6" ht="15" hidden="1" customHeight="1" x14ac:dyDescent="0.25">
      <c r="B99" s="828" t="s">
        <v>588</v>
      </c>
      <c r="C99" s="828"/>
      <c r="D99" s="828"/>
      <c r="F99" s="67">
        <f>IF(P71+L92&gt;0,1,0)</f>
        <v>0</v>
      </c>
    </row>
    <row r="100" spans="2:6" ht="15" hidden="1" customHeight="1" x14ac:dyDescent="0.25">
      <c r="B100" s="827" t="s">
        <v>514</v>
      </c>
      <c r="C100" s="827"/>
      <c r="D100" s="827"/>
      <c r="F100" s="67">
        <f>F86</f>
        <v>0</v>
      </c>
    </row>
    <row r="101" spans="2:6" hidden="1" x14ac:dyDescent="0.25">
      <c r="B101" s="665"/>
      <c r="C101" s="665"/>
      <c r="D101" s="665"/>
    </row>
    <row r="102" spans="2:6" x14ac:dyDescent="0.25">
      <c r="B102" s="665"/>
      <c r="C102" s="665"/>
      <c r="D102" s="665"/>
    </row>
    <row r="103" spans="2:6" x14ac:dyDescent="0.25">
      <c r="B103" s="665"/>
      <c r="C103" s="665"/>
      <c r="D103" s="665"/>
    </row>
    <row r="104" spans="2:6" x14ac:dyDescent="0.25">
      <c r="B104" s="665"/>
      <c r="C104" s="665"/>
      <c r="D104" s="665"/>
    </row>
    <row r="105" spans="2:6" x14ac:dyDescent="0.25">
      <c r="B105" s="665"/>
      <c r="C105" s="665"/>
      <c r="D105" s="665"/>
    </row>
    <row r="106" spans="2:6" x14ac:dyDescent="0.25">
      <c r="B106" s="665"/>
      <c r="C106" s="665"/>
      <c r="D106" s="665"/>
    </row>
    <row r="107" spans="2:6" x14ac:dyDescent="0.25">
      <c r="B107" s="665"/>
      <c r="C107" s="665"/>
      <c r="D107" s="665"/>
    </row>
    <row r="108" spans="2:6" x14ac:dyDescent="0.25">
      <c r="B108" s="665"/>
      <c r="C108" s="665"/>
      <c r="D108" s="665"/>
    </row>
    <row r="109" spans="2:6" x14ac:dyDescent="0.25">
      <c r="B109" s="665"/>
      <c r="C109" s="665"/>
      <c r="D109" s="665"/>
    </row>
    <row r="110" spans="2:6" x14ac:dyDescent="0.25">
      <c r="B110" s="665"/>
      <c r="C110" s="665"/>
      <c r="D110" s="665"/>
    </row>
    <row r="111" spans="2:6" x14ac:dyDescent="0.25">
      <c r="B111" s="665"/>
      <c r="C111" s="665"/>
      <c r="D111" s="665"/>
    </row>
    <row r="112" spans="2:6" x14ac:dyDescent="0.25">
      <c r="B112" s="665"/>
      <c r="C112" s="665"/>
      <c r="D112" s="665"/>
    </row>
    <row r="113" spans="2:4" x14ac:dyDescent="0.25">
      <c r="B113" s="665"/>
      <c r="C113" s="665"/>
      <c r="D113" s="665"/>
    </row>
    <row r="114" spans="2:4" x14ac:dyDescent="0.25">
      <c r="B114" s="665"/>
      <c r="C114" s="665"/>
      <c r="D114" s="665"/>
    </row>
    <row r="115" spans="2:4" x14ac:dyDescent="0.25">
      <c r="B115" s="665"/>
      <c r="C115" s="665"/>
      <c r="D115" s="665"/>
    </row>
    <row r="116" spans="2:4" x14ac:dyDescent="0.25">
      <c r="B116" s="665"/>
      <c r="C116" s="665"/>
      <c r="D116" s="665"/>
    </row>
    <row r="117" spans="2:4" x14ac:dyDescent="0.25">
      <c r="B117" s="665"/>
      <c r="C117" s="665"/>
      <c r="D117" s="665"/>
    </row>
    <row r="118" spans="2:4" x14ac:dyDescent="0.25">
      <c r="B118" s="665"/>
      <c r="C118" s="665"/>
      <c r="D118" s="665"/>
    </row>
    <row r="119" spans="2:4" x14ac:dyDescent="0.25">
      <c r="B119" s="665"/>
      <c r="C119" s="665"/>
      <c r="D119" s="665"/>
    </row>
    <row r="120" spans="2:4" x14ac:dyDescent="0.25">
      <c r="B120" s="665"/>
      <c r="C120" s="665"/>
      <c r="D120" s="665"/>
    </row>
    <row r="121" spans="2:4" x14ac:dyDescent="0.25">
      <c r="B121" s="665"/>
      <c r="C121" s="665"/>
      <c r="D121" s="665"/>
    </row>
    <row r="122" spans="2:4" x14ac:dyDescent="0.25">
      <c r="B122" s="665"/>
      <c r="C122" s="665"/>
      <c r="D122" s="665"/>
    </row>
    <row r="123" spans="2:4" x14ac:dyDescent="0.25">
      <c r="B123" s="665"/>
      <c r="C123" s="665"/>
      <c r="D123" s="665"/>
    </row>
    <row r="124" spans="2:4" x14ac:dyDescent="0.25">
      <c r="B124" s="665"/>
      <c r="C124" s="665"/>
      <c r="D124" s="665"/>
    </row>
    <row r="125" spans="2:4" x14ac:dyDescent="0.25">
      <c r="B125" s="665"/>
      <c r="C125" s="665"/>
      <c r="D125" s="665"/>
    </row>
    <row r="126" spans="2:4" x14ac:dyDescent="0.25">
      <c r="B126" s="665"/>
      <c r="C126" s="665"/>
      <c r="D126" s="665"/>
    </row>
    <row r="127" spans="2:4" x14ac:dyDescent="0.25">
      <c r="B127" s="665"/>
      <c r="C127" s="665"/>
      <c r="D127" s="665"/>
    </row>
    <row r="128" spans="2:4" x14ac:dyDescent="0.25">
      <c r="B128" s="665"/>
      <c r="C128" s="665"/>
      <c r="D128" s="665"/>
    </row>
    <row r="129" spans="2:4" x14ac:dyDescent="0.25">
      <c r="B129" s="665"/>
      <c r="C129" s="665"/>
      <c r="D129" s="665"/>
    </row>
    <row r="130" spans="2:4" x14ac:dyDescent="0.25">
      <c r="B130" s="665"/>
      <c r="C130" s="665"/>
      <c r="D130" s="665"/>
    </row>
    <row r="131" spans="2:4" x14ac:dyDescent="0.25">
      <c r="B131" s="665"/>
      <c r="C131" s="665"/>
      <c r="D131" s="665"/>
    </row>
    <row r="132" spans="2:4" x14ac:dyDescent="0.25">
      <c r="B132" s="665"/>
      <c r="C132" s="665"/>
      <c r="D132" s="665"/>
    </row>
    <row r="133" spans="2:4" x14ac:dyDescent="0.25">
      <c r="B133" s="665"/>
      <c r="C133" s="665"/>
      <c r="D133" s="665"/>
    </row>
    <row r="134" spans="2:4" x14ac:dyDescent="0.25">
      <c r="B134" s="665"/>
      <c r="C134" s="665"/>
      <c r="D134" s="665"/>
    </row>
    <row r="135" spans="2:4" x14ac:dyDescent="0.25">
      <c r="B135" s="665"/>
      <c r="C135" s="665"/>
      <c r="D135" s="665"/>
    </row>
    <row r="136" spans="2:4" x14ac:dyDescent="0.25">
      <c r="B136" s="665"/>
      <c r="C136" s="665"/>
      <c r="D136" s="665"/>
    </row>
    <row r="137" spans="2:4" x14ac:dyDescent="0.25">
      <c r="B137" s="665"/>
      <c r="C137" s="665"/>
      <c r="D137" s="665"/>
    </row>
    <row r="138" spans="2:4" x14ac:dyDescent="0.25">
      <c r="B138" s="665"/>
      <c r="C138" s="665"/>
      <c r="D138" s="665"/>
    </row>
    <row r="139" spans="2:4" x14ac:dyDescent="0.25">
      <c r="B139" s="665"/>
      <c r="C139" s="665"/>
      <c r="D139" s="665"/>
    </row>
    <row r="140" spans="2:4" x14ac:dyDescent="0.25">
      <c r="B140" s="665"/>
      <c r="C140" s="665"/>
      <c r="D140" s="665"/>
    </row>
    <row r="141" spans="2:4" x14ac:dyDescent="0.25">
      <c r="B141" s="665"/>
      <c r="C141" s="665"/>
      <c r="D141" s="665"/>
    </row>
    <row r="142" spans="2:4" x14ac:dyDescent="0.25">
      <c r="B142" s="665"/>
      <c r="C142" s="665"/>
      <c r="D142" s="665"/>
    </row>
    <row r="143" spans="2:4" x14ac:dyDescent="0.25">
      <c r="B143" s="665"/>
      <c r="C143" s="665"/>
      <c r="D143" s="665"/>
    </row>
    <row r="144" spans="2:4" x14ac:dyDescent="0.25">
      <c r="B144" s="665"/>
      <c r="C144" s="665"/>
      <c r="D144" s="665"/>
    </row>
    <row r="145" spans="2:4" x14ac:dyDescent="0.25">
      <c r="B145" s="665"/>
      <c r="C145" s="665"/>
      <c r="D145" s="665"/>
    </row>
    <row r="146" spans="2:4" x14ac:dyDescent="0.25">
      <c r="B146" s="665"/>
      <c r="C146" s="665"/>
      <c r="D146" s="665"/>
    </row>
    <row r="147" spans="2:4" x14ac:dyDescent="0.25">
      <c r="B147" s="665"/>
      <c r="C147" s="665"/>
      <c r="D147" s="665"/>
    </row>
    <row r="148" spans="2:4" x14ac:dyDescent="0.25">
      <c r="B148" s="665"/>
      <c r="C148" s="665"/>
      <c r="D148" s="665"/>
    </row>
    <row r="149" spans="2:4" x14ac:dyDescent="0.25">
      <c r="B149" s="665"/>
      <c r="C149" s="665"/>
      <c r="D149" s="665"/>
    </row>
    <row r="150" spans="2:4" x14ac:dyDescent="0.25">
      <c r="B150" s="665"/>
      <c r="C150" s="665"/>
      <c r="D150" s="665"/>
    </row>
    <row r="151" spans="2:4" x14ac:dyDescent="0.25">
      <c r="B151" s="665"/>
      <c r="C151" s="665"/>
      <c r="D151" s="665"/>
    </row>
    <row r="152" spans="2:4" x14ac:dyDescent="0.25">
      <c r="B152" s="665"/>
      <c r="C152" s="665"/>
      <c r="D152" s="665"/>
    </row>
    <row r="153" spans="2:4" x14ac:dyDescent="0.25">
      <c r="B153" s="665"/>
      <c r="C153" s="665"/>
      <c r="D153" s="665"/>
    </row>
    <row r="154" spans="2:4" x14ac:dyDescent="0.25">
      <c r="B154" s="665"/>
      <c r="C154" s="665"/>
      <c r="D154" s="665"/>
    </row>
    <row r="155" spans="2:4" x14ac:dyDescent="0.25">
      <c r="B155" s="665"/>
      <c r="C155" s="665"/>
      <c r="D155" s="665"/>
    </row>
    <row r="156" spans="2:4" x14ac:dyDescent="0.25">
      <c r="B156" s="665"/>
      <c r="C156" s="665"/>
      <c r="D156" s="665"/>
    </row>
    <row r="157" spans="2:4" x14ac:dyDescent="0.25">
      <c r="B157" s="665"/>
      <c r="C157" s="665"/>
      <c r="D157" s="665"/>
    </row>
    <row r="158" spans="2:4" x14ac:dyDescent="0.25">
      <c r="B158" s="665"/>
      <c r="C158" s="665"/>
      <c r="D158" s="665"/>
    </row>
    <row r="159" spans="2:4" x14ac:dyDescent="0.25">
      <c r="B159" s="665"/>
      <c r="C159" s="665"/>
      <c r="D159" s="665"/>
    </row>
    <row r="160" spans="2:4" x14ac:dyDescent="0.25">
      <c r="B160" s="665"/>
      <c r="C160" s="665"/>
      <c r="D160" s="665"/>
    </row>
    <row r="161" spans="2:4" x14ac:dyDescent="0.25">
      <c r="B161" s="665"/>
      <c r="C161" s="665"/>
      <c r="D161" s="665"/>
    </row>
    <row r="162" spans="2:4" x14ac:dyDescent="0.25">
      <c r="B162" s="665"/>
      <c r="C162" s="665"/>
      <c r="D162" s="665"/>
    </row>
    <row r="163" spans="2:4" x14ac:dyDescent="0.25">
      <c r="B163" s="665"/>
      <c r="C163" s="665"/>
      <c r="D163" s="665"/>
    </row>
    <row r="164" spans="2:4" x14ac:dyDescent="0.25">
      <c r="B164" s="665"/>
      <c r="C164" s="665"/>
      <c r="D164" s="665"/>
    </row>
    <row r="165" spans="2:4" x14ac:dyDescent="0.25">
      <c r="B165" s="665"/>
      <c r="C165" s="665"/>
      <c r="D165" s="665"/>
    </row>
    <row r="166" spans="2:4" x14ac:dyDescent="0.25">
      <c r="B166" s="665"/>
      <c r="C166" s="665"/>
      <c r="D166" s="665"/>
    </row>
    <row r="167" spans="2:4" x14ac:dyDescent="0.25">
      <c r="B167" s="665"/>
      <c r="C167" s="665"/>
      <c r="D167" s="665"/>
    </row>
    <row r="168" spans="2:4" x14ac:dyDescent="0.25">
      <c r="B168" s="665"/>
      <c r="C168" s="665"/>
      <c r="D168" s="665"/>
    </row>
    <row r="169" spans="2:4" x14ac:dyDescent="0.25">
      <c r="B169" s="665"/>
      <c r="C169" s="665"/>
      <c r="D169" s="665"/>
    </row>
    <row r="170" spans="2:4" x14ac:dyDescent="0.25">
      <c r="B170" s="665"/>
      <c r="C170" s="665"/>
      <c r="D170" s="665"/>
    </row>
    <row r="171" spans="2:4" x14ac:dyDescent="0.25">
      <c r="B171" s="665"/>
      <c r="C171" s="665"/>
      <c r="D171" s="665"/>
    </row>
    <row r="172" spans="2:4" x14ac:dyDescent="0.25">
      <c r="B172" s="665"/>
      <c r="C172" s="665"/>
      <c r="D172" s="665"/>
    </row>
    <row r="173" spans="2:4" x14ac:dyDescent="0.25">
      <c r="B173" s="665"/>
      <c r="C173" s="665"/>
      <c r="D173" s="665"/>
    </row>
    <row r="174" spans="2:4" x14ac:dyDescent="0.25">
      <c r="B174" s="665"/>
      <c r="C174" s="665"/>
      <c r="D174" s="665"/>
    </row>
    <row r="175" spans="2:4" x14ac:dyDescent="0.25">
      <c r="B175" s="665"/>
      <c r="C175" s="665"/>
      <c r="D175" s="665"/>
    </row>
    <row r="176" spans="2:4" x14ac:dyDescent="0.25">
      <c r="B176" s="665"/>
      <c r="C176" s="665"/>
      <c r="D176" s="665"/>
    </row>
    <row r="177" spans="2:4" x14ac:dyDescent="0.25">
      <c r="B177" s="665"/>
      <c r="C177" s="665"/>
      <c r="D177" s="665"/>
    </row>
    <row r="178" spans="2:4" x14ac:dyDescent="0.25">
      <c r="B178" s="665"/>
      <c r="C178" s="665"/>
      <c r="D178" s="665"/>
    </row>
  </sheetData>
  <sheetProtection sheet="1" objects="1" scenarios="1" selectLockedCells="1"/>
  <mergeCells count="100">
    <mergeCell ref="B96:D96"/>
    <mergeCell ref="B97:D97"/>
    <mergeCell ref="B98:D98"/>
    <mergeCell ref="B99:D99"/>
    <mergeCell ref="B89:D89"/>
    <mergeCell ref="B90:D90"/>
    <mergeCell ref="B95:D95"/>
    <mergeCell ref="B91:D91"/>
    <mergeCell ref="B92:F92"/>
    <mergeCell ref="B94:F94"/>
    <mergeCell ref="B88:D88"/>
    <mergeCell ref="B76:D76"/>
    <mergeCell ref="B80:D80"/>
    <mergeCell ref="B81:D81"/>
    <mergeCell ref="B82:D82"/>
    <mergeCell ref="B83:D83"/>
    <mergeCell ref="B84:D84"/>
    <mergeCell ref="B85:D85"/>
    <mergeCell ref="B86:D86"/>
    <mergeCell ref="B87:D87"/>
    <mergeCell ref="B77:D77"/>
    <mergeCell ref="B78:F78"/>
    <mergeCell ref="B75:D75"/>
    <mergeCell ref="B62:D62"/>
    <mergeCell ref="B63:D63"/>
    <mergeCell ref="B64:D64"/>
    <mergeCell ref="B65:D65"/>
    <mergeCell ref="B66:D66"/>
    <mergeCell ref="B67:D67"/>
    <mergeCell ref="B68:D68"/>
    <mergeCell ref="B69:D69"/>
    <mergeCell ref="B70:D70"/>
    <mergeCell ref="B71:F71"/>
    <mergeCell ref="B73:D73"/>
    <mergeCell ref="B50:H50"/>
    <mergeCell ref="J50:P58"/>
    <mergeCell ref="B52:H52"/>
    <mergeCell ref="B54:H54"/>
    <mergeCell ref="B56:H56"/>
    <mergeCell ref="B58:H58"/>
    <mergeCell ref="B46:H46"/>
    <mergeCell ref="J46:P46"/>
    <mergeCell ref="B48:H48"/>
    <mergeCell ref="J48:P48"/>
    <mergeCell ref="S48:T48"/>
    <mergeCell ref="S38:T38"/>
    <mergeCell ref="B40:H40"/>
    <mergeCell ref="J40:P40"/>
    <mergeCell ref="B44:H44"/>
    <mergeCell ref="J44:P44"/>
    <mergeCell ref="B42:H42"/>
    <mergeCell ref="J42:P42"/>
    <mergeCell ref="B38:H38"/>
    <mergeCell ref="J38:P38"/>
    <mergeCell ref="S36:T36"/>
    <mergeCell ref="B26:F26"/>
    <mergeCell ref="J26:P26"/>
    <mergeCell ref="B28:F28"/>
    <mergeCell ref="J28:P28"/>
    <mergeCell ref="B30:F30"/>
    <mergeCell ref="J30:P30"/>
    <mergeCell ref="B32:F32"/>
    <mergeCell ref="J32:P32"/>
    <mergeCell ref="B34:P34"/>
    <mergeCell ref="B36:H36"/>
    <mergeCell ref="J36:P36"/>
    <mergeCell ref="S18:T18"/>
    <mergeCell ref="B20:P20"/>
    <mergeCell ref="D22:H22"/>
    <mergeCell ref="J22:P22"/>
    <mergeCell ref="S22:T22"/>
    <mergeCell ref="B24:F24"/>
    <mergeCell ref="J24:P24"/>
    <mergeCell ref="B14:P14"/>
    <mergeCell ref="B16:D16"/>
    <mergeCell ref="F16:L16"/>
    <mergeCell ref="B18:D18"/>
    <mergeCell ref="F18:H18"/>
    <mergeCell ref="J18:N18"/>
    <mergeCell ref="N10:P10"/>
    <mergeCell ref="B12:D12"/>
    <mergeCell ref="F12:H12"/>
    <mergeCell ref="J12:L12"/>
    <mergeCell ref="N12:P12"/>
    <mergeCell ref="B100:D100"/>
    <mergeCell ref="S4:T4"/>
    <mergeCell ref="B2:D2"/>
    <mergeCell ref="F2:L2"/>
    <mergeCell ref="B4:D4"/>
    <mergeCell ref="F4:J4"/>
    <mergeCell ref="L4:N4"/>
    <mergeCell ref="B6:H6"/>
    <mergeCell ref="J6:P6"/>
    <mergeCell ref="B8:D8"/>
    <mergeCell ref="F8:H8"/>
    <mergeCell ref="J8:L8"/>
    <mergeCell ref="N8:P8"/>
    <mergeCell ref="B10:D10"/>
    <mergeCell ref="F10:H10"/>
    <mergeCell ref="J10:L10"/>
  </mergeCells>
  <dataValidations count="8">
    <dataValidation type="list" allowBlank="1" showInputMessage="1" showErrorMessage="1" sqref="J44:P46 J38:P38 J40:P40 J42:P42">
      <formula1>Resources</formula1>
    </dataValidation>
    <dataValidation type="list" allowBlank="1" showInputMessage="1" showErrorMessage="1" sqref="P17:P18 O18">
      <formula1>HD</formula1>
    </dataValidation>
    <dataValidation type="list" allowBlank="1" showInputMessage="1" showErrorMessage="1" sqref="B44:H46 B38:H38 B40:H40 B42:H42">
      <formula1>Tactics</formula1>
    </dataValidation>
    <dataValidation type="list" allowBlank="1" showInputMessage="1" showErrorMessage="1" sqref="B50:H50 B52:H52 B54:H54 B56:H56 B58:H58">
      <formula1>ArmySA</formula1>
    </dataValidation>
    <dataValidation type="list" allowBlank="1" showInputMessage="1" showErrorMessage="1" sqref="J24:P24 J26:P26 J28:P28 J30:P30 J32:P32">
      <formula1>Boons</formula1>
    </dataValidation>
    <dataValidation type="list" allowBlank="1" showInputMessage="1" showErrorMessage="1" sqref="N12:P12">
      <formula1>Morale</formula1>
    </dataValidation>
    <dataValidation type="list" allowBlank="1" showInputMessage="1" showErrorMessage="1" sqref="F4:J4">
      <formula1>ArmySize</formula1>
    </dataValidation>
    <dataValidation type="list" allowBlank="1" showInputMessage="1" showErrorMessage="1" sqref="P4 H32">
      <formula1>YN</formula1>
    </dataValidation>
  </dataValidation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Y178"/>
  <sheetViews>
    <sheetView workbookViewId="0">
      <selection activeCell="B46" sqref="A1:XFD1048576"/>
    </sheetView>
  </sheetViews>
  <sheetFormatPr defaultColWidth="9.140625" defaultRowHeight="15" x14ac:dyDescent="0.25"/>
  <cols>
    <col min="1" max="1" width="0.85546875" style="61" customWidth="1"/>
    <col min="2" max="2" width="9.85546875" style="61" customWidth="1"/>
    <col min="3" max="3" width="0.85546875" style="61" customWidth="1"/>
    <col min="4" max="4" width="9.7109375" style="61" customWidth="1"/>
    <col min="5" max="5" width="0.85546875" style="298" customWidth="1"/>
    <col min="6" max="6" width="6.28515625" style="298" customWidth="1"/>
    <col min="7" max="7" width="0.85546875" style="298" customWidth="1"/>
    <col min="8" max="8" width="6.28515625" style="61" customWidth="1"/>
    <col min="9" max="9" width="0.85546875" style="664" customWidth="1"/>
    <col min="10" max="10" width="9.85546875" style="61" customWidth="1"/>
    <col min="11" max="11" width="0.85546875" style="298" customWidth="1"/>
    <col min="12" max="12" width="9.7109375" style="298" customWidth="1"/>
    <col min="13" max="13" width="0.85546875" style="298" customWidth="1"/>
    <col min="14" max="14" width="6.28515625" style="298" bestFit="1" customWidth="1"/>
    <col min="15" max="15" width="0.85546875" style="298" customWidth="1"/>
    <col min="16" max="16" width="6.28515625" style="298" bestFit="1" customWidth="1"/>
    <col min="17" max="17" width="0.85546875" style="298" customWidth="1"/>
    <col min="18" max="18" width="9.140625" style="61"/>
    <col min="19" max="20" width="9.85546875" style="61" hidden="1" customWidth="1"/>
    <col min="21" max="21" width="0.85546875" style="61" hidden="1" customWidth="1"/>
    <col min="22" max="22" width="9.140625" style="61" hidden="1" customWidth="1"/>
    <col min="23" max="16384" width="9.140625" style="61"/>
  </cols>
  <sheetData>
    <row r="1" spans="1:22" ht="5.0999999999999996" customHeight="1" thickBot="1" x14ac:dyDescent="0.3">
      <c r="A1" s="241"/>
      <c r="B1" s="242"/>
      <c r="C1" s="242"/>
      <c r="D1" s="242"/>
      <c r="E1" s="242"/>
      <c r="F1" s="242"/>
      <c r="G1" s="242"/>
      <c r="H1" s="242"/>
      <c r="I1" s="242"/>
      <c r="J1" s="242"/>
      <c r="K1" s="242"/>
      <c r="L1" s="242"/>
      <c r="M1" s="242"/>
      <c r="N1" s="242"/>
      <c r="O1" s="242"/>
      <c r="P1" s="242"/>
      <c r="Q1" s="243"/>
    </row>
    <row r="2" spans="1:22" ht="15.75" thickBot="1" x14ac:dyDescent="0.3">
      <c r="A2" s="504"/>
      <c r="B2" s="800" t="s">
        <v>78</v>
      </c>
      <c r="C2" s="800"/>
      <c r="D2" s="800"/>
      <c r="E2" s="62"/>
      <c r="F2" s="797"/>
      <c r="G2" s="798"/>
      <c r="H2" s="798"/>
      <c r="I2" s="798"/>
      <c r="J2" s="798"/>
      <c r="K2" s="798"/>
      <c r="L2" s="799"/>
      <c r="M2" s="60"/>
      <c r="N2" s="663" t="s">
        <v>460</v>
      </c>
      <c r="O2" s="49"/>
      <c r="P2" s="257" t="str">
        <f>V6</f>
        <v>n/a</v>
      </c>
      <c r="Q2" s="238"/>
    </row>
    <row r="3" spans="1:22" s="65" customFormat="1" ht="3" customHeight="1" thickBot="1" x14ac:dyDescent="0.3">
      <c r="A3" s="505"/>
      <c r="B3" s="62"/>
      <c r="C3" s="62"/>
      <c r="D3" s="62"/>
      <c r="E3" s="62"/>
      <c r="F3" s="62"/>
      <c r="G3" s="62"/>
      <c r="H3" s="63"/>
      <c r="I3" s="298"/>
      <c r="J3" s="62"/>
      <c r="K3" s="62"/>
      <c r="L3" s="62"/>
      <c r="M3" s="62"/>
      <c r="N3" s="62"/>
      <c r="O3" s="62"/>
      <c r="P3" s="298"/>
      <c r="Q3" s="239"/>
    </row>
    <row r="4" spans="1:22" ht="15.75" thickBot="1" x14ac:dyDescent="0.3">
      <c r="A4" s="505"/>
      <c r="B4" s="800" t="s">
        <v>43</v>
      </c>
      <c r="C4" s="800"/>
      <c r="D4" s="800"/>
      <c r="E4" s="62"/>
      <c r="F4" s="797"/>
      <c r="G4" s="798"/>
      <c r="H4" s="798"/>
      <c r="I4" s="798"/>
      <c r="J4" s="799"/>
      <c r="K4" s="66"/>
      <c r="L4" s="814" t="s">
        <v>459</v>
      </c>
      <c r="M4" s="815"/>
      <c r="N4" s="815"/>
      <c r="P4" s="254"/>
      <c r="Q4" s="239"/>
      <c r="S4" s="765" t="s">
        <v>478</v>
      </c>
      <c r="T4" s="765"/>
      <c r="V4" s="258">
        <f>IF(F4="Fine",-8,IF(F4="Diminutive",-6,IF(F4="Tiny",-4,IF(F4="Small",-2,IF(F4="Large",2,IF(F4="Huge",4,IF(F4="Gargantuan",6,IF(F4="Colossal",8,0))))))))</f>
        <v>0</v>
      </c>
    </row>
    <row r="5" spans="1:22" s="65" customFormat="1" ht="3" customHeight="1" x14ac:dyDescent="0.25">
      <c r="A5" s="505"/>
      <c r="B5" s="62"/>
      <c r="C5" s="62"/>
      <c r="D5" s="62"/>
      <c r="E5" s="62"/>
      <c r="F5" s="62"/>
      <c r="G5" s="62"/>
      <c r="H5" s="67"/>
      <c r="I5" s="67"/>
      <c r="J5" s="298"/>
      <c r="K5" s="298"/>
      <c r="L5" s="298"/>
      <c r="M5" s="298"/>
      <c r="N5" s="298"/>
      <c r="O5" s="298"/>
      <c r="P5" s="298"/>
      <c r="Q5" s="239"/>
    </row>
    <row r="6" spans="1:22" x14ac:dyDescent="0.25">
      <c r="A6" s="505"/>
      <c r="B6" s="715" t="s">
        <v>217</v>
      </c>
      <c r="C6" s="715"/>
      <c r="D6" s="715"/>
      <c r="E6" s="715"/>
      <c r="F6" s="715"/>
      <c r="G6" s="715"/>
      <c r="H6" s="715"/>
      <c r="I6" s="504"/>
      <c r="J6" s="715" t="s">
        <v>220</v>
      </c>
      <c r="K6" s="715"/>
      <c r="L6" s="715"/>
      <c r="M6" s="715"/>
      <c r="N6" s="715"/>
      <c r="O6" s="715"/>
      <c r="P6" s="715"/>
      <c r="Q6" s="239"/>
      <c r="S6" s="61" t="s">
        <v>1691</v>
      </c>
      <c r="V6" s="61" t="str">
        <f>IF(P16&lt;&gt;"",IF(P16+V4&gt;-5,IF(P16+V4&lt;1,VLOOKUP(P16+V4,'Drop Down'!C88:D93,2,FALSE),P16+V4),"n/a"),"n/a")</f>
        <v>n/a</v>
      </c>
    </row>
    <row r="7" spans="1:22" ht="3" customHeight="1" thickBot="1" x14ac:dyDescent="0.3">
      <c r="A7" s="505"/>
      <c r="B7" s="664"/>
      <c r="C7" s="664"/>
      <c r="D7" s="664"/>
      <c r="H7" s="664"/>
      <c r="J7" s="664"/>
      <c r="Q7" s="239"/>
    </row>
    <row r="8" spans="1:22" ht="15.75" thickBot="1" x14ac:dyDescent="0.3">
      <c r="A8" s="505"/>
      <c r="B8" s="765" t="s">
        <v>462</v>
      </c>
      <c r="C8" s="765"/>
      <c r="D8" s="765"/>
      <c r="E8" s="556"/>
      <c r="F8" s="811" t="str">
        <f>IF(P2="n/a","n/a",ROUNDDOWN(V18*P2,0))</f>
        <v>n/a</v>
      </c>
      <c r="G8" s="812"/>
      <c r="H8" s="813"/>
      <c r="I8" s="504"/>
      <c r="J8" s="765" t="s">
        <v>157</v>
      </c>
      <c r="K8" s="765"/>
      <c r="L8" s="765"/>
      <c r="M8" s="504"/>
      <c r="N8" s="676" t="str">
        <f>IF(F18&lt;&gt;"",IF(ROUNDDOWN(F18/15,0)&lt;1,1,ROUNDDOWN(F18/15,0)),"n/a")</f>
        <v>n/a</v>
      </c>
      <c r="O8" s="804"/>
      <c r="P8" s="677"/>
      <c r="Q8" s="239"/>
    </row>
    <row r="9" spans="1:22" ht="3" customHeight="1" thickBot="1" x14ac:dyDescent="0.3">
      <c r="A9" s="505"/>
      <c r="B9" s="60"/>
      <c r="C9" s="60"/>
      <c r="D9" s="60"/>
      <c r="H9" s="664"/>
      <c r="J9" s="664"/>
      <c r="L9" s="60"/>
      <c r="Q9" s="239"/>
    </row>
    <row r="10" spans="1:22" ht="15.75" thickBot="1" x14ac:dyDescent="0.3">
      <c r="A10" s="505"/>
      <c r="B10" s="765" t="s">
        <v>463</v>
      </c>
      <c r="C10" s="765"/>
      <c r="D10" s="765"/>
      <c r="E10" s="556"/>
      <c r="F10" s="676" t="str">
        <f>IF(P2="n/a","n/a",CONCATENATE("+",(P2+F95),IF(F99&gt;0,", ranged","")))</f>
        <v>n/a</v>
      </c>
      <c r="G10" s="804"/>
      <c r="H10" s="677"/>
      <c r="I10" s="504"/>
      <c r="J10" s="765" t="s">
        <v>61</v>
      </c>
      <c r="K10" s="765"/>
      <c r="L10" s="765"/>
      <c r="M10" s="504"/>
      <c r="N10" s="676" t="str">
        <f>IF(P2="n/a","n/a",(IF(P2/2&lt;1,1,ROUNDDOWN(P2/2,0))+F98))</f>
        <v>n/a</v>
      </c>
      <c r="O10" s="804"/>
      <c r="P10" s="677"/>
      <c r="Q10" s="239"/>
    </row>
    <row r="11" spans="1:22" ht="3" customHeight="1" thickBot="1" x14ac:dyDescent="0.3">
      <c r="A11" s="505"/>
      <c r="B11" s="60"/>
      <c r="C11" s="60"/>
      <c r="D11" s="60"/>
      <c r="H11" s="664"/>
      <c r="J11" s="664"/>
      <c r="L11" s="60"/>
      <c r="Q11" s="239"/>
    </row>
    <row r="12" spans="1:22" ht="15.75" thickBot="1" x14ac:dyDescent="0.3">
      <c r="A12" s="505"/>
      <c r="B12" s="765" t="s">
        <v>464</v>
      </c>
      <c r="C12" s="765"/>
      <c r="D12" s="765"/>
      <c r="E12" s="556"/>
      <c r="F12" s="676" t="str">
        <f>IF(P2="n/a","n/a",10+P2+F96)</f>
        <v>n/a</v>
      </c>
      <c r="G12" s="804"/>
      <c r="H12" s="677"/>
      <c r="I12" s="504"/>
      <c r="J12" s="765" t="s">
        <v>160</v>
      </c>
      <c r="K12" s="765"/>
      <c r="L12" s="765"/>
      <c r="M12" s="504"/>
      <c r="N12" s="762" t="s">
        <v>601</v>
      </c>
      <c r="O12" s="763"/>
      <c r="P12" s="764"/>
      <c r="Q12" s="239"/>
    </row>
    <row r="13" spans="1:22" ht="3" customHeight="1" x14ac:dyDescent="0.25">
      <c r="A13" s="505"/>
      <c r="B13" s="664"/>
      <c r="C13" s="664"/>
      <c r="D13" s="664"/>
      <c r="H13" s="664"/>
      <c r="J13" s="664"/>
      <c r="Q13" s="239"/>
    </row>
    <row r="14" spans="1:22" x14ac:dyDescent="0.25">
      <c r="A14" s="505"/>
      <c r="B14" s="715" t="s">
        <v>470</v>
      </c>
      <c r="C14" s="715"/>
      <c r="D14" s="715"/>
      <c r="E14" s="715"/>
      <c r="F14" s="715"/>
      <c r="G14" s="715"/>
      <c r="H14" s="715"/>
      <c r="I14" s="715"/>
      <c r="J14" s="715"/>
      <c r="K14" s="715"/>
      <c r="L14" s="715"/>
      <c r="M14" s="715"/>
      <c r="N14" s="715"/>
      <c r="O14" s="715"/>
      <c r="P14" s="715"/>
      <c r="Q14" s="239"/>
    </row>
    <row r="15" spans="1:22" ht="3" customHeight="1" thickBot="1" x14ac:dyDescent="0.3">
      <c r="A15" s="505"/>
      <c r="B15" s="664"/>
      <c r="C15" s="664"/>
      <c r="D15" s="664"/>
      <c r="H15" s="664"/>
      <c r="J15" s="664"/>
      <c r="P15" s="71"/>
      <c r="Q15" s="239"/>
    </row>
    <row r="16" spans="1:22" ht="15.75" thickBot="1" x14ac:dyDescent="0.3">
      <c r="A16" s="505"/>
      <c r="B16" s="800" t="s">
        <v>84</v>
      </c>
      <c r="C16" s="800"/>
      <c r="D16" s="800"/>
      <c r="E16" s="62"/>
      <c r="F16" s="797"/>
      <c r="G16" s="798"/>
      <c r="H16" s="798"/>
      <c r="I16" s="798"/>
      <c r="J16" s="798"/>
      <c r="K16" s="798"/>
      <c r="L16" s="799"/>
      <c r="M16" s="658"/>
      <c r="N16" s="663" t="s">
        <v>159</v>
      </c>
      <c r="O16" s="658"/>
      <c r="P16" s="255"/>
      <c r="Q16" s="239"/>
    </row>
    <row r="17" spans="1:22" ht="3" customHeight="1" thickBot="1" x14ac:dyDescent="0.3">
      <c r="A17" s="505"/>
      <c r="B17" s="664"/>
      <c r="C17" s="664"/>
      <c r="D17" s="664"/>
      <c r="H17" s="664"/>
      <c r="I17" s="504"/>
      <c r="J17" s="664"/>
      <c r="N17" s="62" t="s">
        <v>162</v>
      </c>
      <c r="O17" s="658"/>
      <c r="P17" s="235"/>
      <c r="Q17" s="239"/>
    </row>
    <row r="18" spans="1:22" ht="15.75" thickBot="1" x14ac:dyDescent="0.3">
      <c r="A18" s="505"/>
      <c r="B18" s="765" t="s">
        <v>157</v>
      </c>
      <c r="C18" s="765"/>
      <c r="D18" s="765"/>
      <c r="E18" s="556"/>
      <c r="F18" s="805"/>
      <c r="G18" s="806"/>
      <c r="H18" s="807"/>
      <c r="I18" s="504"/>
      <c r="J18" s="765" t="s">
        <v>471</v>
      </c>
      <c r="K18" s="765"/>
      <c r="L18" s="765"/>
      <c r="M18" s="765"/>
      <c r="N18" s="765"/>
      <c r="O18" s="503"/>
      <c r="P18" s="254"/>
      <c r="Q18" s="239"/>
      <c r="S18" s="765" t="s">
        <v>461</v>
      </c>
      <c r="T18" s="765"/>
      <c r="V18" s="258">
        <f>IF(P18="d6",3.5,IF(P18="d8",4.5,IF(P18="d10",5.5,IF(P18="d12",6.5,0))))</f>
        <v>0</v>
      </c>
    </row>
    <row r="19" spans="1:22" s="65" customFormat="1" ht="3" customHeight="1" x14ac:dyDescent="0.25">
      <c r="A19" s="505"/>
      <c r="B19" s="234"/>
      <c r="C19" s="234"/>
      <c r="D19" s="234"/>
      <c r="E19" s="67"/>
      <c r="F19" s="67"/>
      <c r="G19" s="67"/>
      <c r="H19" s="67"/>
      <c r="I19" s="63"/>
      <c r="J19" s="234"/>
      <c r="K19" s="63"/>
      <c r="L19" s="63"/>
      <c r="M19" s="63"/>
      <c r="N19" s="63"/>
      <c r="O19" s="63"/>
      <c r="P19" s="63"/>
      <c r="Q19" s="239"/>
    </row>
    <row r="20" spans="1:22" x14ac:dyDescent="0.25">
      <c r="A20" s="505"/>
      <c r="B20" s="715" t="s">
        <v>468</v>
      </c>
      <c r="C20" s="715"/>
      <c r="D20" s="715"/>
      <c r="E20" s="715"/>
      <c r="F20" s="715"/>
      <c r="G20" s="715"/>
      <c r="H20" s="715"/>
      <c r="I20" s="715"/>
      <c r="J20" s="715"/>
      <c r="K20" s="715"/>
      <c r="L20" s="715"/>
      <c r="M20" s="715"/>
      <c r="N20" s="715"/>
      <c r="O20" s="715"/>
      <c r="P20" s="715"/>
      <c r="Q20" s="239"/>
    </row>
    <row r="21" spans="1:22" ht="3" customHeight="1" thickBot="1" x14ac:dyDescent="0.3">
      <c r="A21" s="505"/>
      <c r="B21" s="193"/>
      <c r="C21" s="193"/>
      <c r="D21" s="193"/>
      <c r="E21" s="193"/>
      <c r="F21" s="193"/>
      <c r="G21" s="193"/>
      <c r="H21" s="193"/>
      <c r="I21" s="193"/>
      <c r="J21" s="193"/>
      <c r="K21" s="193"/>
      <c r="L21" s="193"/>
      <c r="M21" s="193"/>
      <c r="N21" s="193"/>
      <c r="O21" s="193"/>
      <c r="P21" s="193"/>
      <c r="Q21" s="239"/>
    </row>
    <row r="22" spans="1:22" s="233" customFormat="1" ht="15.75" thickBot="1" x14ac:dyDescent="0.3">
      <c r="A22" s="505"/>
      <c r="B22" s="663" t="s">
        <v>78</v>
      </c>
      <c r="C22" s="62"/>
      <c r="D22" s="808"/>
      <c r="E22" s="809"/>
      <c r="F22" s="809"/>
      <c r="G22" s="809"/>
      <c r="H22" s="810"/>
      <c r="I22" s="248"/>
      <c r="J22" s="715" t="s">
        <v>482</v>
      </c>
      <c r="K22" s="715"/>
      <c r="L22" s="715"/>
      <c r="M22" s="715"/>
      <c r="N22" s="715"/>
      <c r="O22" s="715"/>
      <c r="P22" s="715"/>
      <c r="Q22" s="239"/>
      <c r="S22" s="765" t="s">
        <v>482</v>
      </c>
      <c r="T22" s="765"/>
      <c r="V22" s="233" t="str">
        <f>CONCATENATE(IF(J24&lt;&gt;0,J24,""),IF(J26&lt;&gt;0,CONCATENATE(", ",J26),""),IF(J28&lt;&gt;0,CONCATENATE(", ",J28),""),IF(J30&lt;&gt;0,CONCATENATE(", ",J30),""),IF(J32&lt;&gt;0,CONCATENATE(", ",J32),""))</f>
        <v/>
      </c>
    </row>
    <row r="23" spans="1:22" s="233" customFormat="1" ht="3" customHeight="1" thickBot="1" x14ac:dyDescent="0.3">
      <c r="A23" s="505"/>
      <c r="B23" s="153"/>
      <c r="C23" s="153"/>
      <c r="D23" s="153"/>
      <c r="E23" s="153"/>
      <c r="F23" s="153"/>
      <c r="G23" s="153"/>
      <c r="H23" s="153"/>
      <c r="I23" s="153"/>
      <c r="J23" s="153"/>
      <c r="K23" s="153"/>
      <c r="L23" s="153"/>
      <c r="M23" s="153"/>
      <c r="N23" s="153"/>
      <c r="O23" s="153"/>
      <c r="P23" s="153"/>
      <c r="Q23" s="239"/>
    </row>
    <row r="24" spans="1:22" s="233" customFormat="1" ht="15.75" thickBot="1" x14ac:dyDescent="0.3">
      <c r="A24" s="505"/>
      <c r="B24" s="765" t="s">
        <v>55</v>
      </c>
      <c r="C24" s="765"/>
      <c r="D24" s="765"/>
      <c r="E24" s="765"/>
      <c r="F24" s="765"/>
      <c r="G24" s="250"/>
      <c r="H24" s="150">
        <f>IF(H32="Yes",H26+H28+3,H26+H28)</f>
        <v>0</v>
      </c>
      <c r="I24" s="153"/>
      <c r="J24" s="801"/>
      <c r="K24" s="802"/>
      <c r="L24" s="802"/>
      <c r="M24" s="802"/>
      <c r="N24" s="802"/>
      <c r="O24" s="802"/>
      <c r="P24" s="803"/>
      <c r="Q24" s="239"/>
    </row>
    <row r="25" spans="1:22" s="233" customFormat="1" ht="3" customHeight="1" thickBot="1" x14ac:dyDescent="0.3">
      <c r="A25" s="505"/>
      <c r="G25" s="260"/>
      <c r="I25" s="153"/>
      <c r="J25" s="69"/>
      <c r="K25" s="69"/>
      <c r="L25" s="69"/>
      <c r="M25" s="69"/>
      <c r="N25" s="69"/>
      <c r="O25" s="69"/>
      <c r="P25" s="69"/>
      <c r="Q25" s="239"/>
    </row>
    <row r="26" spans="1:22" s="233" customFormat="1" ht="15.75" thickBot="1" x14ac:dyDescent="0.3">
      <c r="A26" s="505"/>
      <c r="B26" s="765" t="s">
        <v>483</v>
      </c>
      <c r="C26" s="765"/>
      <c r="D26" s="765"/>
      <c r="E26" s="765"/>
      <c r="F26" s="765"/>
      <c r="G26" s="250"/>
      <c r="H26" s="270"/>
      <c r="I26" s="153"/>
      <c r="J26" s="801"/>
      <c r="K26" s="802"/>
      <c r="L26" s="802"/>
      <c r="M26" s="802"/>
      <c r="N26" s="802"/>
      <c r="O26" s="802"/>
      <c r="P26" s="803"/>
      <c r="Q26" s="239"/>
    </row>
    <row r="27" spans="1:22" s="233" customFormat="1" ht="3" customHeight="1" thickBot="1" x14ac:dyDescent="0.3">
      <c r="A27" s="505"/>
      <c r="B27" s="153"/>
      <c r="C27" s="153"/>
      <c r="D27" s="153"/>
      <c r="E27" s="153"/>
      <c r="F27" s="153"/>
      <c r="G27" s="153"/>
      <c r="H27" s="153"/>
      <c r="I27" s="153"/>
      <c r="J27" s="69"/>
      <c r="K27" s="69"/>
      <c r="L27" s="69"/>
      <c r="M27" s="69"/>
      <c r="N27" s="69"/>
      <c r="O27" s="69"/>
      <c r="P27" s="69"/>
      <c r="Q27" s="239"/>
    </row>
    <row r="28" spans="1:22" s="233" customFormat="1" ht="15.75" thickBot="1" x14ac:dyDescent="0.3">
      <c r="A28" s="505"/>
      <c r="B28" s="765" t="s">
        <v>479</v>
      </c>
      <c r="C28" s="765"/>
      <c r="D28" s="765"/>
      <c r="E28" s="765"/>
      <c r="F28" s="765"/>
      <c r="G28" s="250"/>
      <c r="H28" s="270"/>
      <c r="I28" s="153"/>
      <c r="J28" s="801"/>
      <c r="K28" s="802"/>
      <c r="L28" s="802"/>
      <c r="M28" s="802"/>
      <c r="N28" s="802"/>
      <c r="O28" s="802"/>
      <c r="P28" s="803"/>
      <c r="Q28" s="239"/>
    </row>
    <row r="29" spans="1:22" ht="3" customHeight="1" thickBot="1" x14ac:dyDescent="0.3">
      <c r="A29" s="505"/>
      <c r="B29" s="664"/>
      <c r="C29" s="664"/>
      <c r="D29" s="664"/>
      <c r="H29" s="664"/>
      <c r="J29" s="69"/>
      <c r="K29" s="69"/>
      <c r="L29" s="69"/>
      <c r="M29" s="69"/>
      <c r="N29" s="69"/>
      <c r="O29" s="69"/>
      <c r="P29" s="69"/>
      <c r="Q29" s="239"/>
    </row>
    <row r="30" spans="1:22" ht="15.75" thickBot="1" x14ac:dyDescent="0.3">
      <c r="A30" s="505"/>
      <c r="B30" s="765" t="s">
        <v>481</v>
      </c>
      <c r="C30" s="765"/>
      <c r="D30" s="765"/>
      <c r="E30" s="765"/>
      <c r="F30" s="765"/>
      <c r="H30" s="270"/>
      <c r="J30" s="801"/>
      <c r="K30" s="802"/>
      <c r="L30" s="802"/>
      <c r="M30" s="802"/>
      <c r="N30" s="802"/>
      <c r="O30" s="802"/>
      <c r="P30" s="803"/>
      <c r="Q30" s="239"/>
    </row>
    <row r="31" spans="1:22" ht="3" customHeight="1" thickBot="1" x14ac:dyDescent="0.3">
      <c r="A31" s="505"/>
      <c r="B31" s="664"/>
      <c r="C31" s="664"/>
      <c r="D31" s="664"/>
      <c r="H31" s="664"/>
      <c r="J31" s="73"/>
      <c r="K31" s="73"/>
      <c r="L31" s="73"/>
      <c r="M31" s="73"/>
      <c r="N31" s="73"/>
      <c r="O31" s="73"/>
      <c r="P31" s="73"/>
      <c r="Q31" s="239"/>
    </row>
    <row r="32" spans="1:22" ht="15.75" thickBot="1" x14ac:dyDescent="0.3">
      <c r="A32" s="505"/>
      <c r="B32" s="765" t="s">
        <v>467</v>
      </c>
      <c r="C32" s="765"/>
      <c r="D32" s="765"/>
      <c r="E32" s="765"/>
      <c r="F32" s="765"/>
      <c r="H32" s="256"/>
      <c r="J32" s="801"/>
      <c r="K32" s="802"/>
      <c r="L32" s="802"/>
      <c r="M32" s="802"/>
      <c r="N32" s="802"/>
      <c r="O32" s="802"/>
      <c r="P32" s="803"/>
      <c r="Q32" s="239"/>
    </row>
    <row r="33" spans="1:25" ht="3" customHeight="1" x14ac:dyDescent="0.25">
      <c r="A33" s="505"/>
      <c r="B33" s="664"/>
      <c r="C33" s="664"/>
      <c r="D33" s="664"/>
      <c r="H33" s="664"/>
      <c r="J33" s="73"/>
      <c r="K33" s="73"/>
      <c r="L33" s="73"/>
      <c r="M33" s="73"/>
      <c r="N33" s="73"/>
      <c r="O33" s="73"/>
      <c r="P33" s="73"/>
      <c r="Q33" s="239"/>
    </row>
    <row r="34" spans="1:25" x14ac:dyDescent="0.25">
      <c r="A34" s="505"/>
      <c r="B34" s="715" t="s">
        <v>469</v>
      </c>
      <c r="C34" s="715"/>
      <c r="D34" s="715"/>
      <c r="E34" s="715"/>
      <c r="F34" s="715"/>
      <c r="G34" s="715"/>
      <c r="H34" s="715"/>
      <c r="I34" s="715"/>
      <c r="J34" s="715"/>
      <c r="K34" s="715"/>
      <c r="L34" s="715"/>
      <c r="M34" s="715"/>
      <c r="N34" s="715"/>
      <c r="O34" s="715"/>
      <c r="P34" s="715"/>
      <c r="Q34" s="239"/>
    </row>
    <row r="35" spans="1:25" ht="3" customHeight="1" x14ac:dyDescent="0.25">
      <c r="A35" s="505"/>
      <c r="B35" s="664"/>
      <c r="C35" s="664"/>
      <c r="D35" s="664"/>
      <c r="H35" s="664"/>
      <c r="J35" s="664"/>
      <c r="Q35" s="239"/>
    </row>
    <row r="36" spans="1:25" x14ac:dyDescent="0.25">
      <c r="A36" s="505"/>
      <c r="B36" s="715" t="s">
        <v>158</v>
      </c>
      <c r="C36" s="715"/>
      <c r="D36" s="715"/>
      <c r="E36" s="715"/>
      <c r="F36" s="715"/>
      <c r="G36" s="715"/>
      <c r="H36" s="715"/>
      <c r="I36" s="504"/>
      <c r="J36" s="715" t="s">
        <v>56</v>
      </c>
      <c r="K36" s="715"/>
      <c r="L36" s="715"/>
      <c r="M36" s="715"/>
      <c r="N36" s="715"/>
      <c r="O36" s="715"/>
      <c r="P36" s="715"/>
      <c r="Q36" s="239"/>
      <c r="S36" s="765" t="s">
        <v>158</v>
      </c>
      <c r="T36" s="765"/>
      <c r="U36" s="193"/>
      <c r="V36" s="504" t="str">
        <f>CONCATENATE(IF(B38&lt;&gt;0,B38,""),IF(B40&lt;&gt;0,CONCATENATE(", ",B40),""),IF(B42&lt;&gt;0,CONCATENATE(", ",B42),""),IF(B44&lt;&gt;0,CONCATENATE(", ",B44),""),IF(B46&lt;&gt;0,CONCATENATE(", ",B46),""))</f>
        <v/>
      </c>
      <c r="W36" s="504"/>
      <c r="X36" s="504"/>
      <c r="Y36" s="504"/>
    </row>
    <row r="37" spans="1:25" s="664" customFormat="1" ht="3" customHeight="1" thickBot="1" x14ac:dyDescent="0.3">
      <c r="A37" s="505"/>
      <c r="B37" s="69"/>
      <c r="C37" s="69"/>
      <c r="D37" s="69"/>
      <c r="E37" s="69"/>
      <c r="F37" s="69"/>
      <c r="G37" s="69"/>
      <c r="H37" s="69"/>
      <c r="I37" s="69"/>
      <c r="J37" s="69"/>
      <c r="K37" s="69"/>
      <c r="L37" s="69"/>
      <c r="M37" s="69"/>
      <c r="N37" s="69"/>
      <c r="O37" s="69"/>
      <c r="P37" s="69"/>
      <c r="Q37" s="239"/>
    </row>
    <row r="38" spans="1:25" s="664" customFormat="1" ht="15.75" thickBot="1" x14ac:dyDescent="0.3">
      <c r="A38" s="505"/>
      <c r="B38" s="801"/>
      <c r="C38" s="802"/>
      <c r="D38" s="802"/>
      <c r="E38" s="802"/>
      <c r="F38" s="802"/>
      <c r="G38" s="802"/>
      <c r="H38" s="803"/>
      <c r="I38" s="69"/>
      <c r="J38" s="801"/>
      <c r="K38" s="802"/>
      <c r="L38" s="802"/>
      <c r="M38" s="802"/>
      <c r="N38" s="802"/>
      <c r="O38" s="802"/>
      <c r="P38" s="803"/>
      <c r="Q38" s="239"/>
      <c r="S38" s="765" t="s">
        <v>56</v>
      </c>
      <c r="T38" s="765"/>
      <c r="V38" s="664" t="str">
        <f>CONCATENATE(IF(J38&lt;&gt;0,J38,""),IF(J40&lt;&gt;0,CONCATENATE(", ",J40),""),IF(J42&lt;&gt;0,CONCATENATE(", ",J42),""),IF(J44&lt;&gt;0,CONCATENATE(", ",J44),""),IF(J46&lt;&gt;0,CONCATENATE(", ",J46),""))</f>
        <v/>
      </c>
    </row>
    <row r="39" spans="1:25" s="664" customFormat="1" ht="3" customHeight="1" thickBot="1" x14ac:dyDescent="0.3">
      <c r="A39" s="505"/>
      <c r="B39" s="69"/>
      <c r="C39" s="69"/>
      <c r="D39" s="69"/>
      <c r="E39" s="69"/>
      <c r="F39" s="69"/>
      <c r="G39" s="69"/>
      <c r="H39" s="69"/>
      <c r="I39" s="69"/>
      <c r="J39" s="69"/>
      <c r="K39" s="69"/>
      <c r="L39" s="69"/>
      <c r="M39" s="69"/>
      <c r="N39" s="69"/>
      <c r="O39" s="69"/>
      <c r="P39" s="69"/>
      <c r="Q39" s="239"/>
    </row>
    <row r="40" spans="1:25" s="664" customFormat="1" ht="15.75" thickBot="1" x14ac:dyDescent="0.3">
      <c r="A40" s="505"/>
      <c r="B40" s="801"/>
      <c r="C40" s="802"/>
      <c r="D40" s="802"/>
      <c r="E40" s="802"/>
      <c r="F40" s="802"/>
      <c r="G40" s="802"/>
      <c r="H40" s="803"/>
      <c r="I40" s="69"/>
      <c r="J40" s="801"/>
      <c r="K40" s="802"/>
      <c r="L40" s="802"/>
      <c r="M40" s="802"/>
      <c r="N40" s="802"/>
      <c r="O40" s="802"/>
      <c r="P40" s="803"/>
      <c r="Q40" s="239"/>
    </row>
    <row r="41" spans="1:25" s="664" customFormat="1" ht="3" customHeight="1" thickBot="1" x14ac:dyDescent="0.3">
      <c r="A41" s="505"/>
      <c r="B41" s="69"/>
      <c r="C41" s="69"/>
      <c r="D41" s="69"/>
      <c r="E41" s="69"/>
      <c r="F41" s="69"/>
      <c r="G41" s="69"/>
      <c r="H41" s="69"/>
      <c r="I41" s="69"/>
      <c r="J41" s="69"/>
      <c r="K41" s="69"/>
      <c r="L41" s="69"/>
      <c r="M41" s="69"/>
      <c r="N41" s="69"/>
      <c r="O41" s="69"/>
      <c r="P41" s="69"/>
      <c r="Q41" s="239"/>
    </row>
    <row r="42" spans="1:25" s="664" customFormat="1" ht="15.75" thickBot="1" x14ac:dyDescent="0.3">
      <c r="A42" s="505"/>
      <c r="B42" s="801"/>
      <c r="C42" s="802"/>
      <c r="D42" s="802"/>
      <c r="E42" s="802"/>
      <c r="F42" s="802"/>
      <c r="G42" s="802"/>
      <c r="H42" s="803"/>
      <c r="I42" s="69"/>
      <c r="J42" s="801"/>
      <c r="K42" s="802"/>
      <c r="L42" s="802"/>
      <c r="M42" s="802"/>
      <c r="N42" s="802"/>
      <c r="O42" s="802"/>
      <c r="P42" s="803"/>
      <c r="Q42" s="239"/>
    </row>
    <row r="43" spans="1:25" s="664" customFormat="1" ht="3" customHeight="1" thickBot="1" x14ac:dyDescent="0.3">
      <c r="A43" s="505"/>
      <c r="B43" s="69"/>
      <c r="C43" s="69"/>
      <c r="D43" s="69"/>
      <c r="E43" s="69"/>
      <c r="F43" s="69"/>
      <c r="G43" s="69"/>
      <c r="H43" s="69"/>
      <c r="I43" s="69"/>
      <c r="J43" s="69"/>
      <c r="K43" s="69"/>
      <c r="L43" s="69"/>
      <c r="M43" s="69"/>
      <c r="N43" s="69"/>
      <c r="O43" s="69"/>
      <c r="P43" s="69"/>
      <c r="Q43" s="239"/>
    </row>
    <row r="44" spans="1:25" s="664" customFormat="1" ht="15.75" thickBot="1" x14ac:dyDescent="0.3">
      <c r="A44" s="505"/>
      <c r="B44" s="801"/>
      <c r="C44" s="802"/>
      <c r="D44" s="802"/>
      <c r="E44" s="802"/>
      <c r="F44" s="802"/>
      <c r="G44" s="802"/>
      <c r="H44" s="803"/>
      <c r="I44" s="69"/>
      <c r="J44" s="801"/>
      <c r="K44" s="802"/>
      <c r="L44" s="802"/>
      <c r="M44" s="802"/>
      <c r="N44" s="802"/>
      <c r="O44" s="802"/>
      <c r="P44" s="803"/>
      <c r="Q44" s="239"/>
    </row>
    <row r="45" spans="1:25" s="664" customFormat="1" ht="3" customHeight="1" thickBot="1" x14ac:dyDescent="0.3">
      <c r="A45" s="505"/>
      <c r="B45" s="261"/>
      <c r="C45" s="261"/>
      <c r="D45" s="261"/>
      <c r="E45" s="261"/>
      <c r="F45" s="261"/>
      <c r="G45" s="261"/>
      <c r="H45" s="261"/>
      <c r="I45" s="69"/>
      <c r="J45" s="69"/>
      <c r="K45" s="69"/>
      <c r="L45" s="69"/>
      <c r="M45" s="69"/>
      <c r="N45" s="69"/>
      <c r="O45" s="69"/>
      <c r="P45" s="69"/>
      <c r="Q45" s="239"/>
    </row>
    <row r="46" spans="1:25" s="664" customFormat="1" ht="15.75" thickBot="1" x14ac:dyDescent="0.3">
      <c r="A46" s="505"/>
      <c r="B46" s="801"/>
      <c r="C46" s="802"/>
      <c r="D46" s="802"/>
      <c r="E46" s="802"/>
      <c r="F46" s="802"/>
      <c r="G46" s="802"/>
      <c r="H46" s="803"/>
      <c r="I46" s="69"/>
      <c r="J46" s="801"/>
      <c r="K46" s="802"/>
      <c r="L46" s="802"/>
      <c r="M46" s="802"/>
      <c r="N46" s="802"/>
      <c r="O46" s="802"/>
      <c r="P46" s="803"/>
      <c r="Q46" s="239"/>
    </row>
    <row r="47" spans="1:25" ht="3" customHeight="1" x14ac:dyDescent="0.25">
      <c r="A47" s="505"/>
      <c r="B47" s="664"/>
      <c r="C47" s="664"/>
      <c r="D47" s="664"/>
      <c r="H47" s="664"/>
      <c r="J47" s="664"/>
      <c r="Q47" s="239"/>
    </row>
    <row r="48" spans="1:25" x14ac:dyDescent="0.25">
      <c r="A48" s="505"/>
      <c r="B48" s="715" t="s">
        <v>161</v>
      </c>
      <c r="C48" s="715"/>
      <c r="D48" s="715"/>
      <c r="E48" s="715"/>
      <c r="F48" s="715"/>
      <c r="G48" s="715"/>
      <c r="H48" s="715"/>
      <c r="I48" s="504"/>
      <c r="J48" s="715" t="s">
        <v>480</v>
      </c>
      <c r="K48" s="715"/>
      <c r="L48" s="715"/>
      <c r="M48" s="715"/>
      <c r="N48" s="715"/>
      <c r="O48" s="715"/>
      <c r="P48" s="715"/>
      <c r="Q48" s="239"/>
      <c r="S48" s="765" t="s">
        <v>161</v>
      </c>
      <c r="T48" s="765"/>
      <c r="V48" s="61" t="str">
        <f>CONCATENATE(IF(B50&lt;&gt;0,B50,""),IF(B52&lt;&gt;0,CONCATENATE(", ",B52),""),IF(B54&lt;&gt;0,CONCATENATE(", ",B54),""),IF(B56&lt;&gt;0,CONCATENATE(", ",B56),""),IF(B58&lt;&gt;0,CONCATENATE(", ",B58),""))</f>
        <v/>
      </c>
    </row>
    <row r="49" spans="1:17" s="664" customFormat="1" ht="3" customHeight="1" thickBot="1" x14ac:dyDescent="0.3">
      <c r="A49" s="505"/>
      <c r="B49" s="69"/>
      <c r="C49" s="69"/>
      <c r="D49" s="69"/>
      <c r="E49" s="69"/>
      <c r="F49" s="69"/>
      <c r="G49" s="69"/>
      <c r="H49" s="69"/>
      <c r="I49" s="69"/>
      <c r="J49" s="69"/>
      <c r="K49" s="69"/>
      <c r="L49" s="69"/>
      <c r="M49" s="69"/>
      <c r="N49" s="69"/>
      <c r="O49" s="69"/>
      <c r="P49" s="69"/>
      <c r="Q49" s="239"/>
    </row>
    <row r="50" spans="1:17" s="664" customFormat="1" ht="15.75" thickBot="1" x14ac:dyDescent="0.3">
      <c r="A50" s="505"/>
      <c r="B50" s="801"/>
      <c r="C50" s="802"/>
      <c r="D50" s="802"/>
      <c r="E50" s="802"/>
      <c r="F50" s="802"/>
      <c r="G50" s="802"/>
      <c r="H50" s="803"/>
      <c r="I50" s="69"/>
      <c r="J50" s="816"/>
      <c r="K50" s="817"/>
      <c r="L50" s="817"/>
      <c r="M50" s="817"/>
      <c r="N50" s="817"/>
      <c r="O50" s="817"/>
      <c r="P50" s="818"/>
      <c r="Q50" s="239"/>
    </row>
    <row r="51" spans="1:17" s="664" customFormat="1" ht="3" customHeight="1" thickBot="1" x14ac:dyDescent="0.3">
      <c r="A51" s="505"/>
      <c r="B51" s="69"/>
      <c r="C51" s="69"/>
      <c r="D51" s="69"/>
      <c r="E51" s="69"/>
      <c r="F51" s="69"/>
      <c r="G51" s="69"/>
      <c r="H51" s="69"/>
      <c r="I51" s="69"/>
      <c r="J51" s="819"/>
      <c r="K51" s="820"/>
      <c r="L51" s="820"/>
      <c r="M51" s="820"/>
      <c r="N51" s="820"/>
      <c r="O51" s="820"/>
      <c r="P51" s="821"/>
      <c r="Q51" s="239"/>
    </row>
    <row r="52" spans="1:17" s="664" customFormat="1" ht="15.75" thickBot="1" x14ac:dyDescent="0.3">
      <c r="A52" s="505"/>
      <c r="B52" s="801"/>
      <c r="C52" s="802"/>
      <c r="D52" s="802"/>
      <c r="E52" s="802"/>
      <c r="F52" s="802"/>
      <c r="G52" s="802"/>
      <c r="H52" s="803"/>
      <c r="I52" s="69"/>
      <c r="J52" s="819"/>
      <c r="K52" s="820"/>
      <c r="L52" s="820"/>
      <c r="M52" s="820"/>
      <c r="N52" s="820"/>
      <c r="O52" s="820"/>
      <c r="P52" s="821"/>
      <c r="Q52" s="239"/>
    </row>
    <row r="53" spans="1:17" s="664" customFormat="1" ht="3" customHeight="1" thickBot="1" x14ac:dyDescent="0.3">
      <c r="A53" s="505"/>
      <c r="B53" s="69"/>
      <c r="C53" s="69"/>
      <c r="D53" s="69"/>
      <c r="E53" s="69"/>
      <c r="F53" s="69"/>
      <c r="G53" s="69"/>
      <c r="H53" s="69"/>
      <c r="I53" s="69"/>
      <c r="J53" s="819"/>
      <c r="K53" s="820"/>
      <c r="L53" s="820"/>
      <c r="M53" s="820"/>
      <c r="N53" s="820"/>
      <c r="O53" s="820"/>
      <c r="P53" s="821"/>
      <c r="Q53" s="239"/>
    </row>
    <row r="54" spans="1:17" s="664" customFormat="1" ht="15.75" thickBot="1" x14ac:dyDescent="0.3">
      <c r="A54" s="505"/>
      <c r="B54" s="801"/>
      <c r="C54" s="802"/>
      <c r="D54" s="802"/>
      <c r="E54" s="802"/>
      <c r="F54" s="802"/>
      <c r="G54" s="802"/>
      <c r="H54" s="803"/>
      <c r="I54" s="69"/>
      <c r="J54" s="819"/>
      <c r="K54" s="820"/>
      <c r="L54" s="820"/>
      <c r="M54" s="820"/>
      <c r="N54" s="820"/>
      <c r="O54" s="820"/>
      <c r="P54" s="821"/>
      <c r="Q54" s="239"/>
    </row>
    <row r="55" spans="1:17" s="664" customFormat="1" ht="3" customHeight="1" thickBot="1" x14ac:dyDescent="0.3">
      <c r="A55" s="505"/>
      <c r="B55" s="72"/>
      <c r="C55" s="72"/>
      <c r="D55" s="72"/>
      <c r="E55" s="72"/>
      <c r="F55" s="72"/>
      <c r="G55" s="72"/>
      <c r="H55" s="72"/>
      <c r="I55" s="69"/>
      <c r="J55" s="819"/>
      <c r="K55" s="820"/>
      <c r="L55" s="820"/>
      <c r="M55" s="820"/>
      <c r="N55" s="820"/>
      <c r="O55" s="820"/>
      <c r="P55" s="821"/>
      <c r="Q55" s="239"/>
    </row>
    <row r="56" spans="1:17" s="664" customFormat="1" ht="15.75" thickBot="1" x14ac:dyDescent="0.3">
      <c r="A56" s="505"/>
      <c r="B56" s="801"/>
      <c r="C56" s="802"/>
      <c r="D56" s="802"/>
      <c r="E56" s="802"/>
      <c r="F56" s="802"/>
      <c r="G56" s="802"/>
      <c r="H56" s="803"/>
      <c r="I56" s="69"/>
      <c r="J56" s="819"/>
      <c r="K56" s="820"/>
      <c r="L56" s="820"/>
      <c r="M56" s="820"/>
      <c r="N56" s="820"/>
      <c r="O56" s="820"/>
      <c r="P56" s="821"/>
      <c r="Q56" s="239"/>
    </row>
    <row r="57" spans="1:17" s="664" customFormat="1" ht="3" customHeight="1" thickBot="1" x14ac:dyDescent="0.3">
      <c r="A57" s="505"/>
      <c r="B57" s="72"/>
      <c r="C57" s="72"/>
      <c r="D57" s="72"/>
      <c r="E57" s="72"/>
      <c r="F57" s="72"/>
      <c r="G57" s="72"/>
      <c r="H57" s="72"/>
      <c r="I57" s="69"/>
      <c r="J57" s="819"/>
      <c r="K57" s="820"/>
      <c r="L57" s="820"/>
      <c r="M57" s="820"/>
      <c r="N57" s="820"/>
      <c r="O57" s="820"/>
      <c r="P57" s="821"/>
      <c r="Q57" s="239"/>
    </row>
    <row r="58" spans="1:17" s="664" customFormat="1" ht="15.75" thickBot="1" x14ac:dyDescent="0.3">
      <c r="A58" s="505"/>
      <c r="B58" s="801"/>
      <c r="C58" s="802"/>
      <c r="D58" s="802"/>
      <c r="E58" s="802"/>
      <c r="F58" s="802"/>
      <c r="G58" s="802"/>
      <c r="H58" s="803"/>
      <c r="I58" s="69"/>
      <c r="J58" s="822"/>
      <c r="K58" s="823"/>
      <c r="L58" s="823"/>
      <c r="M58" s="823"/>
      <c r="N58" s="823"/>
      <c r="O58" s="823"/>
      <c r="P58" s="824"/>
      <c r="Q58" s="239"/>
    </row>
    <row r="59" spans="1:17" ht="3" customHeight="1" thickBot="1" x14ac:dyDescent="0.3">
      <c r="A59" s="246"/>
      <c r="B59" s="247"/>
      <c r="C59" s="247"/>
      <c r="D59" s="247"/>
      <c r="E59" s="247"/>
      <c r="F59" s="247"/>
      <c r="G59" s="247"/>
      <c r="H59" s="247"/>
      <c r="I59" s="247"/>
      <c r="J59" s="247"/>
      <c r="K59" s="247"/>
      <c r="L59" s="247"/>
      <c r="M59" s="247"/>
      <c r="N59" s="247"/>
      <c r="O59" s="247"/>
      <c r="P59" s="247"/>
      <c r="Q59" s="240"/>
    </row>
    <row r="60" spans="1:17" x14ac:dyDescent="0.25">
      <c r="A60" s="664"/>
      <c r="B60" s="664"/>
      <c r="C60" s="664"/>
      <c r="D60" s="664"/>
      <c r="H60" s="664"/>
      <c r="J60" s="664"/>
    </row>
    <row r="61" spans="1:17" hidden="1" x14ac:dyDescent="0.25">
      <c r="B61" s="664"/>
    </row>
    <row r="62" spans="1:17" ht="15" hidden="1" customHeight="1" x14ac:dyDescent="0.25">
      <c r="B62" s="800" t="s">
        <v>56</v>
      </c>
      <c r="C62" s="800"/>
      <c r="D62" s="800"/>
      <c r="F62" s="262" t="s">
        <v>367</v>
      </c>
      <c r="H62" s="661" t="s">
        <v>218</v>
      </c>
      <c r="J62" s="661" t="s">
        <v>219</v>
      </c>
      <c r="L62" s="262" t="s">
        <v>582</v>
      </c>
      <c r="N62" s="262" t="s">
        <v>583</v>
      </c>
      <c r="P62" s="666" t="s">
        <v>588</v>
      </c>
    </row>
    <row r="63" spans="1:17" ht="15" hidden="1" customHeight="1" x14ac:dyDescent="0.25">
      <c r="B63" s="796" t="s">
        <v>194</v>
      </c>
      <c r="C63" s="796"/>
      <c r="D63" s="796"/>
      <c r="F63" s="67">
        <f>IF(COUNTIF(J38:J46,"Healing Potions")&lt;1,0,1)</f>
        <v>0</v>
      </c>
      <c r="H63" s="661"/>
      <c r="J63" s="661"/>
      <c r="L63" s="377">
        <v>3</v>
      </c>
      <c r="N63" s="67">
        <f>IF($L63*$F$73&lt;1,1,ROUNDDOWN($L63*$F$73,0))</f>
        <v>3</v>
      </c>
      <c r="P63" s="666"/>
    </row>
    <row r="64" spans="1:17" ht="15" hidden="1" customHeight="1" x14ac:dyDescent="0.25">
      <c r="B64" s="826" t="s">
        <v>580</v>
      </c>
      <c r="C64" s="826"/>
      <c r="D64" s="826"/>
      <c r="F64" s="67">
        <f>IF(COUNTIF(J38:J46,"Improved Armor (Masterwork)")&lt;1,0,1)</f>
        <v>0</v>
      </c>
      <c r="H64" s="662">
        <v>1</v>
      </c>
      <c r="J64" s="662"/>
      <c r="L64" s="67">
        <v>1</v>
      </c>
      <c r="N64" s="67">
        <f t="shared" ref="N64:N70" si="0">IF($L64*$F$73&lt;1,1,ROUNDDOWN($L64*$F$73,0))</f>
        <v>1</v>
      </c>
      <c r="P64" s="67"/>
    </row>
    <row r="65" spans="2:16" ht="15" hidden="1" customHeight="1" x14ac:dyDescent="0.25">
      <c r="B65" s="826" t="s">
        <v>193</v>
      </c>
      <c r="C65" s="826"/>
      <c r="D65" s="826"/>
      <c r="F65" s="67">
        <f>IF(COUNTIF(J38:J46,"Improved Armor (Magic)")&lt;1,0,1)</f>
        <v>0</v>
      </c>
      <c r="H65" s="662">
        <v>2</v>
      </c>
      <c r="J65" s="662"/>
      <c r="L65" s="67">
        <v>2</v>
      </c>
      <c r="N65" s="67">
        <f t="shared" si="0"/>
        <v>2</v>
      </c>
      <c r="P65" s="67"/>
    </row>
    <row r="66" spans="2:16" ht="15" hidden="1" customHeight="1" x14ac:dyDescent="0.25">
      <c r="B66" s="826" t="s">
        <v>581</v>
      </c>
      <c r="C66" s="826"/>
      <c r="D66" s="826"/>
      <c r="F66" s="67">
        <f>IF(COUNTIF(J38:J46,"Improved Weapons (Masterwork)")&lt;1,0,1)</f>
        <v>0</v>
      </c>
      <c r="H66" s="662"/>
      <c r="J66" s="662">
        <v>1</v>
      </c>
      <c r="L66" s="67">
        <v>1</v>
      </c>
      <c r="N66" s="67">
        <f t="shared" si="0"/>
        <v>1</v>
      </c>
      <c r="P66" s="67"/>
    </row>
    <row r="67" spans="2:16" ht="15" hidden="1" customHeight="1" x14ac:dyDescent="0.25">
      <c r="B67" s="826" t="s">
        <v>192</v>
      </c>
      <c r="C67" s="826"/>
      <c r="D67" s="826"/>
      <c r="F67" s="67">
        <f>IF(COUNTIF(J38:J46,"Improved Weapons (Magic)")&lt;1,0,1)</f>
        <v>0</v>
      </c>
      <c r="H67" s="662"/>
      <c r="J67" s="662">
        <v>2</v>
      </c>
      <c r="L67" s="67">
        <v>2</v>
      </c>
      <c r="N67" s="67">
        <f t="shared" si="0"/>
        <v>2</v>
      </c>
      <c r="P67" s="67"/>
    </row>
    <row r="68" spans="2:16" ht="15" hidden="1" customHeight="1" x14ac:dyDescent="0.25">
      <c r="B68" s="826" t="s">
        <v>486</v>
      </c>
      <c r="C68" s="826"/>
      <c r="D68" s="826"/>
      <c r="F68" s="67">
        <f>IF(COUNTIF(J38:J46,"Mounts")&lt;1,0,1)</f>
        <v>0</v>
      </c>
      <c r="H68" s="662">
        <v>2</v>
      </c>
      <c r="J68" s="662">
        <v>2</v>
      </c>
      <c r="L68" s="67">
        <v>1</v>
      </c>
      <c r="N68" s="67">
        <f t="shared" si="0"/>
        <v>1</v>
      </c>
      <c r="P68" s="67"/>
    </row>
    <row r="69" spans="2:16" ht="15" hidden="1" customHeight="1" x14ac:dyDescent="0.25">
      <c r="B69" s="826" t="s">
        <v>195</v>
      </c>
      <c r="C69" s="826"/>
      <c r="D69" s="826"/>
      <c r="F69" s="67">
        <f>IF(COUNTIF(J38:J46,"Ranged Weapons")&lt;1,0,1)</f>
        <v>0</v>
      </c>
      <c r="H69" s="662"/>
      <c r="J69" s="662"/>
      <c r="L69" s="67">
        <v>1</v>
      </c>
      <c r="N69" s="67">
        <f t="shared" si="0"/>
        <v>1</v>
      </c>
      <c r="P69" s="67">
        <v>1</v>
      </c>
    </row>
    <row r="70" spans="2:16" ht="15" hidden="1" customHeight="1" x14ac:dyDescent="0.25">
      <c r="B70" s="825" t="s">
        <v>196</v>
      </c>
      <c r="C70" s="825"/>
      <c r="D70" s="825"/>
      <c r="F70" s="67">
        <f>IF(COUNTIF(J38:J46,"Siege Weapons")&lt;1,0,1)</f>
        <v>0</v>
      </c>
      <c r="H70" s="662"/>
      <c r="J70" s="662">
        <v>2</v>
      </c>
      <c r="L70" s="67">
        <v>3</v>
      </c>
      <c r="N70" s="67">
        <f t="shared" si="0"/>
        <v>3</v>
      </c>
      <c r="P70" s="67"/>
    </row>
    <row r="71" spans="2:16" ht="15" hidden="1" customHeight="1" x14ac:dyDescent="0.25">
      <c r="B71" s="829" t="s">
        <v>585</v>
      </c>
      <c r="C71" s="829"/>
      <c r="D71" s="829"/>
      <c r="E71" s="829"/>
      <c r="F71" s="829"/>
      <c r="G71" s="265"/>
      <c r="H71" s="175">
        <f>SUMPRODUCT($F$64:$F$70,H$64:H$70)</f>
        <v>0</v>
      </c>
      <c r="I71" s="175"/>
      <c r="J71" s="175">
        <f t="shared" ref="J71:P71" si="1">SUMPRODUCT($F$64:$F$70,J$64:J$70)</f>
        <v>0</v>
      </c>
      <c r="K71" s="175"/>
      <c r="L71" s="175">
        <f t="shared" si="1"/>
        <v>0</v>
      </c>
      <c r="M71" s="175"/>
      <c r="N71" s="175">
        <f>SUMPRODUCT($F$63:$F$70,N$63:N$70)</f>
        <v>0</v>
      </c>
      <c r="O71" s="175"/>
      <c r="P71" s="175">
        <f t="shared" si="1"/>
        <v>0</v>
      </c>
    </row>
    <row r="72" spans="2:16" hidden="1" x14ac:dyDescent="0.25">
      <c r="B72" s="664"/>
      <c r="C72" s="664"/>
      <c r="D72" s="664"/>
      <c r="F72" s="67"/>
      <c r="H72" s="662"/>
      <c r="J72" s="662"/>
      <c r="L72" s="67"/>
      <c r="N72" s="67"/>
    </row>
    <row r="73" spans="2:16" ht="15" hidden="1" customHeight="1" x14ac:dyDescent="0.25">
      <c r="B73" s="827" t="s">
        <v>584</v>
      </c>
      <c r="C73" s="827"/>
      <c r="D73" s="827"/>
      <c r="F73" s="266">
        <f>IF(F4="Fine",1/8,IF(F4="Diminutive",1/6,IF(F4="Tiny",1/4,IF(F4="Small",1/2,IF(F4="Large",2,IF(F4="Huge",4,IF(F4="Gargantuan",10,IF(F4="Colossal",20,1))))))))</f>
        <v>1</v>
      </c>
      <c r="H73" s="662"/>
      <c r="I73" s="662"/>
      <c r="J73" s="662"/>
      <c r="K73" s="662"/>
      <c r="L73" s="662"/>
      <c r="M73" s="662"/>
      <c r="N73" s="662"/>
    </row>
    <row r="74" spans="2:16" hidden="1" x14ac:dyDescent="0.25">
      <c r="B74" s="664"/>
    </row>
    <row r="75" spans="2:16" ht="15" hidden="1" customHeight="1" x14ac:dyDescent="0.25">
      <c r="B75" s="800" t="s">
        <v>482</v>
      </c>
      <c r="C75" s="800"/>
      <c r="D75" s="800"/>
      <c r="F75" s="262" t="s">
        <v>367</v>
      </c>
      <c r="G75" s="262"/>
      <c r="H75" s="661" t="s">
        <v>218</v>
      </c>
      <c r="I75" s="556"/>
      <c r="J75" s="661" t="s">
        <v>160</v>
      </c>
    </row>
    <row r="76" spans="2:16" ht="15" hidden="1" customHeight="1" x14ac:dyDescent="0.25">
      <c r="B76" s="826" t="s">
        <v>534</v>
      </c>
      <c r="C76" s="826"/>
      <c r="D76" s="826"/>
      <c r="F76" s="67">
        <f>IF(COUNTIF(J24:J32,"Defensive Tactics")&lt;1,0,1)</f>
        <v>0</v>
      </c>
      <c r="G76" s="67"/>
      <c r="H76" s="662">
        <v>2</v>
      </c>
      <c r="I76" s="556"/>
      <c r="J76" s="662"/>
    </row>
    <row r="77" spans="2:16" ht="15" hidden="1" customHeight="1" x14ac:dyDescent="0.25">
      <c r="B77" s="825" t="s">
        <v>50</v>
      </c>
      <c r="C77" s="825"/>
      <c r="D77" s="825"/>
      <c r="F77" s="67">
        <f>IF(COUNTIF(J24:J32,"Loyalty")&lt;1,0,1)</f>
        <v>0</v>
      </c>
      <c r="G77" s="67"/>
      <c r="H77" s="662"/>
      <c r="I77" s="556"/>
      <c r="J77" s="662">
        <f>IF(H24&lt;12,2,4)</f>
        <v>2</v>
      </c>
    </row>
    <row r="78" spans="2:16" ht="15" hidden="1" customHeight="1" x14ac:dyDescent="0.25">
      <c r="B78" s="829" t="s">
        <v>585</v>
      </c>
      <c r="C78" s="829"/>
      <c r="D78" s="829"/>
      <c r="E78" s="829"/>
      <c r="F78" s="829"/>
      <c r="G78" s="267"/>
      <c r="H78" s="175">
        <f>SUMPRODUCT($F$76:$F$77,H$76:H$77)</f>
        <v>0</v>
      </c>
      <c r="I78" s="175"/>
      <c r="J78" s="175">
        <f>SUMPRODUCT($F$76:$F$77,J$76:J$77)</f>
        <v>0</v>
      </c>
    </row>
    <row r="79" spans="2:16" hidden="1" x14ac:dyDescent="0.25">
      <c r="B79" s="664"/>
    </row>
    <row r="80" spans="2:16" ht="15" hidden="1" customHeight="1" x14ac:dyDescent="0.25">
      <c r="B80" s="800" t="s">
        <v>161</v>
      </c>
      <c r="C80" s="800"/>
      <c r="D80" s="800"/>
      <c r="F80" s="262" t="s">
        <v>367</v>
      </c>
      <c r="H80" s="661" t="s">
        <v>219</v>
      </c>
      <c r="J80" s="661" t="s">
        <v>218</v>
      </c>
      <c r="L80" s="262" t="s">
        <v>588</v>
      </c>
    </row>
    <row r="81" spans="2:12" ht="15" hidden="1" customHeight="1" x14ac:dyDescent="0.25">
      <c r="B81" s="830" t="s">
        <v>542</v>
      </c>
      <c r="C81" s="830"/>
      <c r="D81" s="830"/>
      <c r="F81" s="67">
        <f>IF(COUNTIF(B50:B58,"Animal Companion")&lt;1,0,1)</f>
        <v>0</v>
      </c>
      <c r="H81" s="662">
        <v>1</v>
      </c>
      <c r="J81" s="662"/>
      <c r="L81" s="67"/>
    </row>
    <row r="82" spans="2:12" ht="15" hidden="1" customHeight="1" x14ac:dyDescent="0.25">
      <c r="B82" s="830" t="s">
        <v>545</v>
      </c>
      <c r="C82" s="830"/>
      <c r="D82" s="830"/>
      <c r="F82" s="67">
        <f>IF(COUNTIF(B50:B58,"Bomb")&lt;1,0,1)</f>
        <v>0</v>
      </c>
      <c r="H82" s="662"/>
      <c r="J82" s="662"/>
      <c r="L82" s="67">
        <v>1</v>
      </c>
    </row>
    <row r="83" spans="2:12" ht="15" hidden="1" customHeight="1" x14ac:dyDescent="0.25">
      <c r="B83" s="830" t="s">
        <v>197</v>
      </c>
      <c r="C83" s="830"/>
      <c r="D83" s="830"/>
      <c r="F83" s="67">
        <f>IF(COUNTIF(B50:B58,"Breath Weapon")&lt;1,0,1)</f>
        <v>0</v>
      </c>
      <c r="H83" s="662"/>
      <c r="J83" s="662"/>
      <c r="L83" s="67">
        <v>1</v>
      </c>
    </row>
    <row r="84" spans="2:12" ht="15" hidden="1" customHeight="1" x14ac:dyDescent="0.25">
      <c r="B84" s="830" t="s">
        <v>554</v>
      </c>
      <c r="C84" s="830"/>
      <c r="D84" s="830"/>
      <c r="F84" s="67">
        <f>IF(COUNTIF(B50:B58,"Eidolon")&lt;1,0,1)</f>
        <v>0</v>
      </c>
      <c r="H84" s="662">
        <v>1</v>
      </c>
      <c r="J84" s="662"/>
      <c r="L84" s="67"/>
    </row>
    <row r="85" spans="2:12" ht="15" hidden="1" customHeight="1" x14ac:dyDescent="0.25">
      <c r="B85" s="830" t="s">
        <v>587</v>
      </c>
      <c r="C85" s="830"/>
      <c r="D85" s="830"/>
      <c r="F85" s="67">
        <f>IF(COUNTIF(B50:B58,"Hunter's Bond (Animal)")&lt;1,0,1)</f>
        <v>0</v>
      </c>
      <c r="H85" s="662">
        <v>1</v>
      </c>
      <c r="J85" s="662"/>
      <c r="L85" s="67"/>
    </row>
    <row r="86" spans="2:12" ht="15" hidden="1" customHeight="1" x14ac:dyDescent="0.25">
      <c r="B86" s="830" t="s">
        <v>514</v>
      </c>
      <c r="C86" s="830"/>
      <c r="D86" s="830"/>
      <c r="F86" s="67">
        <f>IF(COUNTIF(B50:B58,"Mindless")&lt;1,0,1)</f>
        <v>0</v>
      </c>
      <c r="H86" s="662"/>
      <c r="J86" s="662"/>
      <c r="L86" s="67"/>
    </row>
    <row r="87" spans="2:12" ht="15" hidden="1" customHeight="1" x14ac:dyDescent="0.25">
      <c r="B87" s="830" t="s">
        <v>517</v>
      </c>
      <c r="C87" s="830"/>
      <c r="D87" s="830"/>
      <c r="F87" s="67">
        <f>IF(COUNTIF(B50:B58,"Pounce")&lt;1,0,1)</f>
        <v>0</v>
      </c>
      <c r="H87" s="662">
        <v>1</v>
      </c>
      <c r="J87" s="662"/>
      <c r="L87" s="67"/>
    </row>
    <row r="88" spans="2:12" ht="15" hidden="1" customHeight="1" x14ac:dyDescent="0.25">
      <c r="B88" s="830" t="s">
        <v>518</v>
      </c>
      <c r="C88" s="830"/>
      <c r="D88" s="830"/>
      <c r="F88" s="67">
        <f>IF(COUNTIF(B50:B58,"Powerful Charge")&lt;1,0,1)</f>
        <v>0</v>
      </c>
      <c r="H88" s="662">
        <v>1</v>
      </c>
      <c r="J88" s="662"/>
      <c r="L88" s="67"/>
    </row>
    <row r="89" spans="2:12" ht="15" hidden="1" customHeight="1" x14ac:dyDescent="0.25">
      <c r="B89" s="830" t="s">
        <v>571</v>
      </c>
      <c r="C89" s="830"/>
      <c r="D89" s="830"/>
      <c r="F89" s="67">
        <f>IF(COUNTIF(B50:B58,"Shield Ally")&lt;1,0,1)</f>
        <v>0</v>
      </c>
      <c r="H89" s="662"/>
      <c r="J89" s="662">
        <v>1</v>
      </c>
      <c r="L89" s="67"/>
    </row>
    <row r="90" spans="2:12" ht="15" hidden="1" customHeight="1" x14ac:dyDescent="0.25">
      <c r="B90" s="830" t="s">
        <v>526</v>
      </c>
      <c r="C90" s="830"/>
      <c r="D90" s="830"/>
      <c r="F90" s="67">
        <f>IF(COUNTIF(B50:B58,"Trample")&lt;1,0,1)</f>
        <v>0</v>
      </c>
      <c r="H90" s="662">
        <v>1</v>
      </c>
      <c r="J90" s="662"/>
      <c r="L90" s="67"/>
    </row>
    <row r="91" spans="2:12" ht="15" hidden="1" customHeight="1" x14ac:dyDescent="0.25">
      <c r="B91" s="831" t="s">
        <v>203</v>
      </c>
      <c r="C91" s="831"/>
      <c r="D91" s="831"/>
      <c r="F91" s="67">
        <f>IF(COUNTIF(B50:B58,"Undead")&lt;1,0,1)</f>
        <v>0</v>
      </c>
      <c r="H91" s="662"/>
      <c r="J91" s="662">
        <v>2</v>
      </c>
      <c r="L91" s="67"/>
    </row>
    <row r="92" spans="2:12" ht="15" hidden="1" customHeight="1" x14ac:dyDescent="0.25">
      <c r="B92" s="829" t="s">
        <v>585</v>
      </c>
      <c r="C92" s="829"/>
      <c r="D92" s="829"/>
      <c r="E92" s="829"/>
      <c r="F92" s="829"/>
      <c r="G92" s="265"/>
      <c r="H92" s="175">
        <f>SUMPRODUCT($F$81:$F$91,H$81:H$91)</f>
        <v>0</v>
      </c>
      <c r="I92" s="268"/>
      <c r="J92" s="175">
        <f>SUMPRODUCT($F$81:$F$91,J$81:J$91)</f>
        <v>0</v>
      </c>
      <c r="K92" s="268"/>
      <c r="L92" s="175">
        <f>SUMPRODUCT($F$81:$F$91,L$81:L$91)</f>
        <v>0</v>
      </c>
    </row>
    <row r="93" spans="2:12" hidden="1" x14ac:dyDescent="0.25">
      <c r="B93" s="665"/>
      <c r="C93" s="665"/>
      <c r="D93" s="665"/>
    </row>
    <row r="94" spans="2:12" ht="15" hidden="1" customHeight="1" x14ac:dyDescent="0.25">
      <c r="B94" s="800" t="s">
        <v>585</v>
      </c>
      <c r="C94" s="800"/>
      <c r="D94" s="800"/>
      <c r="E94" s="800"/>
      <c r="F94" s="800"/>
    </row>
    <row r="95" spans="2:12" ht="15" hidden="1" customHeight="1" x14ac:dyDescent="0.25">
      <c r="B95" s="827" t="s">
        <v>219</v>
      </c>
      <c r="C95" s="827"/>
      <c r="D95" s="827"/>
      <c r="F95" s="67">
        <f>J71+H92</f>
        <v>0</v>
      </c>
    </row>
    <row r="96" spans="2:12" ht="15" hidden="1" customHeight="1" x14ac:dyDescent="0.25">
      <c r="B96" s="827" t="s">
        <v>218</v>
      </c>
      <c r="C96" s="827"/>
      <c r="D96" s="827"/>
      <c r="F96" s="67">
        <f>H71+H78+J92</f>
        <v>0</v>
      </c>
    </row>
    <row r="97" spans="2:6" ht="15" hidden="1" customHeight="1" x14ac:dyDescent="0.25">
      <c r="B97" s="827" t="s">
        <v>160</v>
      </c>
      <c r="C97" s="827"/>
      <c r="D97" s="827"/>
      <c r="F97" s="67">
        <f>J78</f>
        <v>0</v>
      </c>
    </row>
    <row r="98" spans="2:6" ht="15" hidden="1" customHeight="1" x14ac:dyDescent="0.25">
      <c r="B98" s="828" t="s">
        <v>61</v>
      </c>
      <c r="C98" s="828"/>
      <c r="D98" s="828"/>
      <c r="F98" s="67">
        <f>N71</f>
        <v>0</v>
      </c>
    </row>
    <row r="99" spans="2:6" ht="15" hidden="1" customHeight="1" x14ac:dyDescent="0.25">
      <c r="B99" s="828" t="s">
        <v>588</v>
      </c>
      <c r="C99" s="828"/>
      <c r="D99" s="828"/>
      <c r="F99" s="67">
        <f>IF(P71+L92&gt;0,1,0)</f>
        <v>0</v>
      </c>
    </row>
    <row r="100" spans="2:6" ht="15" hidden="1" customHeight="1" x14ac:dyDescent="0.25">
      <c r="B100" s="827" t="s">
        <v>514</v>
      </c>
      <c r="C100" s="827"/>
      <c r="D100" s="827"/>
      <c r="F100" s="67">
        <f>F86</f>
        <v>0</v>
      </c>
    </row>
    <row r="101" spans="2:6" hidden="1" x14ac:dyDescent="0.25">
      <c r="B101" s="665"/>
      <c r="C101" s="665"/>
      <c r="D101" s="665"/>
    </row>
    <row r="102" spans="2:6" x14ac:dyDescent="0.25">
      <c r="B102" s="665"/>
      <c r="C102" s="665"/>
      <c r="D102" s="665"/>
    </row>
    <row r="103" spans="2:6" x14ac:dyDescent="0.25">
      <c r="B103" s="665"/>
      <c r="C103" s="665"/>
      <c r="D103" s="665"/>
    </row>
    <row r="104" spans="2:6" x14ac:dyDescent="0.25">
      <c r="B104" s="665"/>
      <c r="C104" s="665"/>
      <c r="D104" s="665"/>
    </row>
    <row r="105" spans="2:6" x14ac:dyDescent="0.25">
      <c r="B105" s="665"/>
      <c r="C105" s="665"/>
      <c r="D105" s="665"/>
    </row>
    <row r="106" spans="2:6" x14ac:dyDescent="0.25">
      <c r="B106" s="665"/>
      <c r="C106" s="665"/>
      <c r="D106" s="665"/>
    </row>
    <row r="107" spans="2:6" x14ac:dyDescent="0.25">
      <c r="B107" s="665"/>
      <c r="C107" s="665"/>
      <c r="D107" s="665"/>
    </row>
    <row r="108" spans="2:6" x14ac:dyDescent="0.25">
      <c r="B108" s="665"/>
      <c r="C108" s="665"/>
      <c r="D108" s="665"/>
    </row>
    <row r="109" spans="2:6" x14ac:dyDescent="0.25">
      <c r="B109" s="665"/>
      <c r="C109" s="665"/>
      <c r="D109" s="665"/>
    </row>
    <row r="110" spans="2:6" x14ac:dyDescent="0.25">
      <c r="B110" s="665"/>
      <c r="C110" s="665"/>
      <c r="D110" s="665"/>
    </row>
    <row r="111" spans="2:6" x14ac:dyDescent="0.25">
      <c r="B111" s="665"/>
      <c r="C111" s="665"/>
      <c r="D111" s="665"/>
    </row>
    <row r="112" spans="2:6" x14ac:dyDescent="0.25">
      <c r="B112" s="665"/>
      <c r="C112" s="665"/>
      <c r="D112" s="665"/>
    </row>
    <row r="113" spans="2:4" x14ac:dyDescent="0.25">
      <c r="B113" s="665"/>
      <c r="C113" s="665"/>
      <c r="D113" s="665"/>
    </row>
    <row r="114" spans="2:4" x14ac:dyDescent="0.25">
      <c r="B114" s="665"/>
      <c r="C114" s="665"/>
      <c r="D114" s="665"/>
    </row>
    <row r="115" spans="2:4" x14ac:dyDescent="0.25">
      <c r="B115" s="665"/>
      <c r="C115" s="665"/>
      <c r="D115" s="665"/>
    </row>
    <row r="116" spans="2:4" x14ac:dyDescent="0.25">
      <c r="B116" s="665"/>
      <c r="C116" s="665"/>
      <c r="D116" s="665"/>
    </row>
    <row r="117" spans="2:4" x14ac:dyDescent="0.25">
      <c r="B117" s="665"/>
      <c r="C117" s="665"/>
      <c r="D117" s="665"/>
    </row>
    <row r="118" spans="2:4" x14ac:dyDescent="0.25">
      <c r="B118" s="665"/>
      <c r="C118" s="665"/>
      <c r="D118" s="665"/>
    </row>
    <row r="119" spans="2:4" x14ac:dyDescent="0.25">
      <c r="B119" s="665"/>
      <c r="C119" s="665"/>
      <c r="D119" s="665"/>
    </row>
    <row r="120" spans="2:4" x14ac:dyDescent="0.25">
      <c r="B120" s="665"/>
      <c r="C120" s="665"/>
      <c r="D120" s="665"/>
    </row>
    <row r="121" spans="2:4" x14ac:dyDescent="0.25">
      <c r="B121" s="665"/>
      <c r="C121" s="665"/>
      <c r="D121" s="665"/>
    </row>
    <row r="122" spans="2:4" x14ac:dyDescent="0.25">
      <c r="B122" s="665"/>
      <c r="C122" s="665"/>
      <c r="D122" s="665"/>
    </row>
    <row r="123" spans="2:4" x14ac:dyDescent="0.25">
      <c r="B123" s="665"/>
      <c r="C123" s="665"/>
      <c r="D123" s="665"/>
    </row>
    <row r="124" spans="2:4" x14ac:dyDescent="0.25">
      <c r="B124" s="665"/>
      <c r="C124" s="665"/>
      <c r="D124" s="665"/>
    </row>
    <row r="125" spans="2:4" x14ac:dyDescent="0.25">
      <c r="B125" s="665"/>
      <c r="C125" s="665"/>
      <c r="D125" s="665"/>
    </row>
    <row r="126" spans="2:4" x14ac:dyDescent="0.25">
      <c r="B126" s="665"/>
      <c r="C126" s="665"/>
      <c r="D126" s="665"/>
    </row>
    <row r="127" spans="2:4" x14ac:dyDescent="0.25">
      <c r="B127" s="665"/>
      <c r="C127" s="665"/>
      <c r="D127" s="665"/>
    </row>
    <row r="128" spans="2:4" x14ac:dyDescent="0.25">
      <c r="B128" s="665"/>
      <c r="C128" s="665"/>
      <c r="D128" s="665"/>
    </row>
    <row r="129" spans="2:4" x14ac:dyDescent="0.25">
      <c r="B129" s="665"/>
      <c r="C129" s="665"/>
      <c r="D129" s="665"/>
    </row>
    <row r="130" spans="2:4" x14ac:dyDescent="0.25">
      <c r="B130" s="665"/>
      <c r="C130" s="665"/>
      <c r="D130" s="665"/>
    </row>
    <row r="131" spans="2:4" x14ac:dyDescent="0.25">
      <c r="B131" s="665"/>
      <c r="C131" s="665"/>
      <c r="D131" s="665"/>
    </row>
    <row r="132" spans="2:4" x14ac:dyDescent="0.25">
      <c r="B132" s="665"/>
      <c r="C132" s="665"/>
      <c r="D132" s="665"/>
    </row>
    <row r="133" spans="2:4" x14ac:dyDescent="0.25">
      <c r="B133" s="665"/>
      <c r="C133" s="665"/>
      <c r="D133" s="665"/>
    </row>
    <row r="134" spans="2:4" x14ac:dyDescent="0.25">
      <c r="B134" s="665"/>
      <c r="C134" s="665"/>
      <c r="D134" s="665"/>
    </row>
    <row r="135" spans="2:4" x14ac:dyDescent="0.25">
      <c r="B135" s="665"/>
      <c r="C135" s="665"/>
      <c r="D135" s="665"/>
    </row>
    <row r="136" spans="2:4" x14ac:dyDescent="0.25">
      <c r="B136" s="665"/>
      <c r="C136" s="665"/>
      <c r="D136" s="665"/>
    </row>
    <row r="137" spans="2:4" x14ac:dyDescent="0.25">
      <c r="B137" s="665"/>
      <c r="C137" s="665"/>
      <c r="D137" s="665"/>
    </row>
    <row r="138" spans="2:4" x14ac:dyDescent="0.25">
      <c r="B138" s="665"/>
      <c r="C138" s="665"/>
      <c r="D138" s="665"/>
    </row>
    <row r="139" spans="2:4" x14ac:dyDescent="0.25">
      <c r="B139" s="665"/>
      <c r="C139" s="665"/>
      <c r="D139" s="665"/>
    </row>
    <row r="140" spans="2:4" x14ac:dyDescent="0.25">
      <c r="B140" s="665"/>
      <c r="C140" s="665"/>
      <c r="D140" s="665"/>
    </row>
    <row r="141" spans="2:4" x14ac:dyDescent="0.25">
      <c r="B141" s="665"/>
      <c r="C141" s="665"/>
      <c r="D141" s="665"/>
    </row>
    <row r="142" spans="2:4" x14ac:dyDescent="0.25">
      <c r="B142" s="665"/>
      <c r="C142" s="665"/>
      <c r="D142" s="665"/>
    </row>
    <row r="143" spans="2:4" x14ac:dyDescent="0.25">
      <c r="B143" s="665"/>
      <c r="C143" s="665"/>
      <c r="D143" s="665"/>
    </row>
    <row r="144" spans="2:4" x14ac:dyDescent="0.25">
      <c r="B144" s="665"/>
      <c r="C144" s="665"/>
      <c r="D144" s="665"/>
    </row>
    <row r="145" spans="2:4" x14ac:dyDescent="0.25">
      <c r="B145" s="665"/>
      <c r="C145" s="665"/>
      <c r="D145" s="665"/>
    </row>
    <row r="146" spans="2:4" x14ac:dyDescent="0.25">
      <c r="B146" s="665"/>
      <c r="C146" s="665"/>
      <c r="D146" s="665"/>
    </row>
    <row r="147" spans="2:4" x14ac:dyDescent="0.25">
      <c r="B147" s="665"/>
      <c r="C147" s="665"/>
      <c r="D147" s="665"/>
    </row>
    <row r="148" spans="2:4" x14ac:dyDescent="0.25">
      <c r="B148" s="665"/>
      <c r="C148" s="665"/>
      <c r="D148" s="665"/>
    </row>
    <row r="149" spans="2:4" x14ac:dyDescent="0.25">
      <c r="B149" s="665"/>
      <c r="C149" s="665"/>
      <c r="D149" s="665"/>
    </row>
    <row r="150" spans="2:4" x14ac:dyDescent="0.25">
      <c r="B150" s="665"/>
      <c r="C150" s="665"/>
      <c r="D150" s="665"/>
    </row>
    <row r="151" spans="2:4" x14ac:dyDescent="0.25">
      <c r="B151" s="665"/>
      <c r="C151" s="665"/>
      <c r="D151" s="665"/>
    </row>
    <row r="152" spans="2:4" x14ac:dyDescent="0.25">
      <c r="B152" s="665"/>
      <c r="C152" s="665"/>
      <c r="D152" s="665"/>
    </row>
    <row r="153" spans="2:4" x14ac:dyDescent="0.25">
      <c r="B153" s="665"/>
      <c r="C153" s="665"/>
      <c r="D153" s="665"/>
    </row>
    <row r="154" spans="2:4" x14ac:dyDescent="0.25">
      <c r="B154" s="665"/>
      <c r="C154" s="665"/>
      <c r="D154" s="665"/>
    </row>
    <row r="155" spans="2:4" x14ac:dyDescent="0.25">
      <c r="B155" s="665"/>
      <c r="C155" s="665"/>
      <c r="D155" s="665"/>
    </row>
    <row r="156" spans="2:4" x14ac:dyDescent="0.25">
      <c r="B156" s="665"/>
      <c r="C156" s="665"/>
      <c r="D156" s="665"/>
    </row>
    <row r="157" spans="2:4" x14ac:dyDescent="0.25">
      <c r="B157" s="665"/>
      <c r="C157" s="665"/>
      <c r="D157" s="665"/>
    </row>
    <row r="158" spans="2:4" x14ac:dyDescent="0.25">
      <c r="B158" s="665"/>
      <c r="C158" s="665"/>
      <c r="D158" s="665"/>
    </row>
    <row r="159" spans="2:4" x14ac:dyDescent="0.25">
      <c r="B159" s="665"/>
      <c r="C159" s="665"/>
      <c r="D159" s="665"/>
    </row>
    <row r="160" spans="2:4" x14ac:dyDescent="0.25">
      <c r="B160" s="665"/>
      <c r="C160" s="665"/>
      <c r="D160" s="665"/>
    </row>
    <row r="161" spans="2:4" x14ac:dyDescent="0.25">
      <c r="B161" s="665"/>
      <c r="C161" s="665"/>
      <c r="D161" s="665"/>
    </row>
    <row r="162" spans="2:4" x14ac:dyDescent="0.25">
      <c r="B162" s="665"/>
      <c r="C162" s="665"/>
      <c r="D162" s="665"/>
    </row>
    <row r="163" spans="2:4" x14ac:dyDescent="0.25">
      <c r="B163" s="665"/>
      <c r="C163" s="665"/>
      <c r="D163" s="665"/>
    </row>
    <row r="164" spans="2:4" x14ac:dyDescent="0.25">
      <c r="B164" s="665"/>
      <c r="C164" s="665"/>
      <c r="D164" s="665"/>
    </row>
    <row r="165" spans="2:4" x14ac:dyDescent="0.25">
      <c r="B165" s="665"/>
      <c r="C165" s="665"/>
      <c r="D165" s="665"/>
    </row>
    <row r="166" spans="2:4" x14ac:dyDescent="0.25">
      <c r="B166" s="665"/>
      <c r="C166" s="665"/>
      <c r="D166" s="665"/>
    </row>
    <row r="167" spans="2:4" x14ac:dyDescent="0.25">
      <c r="B167" s="665"/>
      <c r="C167" s="665"/>
      <c r="D167" s="665"/>
    </row>
    <row r="168" spans="2:4" x14ac:dyDescent="0.25">
      <c r="B168" s="665"/>
      <c r="C168" s="665"/>
      <c r="D168" s="665"/>
    </row>
    <row r="169" spans="2:4" x14ac:dyDescent="0.25">
      <c r="B169" s="665"/>
      <c r="C169" s="665"/>
      <c r="D169" s="665"/>
    </row>
    <row r="170" spans="2:4" x14ac:dyDescent="0.25">
      <c r="B170" s="665"/>
      <c r="C170" s="665"/>
      <c r="D170" s="665"/>
    </row>
    <row r="171" spans="2:4" x14ac:dyDescent="0.25">
      <c r="B171" s="665"/>
      <c r="C171" s="665"/>
      <c r="D171" s="665"/>
    </row>
    <row r="172" spans="2:4" x14ac:dyDescent="0.25">
      <c r="B172" s="665"/>
      <c r="C172" s="665"/>
      <c r="D172" s="665"/>
    </row>
    <row r="173" spans="2:4" x14ac:dyDescent="0.25">
      <c r="B173" s="665"/>
      <c r="C173" s="665"/>
      <c r="D173" s="665"/>
    </row>
    <row r="174" spans="2:4" x14ac:dyDescent="0.25">
      <c r="B174" s="665"/>
      <c r="C174" s="665"/>
      <c r="D174" s="665"/>
    </row>
    <row r="175" spans="2:4" x14ac:dyDescent="0.25">
      <c r="B175" s="665"/>
      <c r="C175" s="665"/>
      <c r="D175" s="665"/>
    </row>
    <row r="176" spans="2:4" x14ac:dyDescent="0.25">
      <c r="B176" s="665"/>
      <c r="C176" s="665"/>
      <c r="D176" s="665"/>
    </row>
    <row r="177" spans="2:4" x14ac:dyDescent="0.25">
      <c r="B177" s="665"/>
      <c r="C177" s="665"/>
      <c r="D177" s="665"/>
    </row>
    <row r="178" spans="2:4" x14ac:dyDescent="0.25">
      <c r="B178" s="665"/>
      <c r="C178" s="665"/>
      <c r="D178" s="665"/>
    </row>
  </sheetData>
  <sheetProtection sheet="1" objects="1" scenarios="1" selectLockedCells="1"/>
  <mergeCells count="100">
    <mergeCell ref="B96:D96"/>
    <mergeCell ref="B97:D97"/>
    <mergeCell ref="B98:D98"/>
    <mergeCell ref="B99:D99"/>
    <mergeCell ref="B89:D89"/>
    <mergeCell ref="B90:D90"/>
    <mergeCell ref="B95:D95"/>
    <mergeCell ref="B91:D91"/>
    <mergeCell ref="B92:F92"/>
    <mergeCell ref="B94:F94"/>
    <mergeCell ref="B88:D88"/>
    <mergeCell ref="B76:D76"/>
    <mergeCell ref="B80:D80"/>
    <mergeCell ref="B81:D81"/>
    <mergeCell ref="B82:D82"/>
    <mergeCell ref="B83:D83"/>
    <mergeCell ref="B84:D84"/>
    <mergeCell ref="B85:D85"/>
    <mergeCell ref="B86:D86"/>
    <mergeCell ref="B87:D87"/>
    <mergeCell ref="B77:D77"/>
    <mergeCell ref="B78:F78"/>
    <mergeCell ref="B75:D75"/>
    <mergeCell ref="B62:D62"/>
    <mergeCell ref="B63:D63"/>
    <mergeCell ref="B64:D64"/>
    <mergeCell ref="B65:D65"/>
    <mergeCell ref="B66:D66"/>
    <mergeCell ref="B67:D67"/>
    <mergeCell ref="B68:D68"/>
    <mergeCell ref="B69:D69"/>
    <mergeCell ref="B70:D70"/>
    <mergeCell ref="B71:F71"/>
    <mergeCell ref="B73:D73"/>
    <mergeCell ref="B50:H50"/>
    <mergeCell ref="J50:P58"/>
    <mergeCell ref="B52:H52"/>
    <mergeCell ref="B54:H54"/>
    <mergeCell ref="B56:H56"/>
    <mergeCell ref="B58:H58"/>
    <mergeCell ref="B46:H46"/>
    <mergeCell ref="J46:P46"/>
    <mergeCell ref="B48:H48"/>
    <mergeCell ref="J48:P48"/>
    <mergeCell ref="S48:T48"/>
    <mergeCell ref="S38:T38"/>
    <mergeCell ref="B40:H40"/>
    <mergeCell ref="J40:P40"/>
    <mergeCell ref="B44:H44"/>
    <mergeCell ref="J44:P44"/>
    <mergeCell ref="B42:H42"/>
    <mergeCell ref="J42:P42"/>
    <mergeCell ref="B38:H38"/>
    <mergeCell ref="J38:P38"/>
    <mergeCell ref="S36:T36"/>
    <mergeCell ref="B26:F26"/>
    <mergeCell ref="J26:P26"/>
    <mergeCell ref="B28:F28"/>
    <mergeCell ref="J28:P28"/>
    <mergeCell ref="B30:F30"/>
    <mergeCell ref="J30:P30"/>
    <mergeCell ref="B32:F32"/>
    <mergeCell ref="J32:P32"/>
    <mergeCell ref="B34:P34"/>
    <mergeCell ref="B36:H36"/>
    <mergeCell ref="J36:P36"/>
    <mergeCell ref="S18:T18"/>
    <mergeCell ref="B20:P20"/>
    <mergeCell ref="D22:H22"/>
    <mergeCell ref="J22:P22"/>
    <mergeCell ref="S22:T22"/>
    <mergeCell ref="B24:F24"/>
    <mergeCell ref="J24:P24"/>
    <mergeCell ref="B14:P14"/>
    <mergeCell ref="B16:D16"/>
    <mergeCell ref="F16:L16"/>
    <mergeCell ref="B18:D18"/>
    <mergeCell ref="F18:H18"/>
    <mergeCell ref="J18:N18"/>
    <mergeCell ref="N10:P10"/>
    <mergeCell ref="B12:D12"/>
    <mergeCell ref="F12:H12"/>
    <mergeCell ref="J12:L12"/>
    <mergeCell ref="N12:P12"/>
    <mergeCell ref="B100:D100"/>
    <mergeCell ref="S4:T4"/>
    <mergeCell ref="B2:D2"/>
    <mergeCell ref="F2:L2"/>
    <mergeCell ref="B4:D4"/>
    <mergeCell ref="F4:J4"/>
    <mergeCell ref="L4:N4"/>
    <mergeCell ref="B6:H6"/>
    <mergeCell ref="J6:P6"/>
    <mergeCell ref="B8:D8"/>
    <mergeCell ref="F8:H8"/>
    <mergeCell ref="J8:L8"/>
    <mergeCell ref="N8:P8"/>
    <mergeCell ref="B10:D10"/>
    <mergeCell ref="F10:H10"/>
    <mergeCell ref="J10:L10"/>
  </mergeCells>
  <dataValidations count="8">
    <dataValidation type="list" allowBlank="1" showInputMessage="1" showErrorMessage="1" sqref="J44:P46 J38:P38 J40:P40 J42:P42">
      <formula1>Resources</formula1>
    </dataValidation>
    <dataValidation type="list" allowBlank="1" showInputMessage="1" showErrorMessage="1" sqref="P17:P18 O18">
      <formula1>HD</formula1>
    </dataValidation>
    <dataValidation type="list" allowBlank="1" showInputMessage="1" showErrorMessage="1" sqref="B44:H46 B38:H38 B40:H40 B42:H42">
      <formula1>Tactics</formula1>
    </dataValidation>
    <dataValidation type="list" allowBlank="1" showInputMessage="1" showErrorMessage="1" sqref="B50:H50 B52:H52 B54:H54 B56:H56 B58:H58">
      <formula1>ArmySA</formula1>
    </dataValidation>
    <dataValidation type="list" allowBlank="1" showInputMessage="1" showErrorMessage="1" sqref="J24:P24 J26:P26 J28:P28 J30:P30 J32:P32">
      <formula1>Boons</formula1>
    </dataValidation>
    <dataValidation type="list" allowBlank="1" showInputMessage="1" showErrorMessage="1" sqref="N12:P12">
      <formula1>Morale</formula1>
    </dataValidation>
    <dataValidation type="list" allowBlank="1" showInputMessage="1" showErrorMessage="1" sqref="F4:J4">
      <formula1>ArmySize</formula1>
    </dataValidation>
    <dataValidation type="list" allowBlank="1" showInputMessage="1" showErrorMessage="1" sqref="P4 H32">
      <formula1>YN</formula1>
    </dataValidation>
  </dataValidation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Y178"/>
  <sheetViews>
    <sheetView workbookViewId="0">
      <selection activeCell="B46" sqref="A1:XFD1048576"/>
    </sheetView>
  </sheetViews>
  <sheetFormatPr defaultColWidth="9.140625" defaultRowHeight="15" x14ac:dyDescent="0.25"/>
  <cols>
    <col min="1" max="1" width="0.85546875" style="61" customWidth="1"/>
    <col min="2" max="2" width="9.85546875" style="61" customWidth="1"/>
    <col min="3" max="3" width="0.85546875" style="61" customWidth="1"/>
    <col min="4" max="4" width="9.7109375" style="61" customWidth="1"/>
    <col min="5" max="5" width="0.85546875" style="298" customWidth="1"/>
    <col min="6" max="6" width="6.28515625" style="298" customWidth="1"/>
    <col min="7" max="7" width="0.85546875" style="298" customWidth="1"/>
    <col min="8" max="8" width="6.28515625" style="61" customWidth="1"/>
    <col min="9" max="9" width="0.85546875" style="664" customWidth="1"/>
    <col min="10" max="10" width="9.85546875" style="61" customWidth="1"/>
    <col min="11" max="11" width="0.85546875" style="298" customWidth="1"/>
    <col min="12" max="12" width="9.7109375" style="298" customWidth="1"/>
    <col min="13" max="13" width="0.85546875" style="298" customWidth="1"/>
    <col min="14" max="14" width="6.28515625" style="298" bestFit="1" customWidth="1"/>
    <col min="15" max="15" width="0.85546875" style="298" customWidth="1"/>
    <col min="16" max="16" width="6.28515625" style="298" bestFit="1" customWidth="1"/>
    <col min="17" max="17" width="0.85546875" style="298" customWidth="1"/>
    <col min="18" max="18" width="9.140625" style="61"/>
    <col min="19" max="20" width="9.85546875" style="61" hidden="1" customWidth="1"/>
    <col min="21" max="21" width="0.85546875" style="61" hidden="1" customWidth="1"/>
    <col min="22" max="22" width="9.140625" style="61" hidden="1" customWidth="1"/>
    <col min="23" max="16384" width="9.140625" style="61"/>
  </cols>
  <sheetData>
    <row r="1" spans="1:22" ht="5.0999999999999996" customHeight="1" thickBot="1" x14ac:dyDescent="0.3">
      <c r="A1" s="241"/>
      <c r="B1" s="242"/>
      <c r="C1" s="242"/>
      <c r="D1" s="242"/>
      <c r="E1" s="242"/>
      <c r="F1" s="242"/>
      <c r="G1" s="242"/>
      <c r="H1" s="242"/>
      <c r="I1" s="242"/>
      <c r="J1" s="242"/>
      <c r="K1" s="242"/>
      <c r="L1" s="242"/>
      <c r="M1" s="242"/>
      <c r="N1" s="242"/>
      <c r="O1" s="242"/>
      <c r="P1" s="242"/>
      <c r="Q1" s="243"/>
    </row>
    <row r="2" spans="1:22" ht="15.75" thickBot="1" x14ac:dyDescent="0.3">
      <c r="A2" s="504"/>
      <c r="B2" s="800" t="s">
        <v>78</v>
      </c>
      <c r="C2" s="800"/>
      <c r="D2" s="800"/>
      <c r="E2" s="62"/>
      <c r="F2" s="797"/>
      <c r="G2" s="798"/>
      <c r="H2" s="798"/>
      <c r="I2" s="798"/>
      <c r="J2" s="798"/>
      <c r="K2" s="798"/>
      <c r="L2" s="799"/>
      <c r="M2" s="60"/>
      <c r="N2" s="663" t="s">
        <v>460</v>
      </c>
      <c r="O2" s="49"/>
      <c r="P2" s="257" t="str">
        <f>V6</f>
        <v>n/a</v>
      </c>
      <c r="Q2" s="238"/>
    </row>
    <row r="3" spans="1:22" s="65" customFormat="1" ht="3" customHeight="1" thickBot="1" x14ac:dyDescent="0.3">
      <c r="A3" s="505"/>
      <c r="B3" s="62"/>
      <c r="C3" s="62"/>
      <c r="D3" s="62"/>
      <c r="E3" s="62"/>
      <c r="F3" s="62"/>
      <c r="G3" s="62"/>
      <c r="H3" s="63"/>
      <c r="I3" s="298"/>
      <c r="J3" s="62"/>
      <c r="K3" s="62"/>
      <c r="L3" s="62"/>
      <c r="M3" s="62"/>
      <c r="N3" s="62"/>
      <c r="O3" s="62"/>
      <c r="P3" s="298"/>
      <c r="Q3" s="239"/>
    </row>
    <row r="4" spans="1:22" ht="15.75" thickBot="1" x14ac:dyDescent="0.3">
      <c r="A4" s="505"/>
      <c r="B4" s="800" t="s">
        <v>43</v>
      </c>
      <c r="C4" s="800"/>
      <c r="D4" s="800"/>
      <c r="E4" s="62"/>
      <c r="F4" s="797"/>
      <c r="G4" s="798"/>
      <c r="H4" s="798"/>
      <c r="I4" s="798"/>
      <c r="J4" s="799"/>
      <c r="K4" s="66"/>
      <c r="L4" s="814" t="s">
        <v>459</v>
      </c>
      <c r="M4" s="815"/>
      <c r="N4" s="815"/>
      <c r="P4" s="254"/>
      <c r="Q4" s="239"/>
      <c r="S4" s="765" t="s">
        <v>478</v>
      </c>
      <c r="T4" s="765"/>
      <c r="V4" s="258">
        <f>IF(F4="Fine",-8,IF(F4="Diminutive",-6,IF(F4="Tiny",-4,IF(F4="Small",-2,IF(F4="Large",2,IF(F4="Huge",4,IF(F4="Gargantuan",6,IF(F4="Colossal",8,0))))))))</f>
        <v>0</v>
      </c>
    </row>
    <row r="5" spans="1:22" s="65" customFormat="1" ht="3" customHeight="1" x14ac:dyDescent="0.25">
      <c r="A5" s="505"/>
      <c r="B5" s="62"/>
      <c r="C5" s="62"/>
      <c r="D5" s="62"/>
      <c r="E5" s="62"/>
      <c r="F5" s="62"/>
      <c r="G5" s="62"/>
      <c r="H5" s="67"/>
      <c r="I5" s="67"/>
      <c r="J5" s="298"/>
      <c r="K5" s="298"/>
      <c r="L5" s="298"/>
      <c r="M5" s="298"/>
      <c r="N5" s="298"/>
      <c r="O5" s="298"/>
      <c r="P5" s="298"/>
      <c r="Q5" s="239"/>
    </row>
    <row r="6" spans="1:22" x14ac:dyDescent="0.25">
      <c r="A6" s="505"/>
      <c r="B6" s="715" t="s">
        <v>217</v>
      </c>
      <c r="C6" s="715"/>
      <c r="D6" s="715"/>
      <c r="E6" s="715"/>
      <c r="F6" s="715"/>
      <c r="G6" s="715"/>
      <c r="H6" s="715"/>
      <c r="I6" s="504"/>
      <c r="J6" s="715" t="s">
        <v>220</v>
      </c>
      <c r="K6" s="715"/>
      <c r="L6" s="715"/>
      <c r="M6" s="715"/>
      <c r="N6" s="715"/>
      <c r="O6" s="715"/>
      <c r="P6" s="715"/>
      <c r="Q6" s="239"/>
      <c r="S6" s="61" t="s">
        <v>1691</v>
      </c>
      <c r="V6" s="61" t="str">
        <f>IF(P16&lt;&gt;"",IF(P16+V4&gt;-5,IF(P16+V4&lt;1,VLOOKUP(P16+V4,'Drop Down'!C88:D93,2,FALSE),P16+V4),"n/a"),"n/a")</f>
        <v>n/a</v>
      </c>
    </row>
    <row r="7" spans="1:22" ht="3" customHeight="1" thickBot="1" x14ac:dyDescent="0.3">
      <c r="A7" s="505"/>
      <c r="B7" s="664"/>
      <c r="C7" s="664"/>
      <c r="D7" s="664"/>
      <c r="H7" s="664"/>
      <c r="J7" s="664"/>
      <c r="Q7" s="239"/>
    </row>
    <row r="8" spans="1:22" ht="15.75" thickBot="1" x14ac:dyDescent="0.3">
      <c r="A8" s="505"/>
      <c r="B8" s="765" t="s">
        <v>462</v>
      </c>
      <c r="C8" s="765"/>
      <c r="D8" s="765"/>
      <c r="E8" s="556"/>
      <c r="F8" s="811" t="str">
        <f>IF(P2="n/a","n/a",ROUNDDOWN(V18*P2,0))</f>
        <v>n/a</v>
      </c>
      <c r="G8" s="812"/>
      <c r="H8" s="813"/>
      <c r="I8" s="504"/>
      <c r="J8" s="765" t="s">
        <v>157</v>
      </c>
      <c r="K8" s="765"/>
      <c r="L8" s="765"/>
      <c r="M8" s="504"/>
      <c r="N8" s="676" t="str">
        <f>IF(F18&lt;&gt;"",IF(ROUNDDOWN(F18/15,0)&lt;1,1,ROUNDDOWN(F18/15,0)),"n/a")</f>
        <v>n/a</v>
      </c>
      <c r="O8" s="804"/>
      <c r="P8" s="677"/>
      <c r="Q8" s="239"/>
    </row>
    <row r="9" spans="1:22" ht="3" customHeight="1" thickBot="1" x14ac:dyDescent="0.3">
      <c r="A9" s="505"/>
      <c r="B9" s="60"/>
      <c r="C9" s="60"/>
      <c r="D9" s="60"/>
      <c r="H9" s="664"/>
      <c r="J9" s="664"/>
      <c r="L9" s="60"/>
      <c r="Q9" s="239"/>
    </row>
    <row r="10" spans="1:22" ht="15.75" thickBot="1" x14ac:dyDescent="0.3">
      <c r="A10" s="505"/>
      <c r="B10" s="765" t="s">
        <v>463</v>
      </c>
      <c r="C10" s="765"/>
      <c r="D10" s="765"/>
      <c r="E10" s="556"/>
      <c r="F10" s="676" t="str">
        <f>IF(P2="n/a","n/a",CONCATENATE("+",(P2+F95),IF(F99&gt;0,", ranged","")))</f>
        <v>n/a</v>
      </c>
      <c r="G10" s="804"/>
      <c r="H10" s="677"/>
      <c r="I10" s="504"/>
      <c r="J10" s="765" t="s">
        <v>61</v>
      </c>
      <c r="K10" s="765"/>
      <c r="L10" s="765"/>
      <c r="M10" s="504"/>
      <c r="N10" s="676" t="str">
        <f>IF(P2="n/a","n/a",(IF(P2/2&lt;1,1,ROUNDDOWN(P2/2,0))+F98))</f>
        <v>n/a</v>
      </c>
      <c r="O10" s="804"/>
      <c r="P10" s="677"/>
      <c r="Q10" s="239"/>
    </row>
    <row r="11" spans="1:22" ht="3" customHeight="1" thickBot="1" x14ac:dyDescent="0.3">
      <c r="A11" s="505"/>
      <c r="B11" s="60"/>
      <c r="C11" s="60"/>
      <c r="D11" s="60"/>
      <c r="H11" s="664"/>
      <c r="J11" s="664"/>
      <c r="L11" s="60"/>
      <c r="Q11" s="239"/>
    </row>
    <row r="12" spans="1:22" ht="15.75" thickBot="1" x14ac:dyDescent="0.3">
      <c r="A12" s="505"/>
      <c r="B12" s="765" t="s">
        <v>464</v>
      </c>
      <c r="C12" s="765"/>
      <c r="D12" s="765"/>
      <c r="E12" s="556"/>
      <c r="F12" s="676" t="str">
        <f>IF(P2="n/a","n/a",10+P2+F96)</f>
        <v>n/a</v>
      </c>
      <c r="G12" s="804"/>
      <c r="H12" s="677"/>
      <c r="I12" s="504"/>
      <c r="J12" s="765" t="s">
        <v>160</v>
      </c>
      <c r="K12" s="765"/>
      <c r="L12" s="765"/>
      <c r="M12" s="504"/>
      <c r="N12" s="762" t="s">
        <v>601</v>
      </c>
      <c r="O12" s="763"/>
      <c r="P12" s="764"/>
      <c r="Q12" s="239"/>
    </row>
    <row r="13" spans="1:22" ht="3" customHeight="1" x14ac:dyDescent="0.25">
      <c r="A13" s="505"/>
      <c r="B13" s="664"/>
      <c r="C13" s="664"/>
      <c r="D13" s="664"/>
      <c r="H13" s="664"/>
      <c r="J13" s="664"/>
      <c r="Q13" s="239"/>
    </row>
    <row r="14" spans="1:22" x14ac:dyDescent="0.25">
      <c r="A14" s="505"/>
      <c r="B14" s="715" t="s">
        <v>470</v>
      </c>
      <c r="C14" s="715"/>
      <c r="D14" s="715"/>
      <c r="E14" s="715"/>
      <c r="F14" s="715"/>
      <c r="G14" s="715"/>
      <c r="H14" s="715"/>
      <c r="I14" s="715"/>
      <c r="J14" s="715"/>
      <c r="K14" s="715"/>
      <c r="L14" s="715"/>
      <c r="M14" s="715"/>
      <c r="N14" s="715"/>
      <c r="O14" s="715"/>
      <c r="P14" s="715"/>
      <c r="Q14" s="239"/>
    </row>
    <row r="15" spans="1:22" ht="3" customHeight="1" thickBot="1" x14ac:dyDescent="0.3">
      <c r="A15" s="505"/>
      <c r="B15" s="664"/>
      <c r="C15" s="664"/>
      <c r="D15" s="664"/>
      <c r="H15" s="664"/>
      <c r="J15" s="664"/>
      <c r="P15" s="71"/>
      <c r="Q15" s="239"/>
    </row>
    <row r="16" spans="1:22" ht="15.75" thickBot="1" x14ac:dyDescent="0.3">
      <c r="A16" s="505"/>
      <c r="B16" s="800" t="s">
        <v>84</v>
      </c>
      <c r="C16" s="800"/>
      <c r="D16" s="800"/>
      <c r="E16" s="62"/>
      <c r="F16" s="797"/>
      <c r="G16" s="798"/>
      <c r="H16" s="798"/>
      <c r="I16" s="798"/>
      <c r="J16" s="798"/>
      <c r="K16" s="798"/>
      <c r="L16" s="799"/>
      <c r="M16" s="658"/>
      <c r="N16" s="663" t="s">
        <v>159</v>
      </c>
      <c r="O16" s="658"/>
      <c r="P16" s="255"/>
      <c r="Q16" s="239"/>
    </row>
    <row r="17" spans="1:22" ht="3" customHeight="1" thickBot="1" x14ac:dyDescent="0.3">
      <c r="A17" s="505"/>
      <c r="B17" s="664"/>
      <c r="C17" s="664"/>
      <c r="D17" s="664"/>
      <c r="H17" s="664"/>
      <c r="I17" s="504"/>
      <c r="J17" s="664"/>
      <c r="N17" s="62" t="s">
        <v>162</v>
      </c>
      <c r="O17" s="658"/>
      <c r="P17" s="235"/>
      <c r="Q17" s="239"/>
    </row>
    <row r="18" spans="1:22" ht="15.75" thickBot="1" x14ac:dyDescent="0.3">
      <c r="A18" s="505"/>
      <c r="B18" s="765" t="s">
        <v>157</v>
      </c>
      <c r="C18" s="765"/>
      <c r="D18" s="765"/>
      <c r="E18" s="556"/>
      <c r="F18" s="805"/>
      <c r="G18" s="806"/>
      <c r="H18" s="807"/>
      <c r="I18" s="504"/>
      <c r="J18" s="765" t="s">
        <v>471</v>
      </c>
      <c r="K18" s="765"/>
      <c r="L18" s="765"/>
      <c r="M18" s="765"/>
      <c r="N18" s="765"/>
      <c r="O18" s="503"/>
      <c r="P18" s="254"/>
      <c r="Q18" s="239"/>
      <c r="S18" s="765" t="s">
        <v>461</v>
      </c>
      <c r="T18" s="765"/>
      <c r="V18" s="258">
        <f>IF(P18="d6",3.5,IF(P18="d8",4.5,IF(P18="d10",5.5,IF(P18="d12",6.5,0))))</f>
        <v>0</v>
      </c>
    </row>
    <row r="19" spans="1:22" s="65" customFormat="1" ht="3" customHeight="1" x14ac:dyDescent="0.25">
      <c r="A19" s="505"/>
      <c r="B19" s="234"/>
      <c r="C19" s="234"/>
      <c r="D19" s="234"/>
      <c r="E19" s="67"/>
      <c r="F19" s="67"/>
      <c r="G19" s="67"/>
      <c r="H19" s="67"/>
      <c r="I19" s="63"/>
      <c r="J19" s="234"/>
      <c r="K19" s="63"/>
      <c r="L19" s="63"/>
      <c r="M19" s="63"/>
      <c r="N19" s="63"/>
      <c r="O19" s="63"/>
      <c r="P19" s="63"/>
      <c r="Q19" s="239"/>
    </row>
    <row r="20" spans="1:22" x14ac:dyDescent="0.25">
      <c r="A20" s="505"/>
      <c r="B20" s="715" t="s">
        <v>468</v>
      </c>
      <c r="C20" s="715"/>
      <c r="D20" s="715"/>
      <c r="E20" s="715"/>
      <c r="F20" s="715"/>
      <c r="G20" s="715"/>
      <c r="H20" s="715"/>
      <c r="I20" s="715"/>
      <c r="J20" s="715"/>
      <c r="K20" s="715"/>
      <c r="L20" s="715"/>
      <c r="M20" s="715"/>
      <c r="N20" s="715"/>
      <c r="O20" s="715"/>
      <c r="P20" s="715"/>
      <c r="Q20" s="239"/>
    </row>
    <row r="21" spans="1:22" ht="3" customHeight="1" thickBot="1" x14ac:dyDescent="0.3">
      <c r="A21" s="505"/>
      <c r="B21" s="193"/>
      <c r="C21" s="193"/>
      <c r="D21" s="193"/>
      <c r="E21" s="193"/>
      <c r="F21" s="193"/>
      <c r="G21" s="193"/>
      <c r="H21" s="193"/>
      <c r="I21" s="193"/>
      <c r="J21" s="193"/>
      <c r="K21" s="193"/>
      <c r="L21" s="193"/>
      <c r="M21" s="193"/>
      <c r="N21" s="193"/>
      <c r="O21" s="193"/>
      <c r="P21" s="193"/>
      <c r="Q21" s="239"/>
    </row>
    <row r="22" spans="1:22" s="233" customFormat="1" ht="15.75" thickBot="1" x14ac:dyDescent="0.3">
      <c r="A22" s="505"/>
      <c r="B22" s="663" t="s">
        <v>78</v>
      </c>
      <c r="C22" s="62"/>
      <c r="D22" s="808"/>
      <c r="E22" s="809"/>
      <c r="F22" s="809"/>
      <c r="G22" s="809"/>
      <c r="H22" s="810"/>
      <c r="I22" s="248"/>
      <c r="J22" s="715" t="s">
        <v>482</v>
      </c>
      <c r="K22" s="715"/>
      <c r="L22" s="715"/>
      <c r="M22" s="715"/>
      <c r="N22" s="715"/>
      <c r="O22" s="715"/>
      <c r="P22" s="715"/>
      <c r="Q22" s="239"/>
      <c r="S22" s="765" t="s">
        <v>482</v>
      </c>
      <c r="T22" s="765"/>
      <c r="V22" s="233" t="str">
        <f>CONCATENATE(IF(J24&lt;&gt;0,J24,""),IF(J26&lt;&gt;0,CONCATENATE(", ",J26),""),IF(J28&lt;&gt;0,CONCATENATE(", ",J28),""),IF(J30&lt;&gt;0,CONCATENATE(", ",J30),""),IF(J32&lt;&gt;0,CONCATENATE(", ",J32),""))</f>
        <v/>
      </c>
    </row>
    <row r="23" spans="1:22" s="233" customFormat="1" ht="3" customHeight="1" thickBot="1" x14ac:dyDescent="0.3">
      <c r="A23" s="505"/>
      <c r="B23" s="153"/>
      <c r="C23" s="153"/>
      <c r="D23" s="153"/>
      <c r="E23" s="153"/>
      <c r="F23" s="153"/>
      <c r="G23" s="153"/>
      <c r="H23" s="153"/>
      <c r="I23" s="153"/>
      <c r="J23" s="153"/>
      <c r="K23" s="153"/>
      <c r="L23" s="153"/>
      <c r="M23" s="153"/>
      <c r="N23" s="153"/>
      <c r="O23" s="153"/>
      <c r="P23" s="153"/>
      <c r="Q23" s="239"/>
    </row>
    <row r="24" spans="1:22" s="233" customFormat="1" ht="15.75" thickBot="1" x14ac:dyDescent="0.3">
      <c r="A24" s="505"/>
      <c r="B24" s="765" t="s">
        <v>55</v>
      </c>
      <c r="C24" s="765"/>
      <c r="D24" s="765"/>
      <c r="E24" s="765"/>
      <c r="F24" s="765"/>
      <c r="G24" s="250"/>
      <c r="H24" s="150">
        <f>IF(H32="Yes",H26+H28+3,H26+H28)</f>
        <v>0</v>
      </c>
      <c r="I24" s="153"/>
      <c r="J24" s="801"/>
      <c r="K24" s="802"/>
      <c r="L24" s="802"/>
      <c r="M24" s="802"/>
      <c r="N24" s="802"/>
      <c r="O24" s="802"/>
      <c r="P24" s="803"/>
      <c r="Q24" s="239"/>
    </row>
    <row r="25" spans="1:22" s="233" customFormat="1" ht="3" customHeight="1" thickBot="1" x14ac:dyDescent="0.3">
      <c r="A25" s="505"/>
      <c r="G25" s="260"/>
      <c r="I25" s="153"/>
      <c r="J25" s="69"/>
      <c r="K25" s="69"/>
      <c r="L25" s="69"/>
      <c r="M25" s="69"/>
      <c r="N25" s="69"/>
      <c r="O25" s="69"/>
      <c r="P25" s="69"/>
      <c r="Q25" s="239"/>
    </row>
    <row r="26" spans="1:22" s="233" customFormat="1" ht="15.75" thickBot="1" x14ac:dyDescent="0.3">
      <c r="A26" s="505"/>
      <c r="B26" s="765" t="s">
        <v>483</v>
      </c>
      <c r="C26" s="765"/>
      <c r="D26" s="765"/>
      <c r="E26" s="765"/>
      <c r="F26" s="765"/>
      <c r="G26" s="250"/>
      <c r="H26" s="270"/>
      <c r="I26" s="153"/>
      <c r="J26" s="801"/>
      <c r="K26" s="802"/>
      <c r="L26" s="802"/>
      <c r="M26" s="802"/>
      <c r="N26" s="802"/>
      <c r="O26" s="802"/>
      <c r="P26" s="803"/>
      <c r="Q26" s="239"/>
    </row>
    <row r="27" spans="1:22" s="233" customFormat="1" ht="3" customHeight="1" thickBot="1" x14ac:dyDescent="0.3">
      <c r="A27" s="505"/>
      <c r="B27" s="153"/>
      <c r="C27" s="153"/>
      <c r="D27" s="153"/>
      <c r="E27" s="153"/>
      <c r="F27" s="153"/>
      <c r="G27" s="153"/>
      <c r="H27" s="153"/>
      <c r="I27" s="153"/>
      <c r="J27" s="69"/>
      <c r="K27" s="69"/>
      <c r="L27" s="69"/>
      <c r="M27" s="69"/>
      <c r="N27" s="69"/>
      <c r="O27" s="69"/>
      <c r="P27" s="69"/>
      <c r="Q27" s="239"/>
    </row>
    <row r="28" spans="1:22" s="233" customFormat="1" ht="15.75" thickBot="1" x14ac:dyDescent="0.3">
      <c r="A28" s="505"/>
      <c r="B28" s="765" t="s">
        <v>479</v>
      </c>
      <c r="C28" s="765"/>
      <c r="D28" s="765"/>
      <c r="E28" s="765"/>
      <c r="F28" s="765"/>
      <c r="G28" s="250"/>
      <c r="H28" s="270"/>
      <c r="I28" s="153"/>
      <c r="J28" s="801"/>
      <c r="K28" s="802"/>
      <c r="L28" s="802"/>
      <c r="M28" s="802"/>
      <c r="N28" s="802"/>
      <c r="O28" s="802"/>
      <c r="P28" s="803"/>
      <c r="Q28" s="239"/>
    </row>
    <row r="29" spans="1:22" ht="3" customHeight="1" thickBot="1" x14ac:dyDescent="0.3">
      <c r="A29" s="505"/>
      <c r="B29" s="664"/>
      <c r="C29" s="664"/>
      <c r="D29" s="664"/>
      <c r="H29" s="664"/>
      <c r="J29" s="69"/>
      <c r="K29" s="69"/>
      <c r="L29" s="69"/>
      <c r="M29" s="69"/>
      <c r="N29" s="69"/>
      <c r="O29" s="69"/>
      <c r="P29" s="69"/>
      <c r="Q29" s="239"/>
    </row>
    <row r="30" spans="1:22" ht="15.75" thickBot="1" x14ac:dyDescent="0.3">
      <c r="A30" s="505"/>
      <c r="B30" s="765" t="s">
        <v>481</v>
      </c>
      <c r="C30" s="765"/>
      <c r="D30" s="765"/>
      <c r="E30" s="765"/>
      <c r="F30" s="765"/>
      <c r="H30" s="270"/>
      <c r="J30" s="801"/>
      <c r="K30" s="802"/>
      <c r="L30" s="802"/>
      <c r="M30" s="802"/>
      <c r="N30" s="802"/>
      <c r="O30" s="802"/>
      <c r="P30" s="803"/>
      <c r="Q30" s="239"/>
    </row>
    <row r="31" spans="1:22" ht="3" customHeight="1" thickBot="1" x14ac:dyDescent="0.3">
      <c r="A31" s="505"/>
      <c r="B31" s="664"/>
      <c r="C31" s="664"/>
      <c r="D31" s="664"/>
      <c r="H31" s="664"/>
      <c r="J31" s="73"/>
      <c r="K31" s="73"/>
      <c r="L31" s="73"/>
      <c r="M31" s="73"/>
      <c r="N31" s="73"/>
      <c r="O31" s="73"/>
      <c r="P31" s="73"/>
      <c r="Q31" s="239"/>
    </row>
    <row r="32" spans="1:22" ht="15.75" thickBot="1" x14ac:dyDescent="0.3">
      <c r="A32" s="505"/>
      <c r="B32" s="765" t="s">
        <v>467</v>
      </c>
      <c r="C32" s="765"/>
      <c r="D32" s="765"/>
      <c r="E32" s="765"/>
      <c r="F32" s="765"/>
      <c r="H32" s="256"/>
      <c r="J32" s="801"/>
      <c r="K32" s="802"/>
      <c r="L32" s="802"/>
      <c r="M32" s="802"/>
      <c r="N32" s="802"/>
      <c r="O32" s="802"/>
      <c r="P32" s="803"/>
      <c r="Q32" s="239"/>
    </row>
    <row r="33" spans="1:25" ht="3" customHeight="1" x14ac:dyDescent="0.25">
      <c r="A33" s="505"/>
      <c r="B33" s="664"/>
      <c r="C33" s="664"/>
      <c r="D33" s="664"/>
      <c r="H33" s="664"/>
      <c r="J33" s="73"/>
      <c r="K33" s="73"/>
      <c r="L33" s="73"/>
      <c r="M33" s="73"/>
      <c r="N33" s="73"/>
      <c r="O33" s="73"/>
      <c r="P33" s="73"/>
      <c r="Q33" s="239"/>
    </row>
    <row r="34" spans="1:25" x14ac:dyDescent="0.25">
      <c r="A34" s="505"/>
      <c r="B34" s="715" t="s">
        <v>469</v>
      </c>
      <c r="C34" s="715"/>
      <c r="D34" s="715"/>
      <c r="E34" s="715"/>
      <c r="F34" s="715"/>
      <c r="G34" s="715"/>
      <c r="H34" s="715"/>
      <c r="I34" s="715"/>
      <c r="J34" s="715"/>
      <c r="K34" s="715"/>
      <c r="L34" s="715"/>
      <c r="M34" s="715"/>
      <c r="N34" s="715"/>
      <c r="O34" s="715"/>
      <c r="P34" s="715"/>
      <c r="Q34" s="239"/>
    </row>
    <row r="35" spans="1:25" ht="3" customHeight="1" x14ac:dyDescent="0.25">
      <c r="A35" s="505"/>
      <c r="B35" s="664"/>
      <c r="C35" s="664"/>
      <c r="D35" s="664"/>
      <c r="H35" s="664"/>
      <c r="J35" s="664"/>
      <c r="Q35" s="239"/>
    </row>
    <row r="36" spans="1:25" x14ac:dyDescent="0.25">
      <c r="A36" s="505"/>
      <c r="B36" s="715" t="s">
        <v>158</v>
      </c>
      <c r="C36" s="715"/>
      <c r="D36" s="715"/>
      <c r="E36" s="715"/>
      <c r="F36" s="715"/>
      <c r="G36" s="715"/>
      <c r="H36" s="715"/>
      <c r="I36" s="504"/>
      <c r="J36" s="715" t="s">
        <v>56</v>
      </c>
      <c r="K36" s="715"/>
      <c r="L36" s="715"/>
      <c r="M36" s="715"/>
      <c r="N36" s="715"/>
      <c r="O36" s="715"/>
      <c r="P36" s="715"/>
      <c r="Q36" s="239"/>
      <c r="S36" s="765" t="s">
        <v>158</v>
      </c>
      <c r="T36" s="765"/>
      <c r="U36" s="193"/>
      <c r="V36" s="504" t="str">
        <f>CONCATENATE(IF(B38&lt;&gt;0,B38,""),IF(B40&lt;&gt;0,CONCATENATE(", ",B40),""),IF(B42&lt;&gt;0,CONCATENATE(", ",B42),""),IF(B44&lt;&gt;0,CONCATENATE(", ",B44),""),IF(B46&lt;&gt;0,CONCATENATE(", ",B46),""))</f>
        <v/>
      </c>
      <c r="W36" s="504"/>
      <c r="X36" s="504"/>
      <c r="Y36" s="504"/>
    </row>
    <row r="37" spans="1:25" s="664" customFormat="1" ht="3" customHeight="1" thickBot="1" x14ac:dyDescent="0.3">
      <c r="A37" s="505"/>
      <c r="B37" s="69"/>
      <c r="C37" s="69"/>
      <c r="D37" s="69"/>
      <c r="E37" s="69"/>
      <c r="F37" s="69"/>
      <c r="G37" s="69"/>
      <c r="H37" s="69"/>
      <c r="I37" s="69"/>
      <c r="J37" s="69"/>
      <c r="K37" s="69"/>
      <c r="L37" s="69"/>
      <c r="M37" s="69"/>
      <c r="N37" s="69"/>
      <c r="O37" s="69"/>
      <c r="P37" s="69"/>
      <c r="Q37" s="239"/>
    </row>
    <row r="38" spans="1:25" s="664" customFormat="1" ht="15.75" thickBot="1" x14ac:dyDescent="0.3">
      <c r="A38" s="505"/>
      <c r="B38" s="801"/>
      <c r="C38" s="802"/>
      <c r="D38" s="802"/>
      <c r="E38" s="802"/>
      <c r="F38" s="802"/>
      <c r="G38" s="802"/>
      <c r="H38" s="803"/>
      <c r="I38" s="69"/>
      <c r="J38" s="801"/>
      <c r="K38" s="802"/>
      <c r="L38" s="802"/>
      <c r="M38" s="802"/>
      <c r="N38" s="802"/>
      <c r="O38" s="802"/>
      <c r="P38" s="803"/>
      <c r="Q38" s="239"/>
      <c r="S38" s="765" t="s">
        <v>56</v>
      </c>
      <c r="T38" s="765"/>
      <c r="V38" s="664" t="str">
        <f>CONCATENATE(IF(J38&lt;&gt;0,J38,""),IF(J40&lt;&gt;0,CONCATENATE(", ",J40),""),IF(J42&lt;&gt;0,CONCATENATE(", ",J42),""),IF(J44&lt;&gt;0,CONCATENATE(", ",J44),""),IF(J46&lt;&gt;0,CONCATENATE(", ",J46),""))</f>
        <v/>
      </c>
    </row>
    <row r="39" spans="1:25" s="664" customFormat="1" ht="3" customHeight="1" thickBot="1" x14ac:dyDescent="0.3">
      <c r="A39" s="505"/>
      <c r="B39" s="69"/>
      <c r="C39" s="69"/>
      <c r="D39" s="69"/>
      <c r="E39" s="69"/>
      <c r="F39" s="69"/>
      <c r="G39" s="69"/>
      <c r="H39" s="69"/>
      <c r="I39" s="69"/>
      <c r="J39" s="69"/>
      <c r="K39" s="69"/>
      <c r="L39" s="69"/>
      <c r="M39" s="69"/>
      <c r="N39" s="69"/>
      <c r="O39" s="69"/>
      <c r="P39" s="69"/>
      <c r="Q39" s="239"/>
    </row>
    <row r="40" spans="1:25" s="664" customFormat="1" ht="15.75" thickBot="1" x14ac:dyDescent="0.3">
      <c r="A40" s="505"/>
      <c r="B40" s="801"/>
      <c r="C40" s="802"/>
      <c r="D40" s="802"/>
      <c r="E40" s="802"/>
      <c r="F40" s="802"/>
      <c r="G40" s="802"/>
      <c r="H40" s="803"/>
      <c r="I40" s="69"/>
      <c r="J40" s="801"/>
      <c r="K40" s="802"/>
      <c r="L40" s="802"/>
      <c r="M40" s="802"/>
      <c r="N40" s="802"/>
      <c r="O40" s="802"/>
      <c r="P40" s="803"/>
      <c r="Q40" s="239"/>
    </row>
    <row r="41" spans="1:25" s="664" customFormat="1" ht="3" customHeight="1" thickBot="1" x14ac:dyDescent="0.3">
      <c r="A41" s="505"/>
      <c r="B41" s="69"/>
      <c r="C41" s="69"/>
      <c r="D41" s="69"/>
      <c r="E41" s="69"/>
      <c r="F41" s="69"/>
      <c r="G41" s="69"/>
      <c r="H41" s="69"/>
      <c r="I41" s="69"/>
      <c r="J41" s="69"/>
      <c r="K41" s="69"/>
      <c r="L41" s="69"/>
      <c r="M41" s="69"/>
      <c r="N41" s="69"/>
      <c r="O41" s="69"/>
      <c r="P41" s="69"/>
      <c r="Q41" s="239"/>
    </row>
    <row r="42" spans="1:25" s="664" customFormat="1" ht="15.75" thickBot="1" x14ac:dyDescent="0.3">
      <c r="A42" s="505"/>
      <c r="B42" s="801"/>
      <c r="C42" s="802"/>
      <c r="D42" s="802"/>
      <c r="E42" s="802"/>
      <c r="F42" s="802"/>
      <c r="G42" s="802"/>
      <c r="H42" s="803"/>
      <c r="I42" s="69"/>
      <c r="J42" s="801"/>
      <c r="K42" s="802"/>
      <c r="L42" s="802"/>
      <c r="M42" s="802"/>
      <c r="N42" s="802"/>
      <c r="O42" s="802"/>
      <c r="P42" s="803"/>
      <c r="Q42" s="239"/>
    </row>
    <row r="43" spans="1:25" s="664" customFormat="1" ht="3" customHeight="1" thickBot="1" x14ac:dyDescent="0.3">
      <c r="A43" s="505"/>
      <c r="B43" s="69"/>
      <c r="C43" s="69"/>
      <c r="D43" s="69"/>
      <c r="E43" s="69"/>
      <c r="F43" s="69"/>
      <c r="G43" s="69"/>
      <c r="H43" s="69"/>
      <c r="I43" s="69"/>
      <c r="J43" s="69"/>
      <c r="K43" s="69"/>
      <c r="L43" s="69"/>
      <c r="M43" s="69"/>
      <c r="N43" s="69"/>
      <c r="O43" s="69"/>
      <c r="P43" s="69"/>
      <c r="Q43" s="239"/>
    </row>
    <row r="44" spans="1:25" s="664" customFormat="1" ht="15.75" thickBot="1" x14ac:dyDescent="0.3">
      <c r="A44" s="505"/>
      <c r="B44" s="801"/>
      <c r="C44" s="802"/>
      <c r="D44" s="802"/>
      <c r="E44" s="802"/>
      <c r="F44" s="802"/>
      <c r="G44" s="802"/>
      <c r="H44" s="803"/>
      <c r="I44" s="69"/>
      <c r="J44" s="801"/>
      <c r="K44" s="802"/>
      <c r="L44" s="802"/>
      <c r="M44" s="802"/>
      <c r="N44" s="802"/>
      <c r="O44" s="802"/>
      <c r="P44" s="803"/>
      <c r="Q44" s="239"/>
    </row>
    <row r="45" spans="1:25" s="664" customFormat="1" ht="3" customHeight="1" thickBot="1" x14ac:dyDescent="0.3">
      <c r="A45" s="505"/>
      <c r="B45" s="261"/>
      <c r="C45" s="261"/>
      <c r="D45" s="261"/>
      <c r="E45" s="261"/>
      <c r="F45" s="261"/>
      <c r="G45" s="261"/>
      <c r="H45" s="261"/>
      <c r="I45" s="69"/>
      <c r="J45" s="69"/>
      <c r="K45" s="69"/>
      <c r="L45" s="69"/>
      <c r="M45" s="69"/>
      <c r="N45" s="69"/>
      <c r="O45" s="69"/>
      <c r="P45" s="69"/>
      <c r="Q45" s="239"/>
    </row>
    <row r="46" spans="1:25" s="664" customFormat="1" ht="15.75" thickBot="1" x14ac:dyDescent="0.3">
      <c r="A46" s="505"/>
      <c r="B46" s="801"/>
      <c r="C46" s="802"/>
      <c r="D46" s="802"/>
      <c r="E46" s="802"/>
      <c r="F46" s="802"/>
      <c r="G46" s="802"/>
      <c r="H46" s="803"/>
      <c r="I46" s="69"/>
      <c r="J46" s="801"/>
      <c r="K46" s="802"/>
      <c r="L46" s="802"/>
      <c r="M46" s="802"/>
      <c r="N46" s="802"/>
      <c r="O46" s="802"/>
      <c r="P46" s="803"/>
      <c r="Q46" s="239"/>
    </row>
    <row r="47" spans="1:25" ht="3" customHeight="1" x14ac:dyDescent="0.25">
      <c r="A47" s="505"/>
      <c r="B47" s="664"/>
      <c r="C47" s="664"/>
      <c r="D47" s="664"/>
      <c r="H47" s="664"/>
      <c r="J47" s="664"/>
      <c r="Q47" s="239"/>
    </row>
    <row r="48" spans="1:25" x14ac:dyDescent="0.25">
      <c r="A48" s="505"/>
      <c r="B48" s="715" t="s">
        <v>161</v>
      </c>
      <c r="C48" s="715"/>
      <c r="D48" s="715"/>
      <c r="E48" s="715"/>
      <c r="F48" s="715"/>
      <c r="G48" s="715"/>
      <c r="H48" s="715"/>
      <c r="I48" s="504"/>
      <c r="J48" s="715" t="s">
        <v>480</v>
      </c>
      <c r="K48" s="715"/>
      <c r="L48" s="715"/>
      <c r="M48" s="715"/>
      <c r="N48" s="715"/>
      <c r="O48" s="715"/>
      <c r="P48" s="715"/>
      <c r="Q48" s="239"/>
      <c r="S48" s="765" t="s">
        <v>161</v>
      </c>
      <c r="T48" s="765"/>
      <c r="V48" s="61" t="str">
        <f>CONCATENATE(IF(B50&lt;&gt;0,B50,""),IF(B52&lt;&gt;0,CONCATENATE(", ",B52),""),IF(B54&lt;&gt;0,CONCATENATE(", ",B54),""),IF(B56&lt;&gt;0,CONCATENATE(", ",B56),""),IF(B58&lt;&gt;0,CONCATENATE(", ",B58),""))</f>
        <v/>
      </c>
    </row>
    <row r="49" spans="1:17" s="664" customFormat="1" ht="3" customHeight="1" thickBot="1" x14ac:dyDescent="0.3">
      <c r="A49" s="505"/>
      <c r="B49" s="69"/>
      <c r="C49" s="69"/>
      <c r="D49" s="69"/>
      <c r="E49" s="69"/>
      <c r="F49" s="69"/>
      <c r="G49" s="69"/>
      <c r="H49" s="69"/>
      <c r="I49" s="69"/>
      <c r="J49" s="69"/>
      <c r="K49" s="69"/>
      <c r="L49" s="69"/>
      <c r="M49" s="69"/>
      <c r="N49" s="69"/>
      <c r="O49" s="69"/>
      <c r="P49" s="69"/>
      <c r="Q49" s="239"/>
    </row>
    <row r="50" spans="1:17" s="664" customFormat="1" ht="15.75" thickBot="1" x14ac:dyDescent="0.3">
      <c r="A50" s="505"/>
      <c r="B50" s="801"/>
      <c r="C50" s="802"/>
      <c r="D50" s="802"/>
      <c r="E50" s="802"/>
      <c r="F50" s="802"/>
      <c r="G50" s="802"/>
      <c r="H50" s="803"/>
      <c r="I50" s="69"/>
      <c r="J50" s="816"/>
      <c r="K50" s="817"/>
      <c r="L50" s="817"/>
      <c r="M50" s="817"/>
      <c r="N50" s="817"/>
      <c r="O50" s="817"/>
      <c r="P50" s="818"/>
      <c r="Q50" s="239"/>
    </row>
    <row r="51" spans="1:17" s="664" customFormat="1" ht="3" customHeight="1" thickBot="1" x14ac:dyDescent="0.3">
      <c r="A51" s="505"/>
      <c r="B51" s="69"/>
      <c r="C51" s="69"/>
      <c r="D51" s="69"/>
      <c r="E51" s="69"/>
      <c r="F51" s="69"/>
      <c r="G51" s="69"/>
      <c r="H51" s="69"/>
      <c r="I51" s="69"/>
      <c r="J51" s="819"/>
      <c r="K51" s="820"/>
      <c r="L51" s="820"/>
      <c r="M51" s="820"/>
      <c r="N51" s="820"/>
      <c r="O51" s="820"/>
      <c r="P51" s="821"/>
      <c r="Q51" s="239"/>
    </row>
    <row r="52" spans="1:17" s="664" customFormat="1" ht="15.75" thickBot="1" x14ac:dyDescent="0.3">
      <c r="A52" s="505"/>
      <c r="B52" s="801"/>
      <c r="C52" s="802"/>
      <c r="D52" s="802"/>
      <c r="E52" s="802"/>
      <c r="F52" s="802"/>
      <c r="G52" s="802"/>
      <c r="H52" s="803"/>
      <c r="I52" s="69"/>
      <c r="J52" s="819"/>
      <c r="K52" s="820"/>
      <c r="L52" s="820"/>
      <c r="M52" s="820"/>
      <c r="N52" s="820"/>
      <c r="O52" s="820"/>
      <c r="P52" s="821"/>
      <c r="Q52" s="239"/>
    </row>
    <row r="53" spans="1:17" s="664" customFormat="1" ht="3" customHeight="1" thickBot="1" x14ac:dyDescent="0.3">
      <c r="A53" s="505"/>
      <c r="B53" s="69"/>
      <c r="C53" s="69"/>
      <c r="D53" s="69"/>
      <c r="E53" s="69"/>
      <c r="F53" s="69"/>
      <c r="G53" s="69"/>
      <c r="H53" s="69"/>
      <c r="I53" s="69"/>
      <c r="J53" s="819"/>
      <c r="K53" s="820"/>
      <c r="L53" s="820"/>
      <c r="M53" s="820"/>
      <c r="N53" s="820"/>
      <c r="O53" s="820"/>
      <c r="P53" s="821"/>
      <c r="Q53" s="239"/>
    </row>
    <row r="54" spans="1:17" s="664" customFormat="1" ht="15.75" thickBot="1" x14ac:dyDescent="0.3">
      <c r="A54" s="505"/>
      <c r="B54" s="801"/>
      <c r="C54" s="802"/>
      <c r="D54" s="802"/>
      <c r="E54" s="802"/>
      <c r="F54" s="802"/>
      <c r="G54" s="802"/>
      <c r="H54" s="803"/>
      <c r="I54" s="69"/>
      <c r="J54" s="819"/>
      <c r="K54" s="820"/>
      <c r="L54" s="820"/>
      <c r="M54" s="820"/>
      <c r="N54" s="820"/>
      <c r="O54" s="820"/>
      <c r="P54" s="821"/>
      <c r="Q54" s="239"/>
    </row>
    <row r="55" spans="1:17" s="664" customFormat="1" ht="3" customHeight="1" thickBot="1" x14ac:dyDescent="0.3">
      <c r="A55" s="505"/>
      <c r="B55" s="72"/>
      <c r="C55" s="72"/>
      <c r="D55" s="72"/>
      <c r="E55" s="72"/>
      <c r="F55" s="72"/>
      <c r="G55" s="72"/>
      <c r="H55" s="72"/>
      <c r="I55" s="69"/>
      <c r="J55" s="819"/>
      <c r="K55" s="820"/>
      <c r="L55" s="820"/>
      <c r="M55" s="820"/>
      <c r="N55" s="820"/>
      <c r="O55" s="820"/>
      <c r="P55" s="821"/>
      <c r="Q55" s="239"/>
    </row>
    <row r="56" spans="1:17" s="664" customFormat="1" ht="15.75" thickBot="1" x14ac:dyDescent="0.3">
      <c r="A56" s="505"/>
      <c r="B56" s="801"/>
      <c r="C56" s="802"/>
      <c r="D56" s="802"/>
      <c r="E56" s="802"/>
      <c r="F56" s="802"/>
      <c r="G56" s="802"/>
      <c r="H56" s="803"/>
      <c r="I56" s="69"/>
      <c r="J56" s="819"/>
      <c r="K56" s="820"/>
      <c r="L56" s="820"/>
      <c r="M56" s="820"/>
      <c r="N56" s="820"/>
      <c r="O56" s="820"/>
      <c r="P56" s="821"/>
      <c r="Q56" s="239"/>
    </row>
    <row r="57" spans="1:17" s="664" customFormat="1" ht="3" customHeight="1" thickBot="1" x14ac:dyDescent="0.3">
      <c r="A57" s="505"/>
      <c r="B57" s="72"/>
      <c r="C57" s="72"/>
      <c r="D57" s="72"/>
      <c r="E57" s="72"/>
      <c r="F57" s="72"/>
      <c r="G57" s="72"/>
      <c r="H57" s="72"/>
      <c r="I57" s="69"/>
      <c r="J57" s="819"/>
      <c r="K57" s="820"/>
      <c r="L57" s="820"/>
      <c r="M57" s="820"/>
      <c r="N57" s="820"/>
      <c r="O57" s="820"/>
      <c r="P57" s="821"/>
      <c r="Q57" s="239"/>
    </row>
    <row r="58" spans="1:17" s="664" customFormat="1" ht="15.75" thickBot="1" x14ac:dyDescent="0.3">
      <c r="A58" s="505"/>
      <c r="B58" s="801"/>
      <c r="C58" s="802"/>
      <c r="D58" s="802"/>
      <c r="E58" s="802"/>
      <c r="F58" s="802"/>
      <c r="G58" s="802"/>
      <c r="H58" s="803"/>
      <c r="I58" s="69"/>
      <c r="J58" s="822"/>
      <c r="K58" s="823"/>
      <c r="L58" s="823"/>
      <c r="M58" s="823"/>
      <c r="N58" s="823"/>
      <c r="O58" s="823"/>
      <c r="P58" s="824"/>
      <c r="Q58" s="239"/>
    </row>
    <row r="59" spans="1:17" ht="3" customHeight="1" thickBot="1" x14ac:dyDescent="0.3">
      <c r="A59" s="246"/>
      <c r="B59" s="247"/>
      <c r="C59" s="247"/>
      <c r="D59" s="247"/>
      <c r="E59" s="247"/>
      <c r="F59" s="247"/>
      <c r="G59" s="247"/>
      <c r="H59" s="247"/>
      <c r="I59" s="247"/>
      <c r="J59" s="247"/>
      <c r="K59" s="247"/>
      <c r="L59" s="247"/>
      <c r="M59" s="247"/>
      <c r="N59" s="247"/>
      <c r="O59" s="247"/>
      <c r="P59" s="247"/>
      <c r="Q59" s="240"/>
    </row>
    <row r="60" spans="1:17" x14ac:dyDescent="0.25">
      <c r="A60" s="664"/>
      <c r="B60" s="664"/>
      <c r="C60" s="664"/>
      <c r="D60" s="664"/>
      <c r="H60" s="664"/>
      <c r="J60" s="664"/>
    </row>
    <row r="61" spans="1:17" hidden="1" x14ac:dyDescent="0.25">
      <c r="B61" s="664"/>
    </row>
    <row r="62" spans="1:17" ht="15" hidden="1" customHeight="1" x14ac:dyDescent="0.25">
      <c r="B62" s="800" t="s">
        <v>56</v>
      </c>
      <c r="C62" s="800"/>
      <c r="D62" s="800"/>
      <c r="F62" s="262" t="s">
        <v>367</v>
      </c>
      <c r="H62" s="661" t="s">
        <v>218</v>
      </c>
      <c r="J62" s="661" t="s">
        <v>219</v>
      </c>
      <c r="L62" s="262" t="s">
        <v>582</v>
      </c>
      <c r="N62" s="262" t="s">
        <v>583</v>
      </c>
      <c r="P62" s="666" t="s">
        <v>588</v>
      </c>
    </row>
    <row r="63" spans="1:17" ht="15" hidden="1" customHeight="1" x14ac:dyDescent="0.25">
      <c r="B63" s="796" t="s">
        <v>194</v>
      </c>
      <c r="C63" s="796"/>
      <c r="D63" s="796"/>
      <c r="F63" s="67">
        <f>IF(COUNTIF(J38:J46,"Healing Potions")&lt;1,0,1)</f>
        <v>0</v>
      </c>
      <c r="H63" s="661"/>
      <c r="J63" s="661"/>
      <c r="L63" s="377">
        <v>3</v>
      </c>
      <c r="N63" s="67">
        <f>IF($L63*$F$73&lt;1,1,ROUNDDOWN($L63*$F$73,0))</f>
        <v>3</v>
      </c>
      <c r="P63" s="666"/>
    </row>
    <row r="64" spans="1:17" ht="15" hidden="1" customHeight="1" x14ac:dyDescent="0.25">
      <c r="B64" s="826" t="s">
        <v>580</v>
      </c>
      <c r="C64" s="826"/>
      <c r="D64" s="826"/>
      <c r="F64" s="67">
        <f>IF(COUNTIF(J38:J46,"Improved Armor (Masterwork)")&lt;1,0,1)</f>
        <v>0</v>
      </c>
      <c r="H64" s="662">
        <v>1</v>
      </c>
      <c r="J64" s="662"/>
      <c r="L64" s="67">
        <v>1</v>
      </c>
      <c r="N64" s="67">
        <f t="shared" ref="N64:N70" si="0">IF($L64*$F$73&lt;1,1,ROUNDDOWN($L64*$F$73,0))</f>
        <v>1</v>
      </c>
      <c r="P64" s="67"/>
    </row>
    <row r="65" spans="2:16" ht="15" hidden="1" customHeight="1" x14ac:dyDescent="0.25">
      <c r="B65" s="826" t="s">
        <v>193</v>
      </c>
      <c r="C65" s="826"/>
      <c r="D65" s="826"/>
      <c r="F65" s="67">
        <f>IF(COUNTIF(J38:J46,"Improved Armor (Magic)")&lt;1,0,1)</f>
        <v>0</v>
      </c>
      <c r="H65" s="662">
        <v>2</v>
      </c>
      <c r="J65" s="662"/>
      <c r="L65" s="67">
        <v>2</v>
      </c>
      <c r="N65" s="67">
        <f t="shared" si="0"/>
        <v>2</v>
      </c>
      <c r="P65" s="67"/>
    </row>
    <row r="66" spans="2:16" ht="15" hidden="1" customHeight="1" x14ac:dyDescent="0.25">
      <c r="B66" s="826" t="s">
        <v>581</v>
      </c>
      <c r="C66" s="826"/>
      <c r="D66" s="826"/>
      <c r="F66" s="67">
        <f>IF(COUNTIF(J38:J46,"Improved Weapons (Masterwork)")&lt;1,0,1)</f>
        <v>0</v>
      </c>
      <c r="H66" s="662"/>
      <c r="J66" s="662">
        <v>1</v>
      </c>
      <c r="L66" s="67">
        <v>1</v>
      </c>
      <c r="N66" s="67">
        <f t="shared" si="0"/>
        <v>1</v>
      </c>
      <c r="P66" s="67"/>
    </row>
    <row r="67" spans="2:16" ht="15" hidden="1" customHeight="1" x14ac:dyDescent="0.25">
      <c r="B67" s="826" t="s">
        <v>192</v>
      </c>
      <c r="C67" s="826"/>
      <c r="D67" s="826"/>
      <c r="F67" s="67">
        <f>IF(COUNTIF(J38:J46,"Improved Weapons (Magic)")&lt;1,0,1)</f>
        <v>0</v>
      </c>
      <c r="H67" s="662"/>
      <c r="J67" s="662">
        <v>2</v>
      </c>
      <c r="L67" s="67">
        <v>2</v>
      </c>
      <c r="N67" s="67">
        <f t="shared" si="0"/>
        <v>2</v>
      </c>
      <c r="P67" s="67"/>
    </row>
    <row r="68" spans="2:16" ht="15" hidden="1" customHeight="1" x14ac:dyDescent="0.25">
      <c r="B68" s="826" t="s">
        <v>486</v>
      </c>
      <c r="C68" s="826"/>
      <c r="D68" s="826"/>
      <c r="F68" s="67">
        <f>IF(COUNTIF(J38:J46,"Mounts")&lt;1,0,1)</f>
        <v>0</v>
      </c>
      <c r="H68" s="662">
        <v>2</v>
      </c>
      <c r="J68" s="662">
        <v>2</v>
      </c>
      <c r="L68" s="67">
        <v>1</v>
      </c>
      <c r="N68" s="67">
        <f t="shared" si="0"/>
        <v>1</v>
      </c>
      <c r="P68" s="67"/>
    </row>
    <row r="69" spans="2:16" ht="15" hidden="1" customHeight="1" x14ac:dyDescent="0.25">
      <c r="B69" s="826" t="s">
        <v>195</v>
      </c>
      <c r="C69" s="826"/>
      <c r="D69" s="826"/>
      <c r="F69" s="67">
        <f>IF(COUNTIF(J38:J46,"Ranged Weapons")&lt;1,0,1)</f>
        <v>0</v>
      </c>
      <c r="H69" s="662"/>
      <c r="J69" s="662"/>
      <c r="L69" s="67">
        <v>1</v>
      </c>
      <c r="N69" s="67">
        <f t="shared" si="0"/>
        <v>1</v>
      </c>
      <c r="P69" s="67">
        <v>1</v>
      </c>
    </row>
    <row r="70" spans="2:16" ht="15" hidden="1" customHeight="1" x14ac:dyDescent="0.25">
      <c r="B70" s="825" t="s">
        <v>196</v>
      </c>
      <c r="C70" s="825"/>
      <c r="D70" s="825"/>
      <c r="F70" s="67">
        <f>IF(COUNTIF(J38:J46,"Siege Weapons")&lt;1,0,1)</f>
        <v>0</v>
      </c>
      <c r="H70" s="662"/>
      <c r="J70" s="662">
        <v>2</v>
      </c>
      <c r="L70" s="67">
        <v>3</v>
      </c>
      <c r="N70" s="67">
        <f t="shared" si="0"/>
        <v>3</v>
      </c>
      <c r="P70" s="67"/>
    </row>
    <row r="71" spans="2:16" ht="15" hidden="1" customHeight="1" x14ac:dyDescent="0.25">
      <c r="B71" s="829" t="s">
        <v>585</v>
      </c>
      <c r="C71" s="829"/>
      <c r="D71" s="829"/>
      <c r="E71" s="829"/>
      <c r="F71" s="829"/>
      <c r="G71" s="265"/>
      <c r="H71" s="175">
        <f>SUMPRODUCT($F$64:$F$70,H$64:H$70)</f>
        <v>0</v>
      </c>
      <c r="I71" s="175"/>
      <c r="J71" s="175">
        <f t="shared" ref="J71:P71" si="1">SUMPRODUCT($F$64:$F$70,J$64:J$70)</f>
        <v>0</v>
      </c>
      <c r="K71" s="175"/>
      <c r="L71" s="175">
        <f t="shared" si="1"/>
        <v>0</v>
      </c>
      <c r="M71" s="175"/>
      <c r="N71" s="175">
        <f>SUMPRODUCT($F$63:$F$70,N$63:N$70)</f>
        <v>0</v>
      </c>
      <c r="O71" s="175"/>
      <c r="P71" s="175">
        <f t="shared" si="1"/>
        <v>0</v>
      </c>
    </row>
    <row r="72" spans="2:16" hidden="1" x14ac:dyDescent="0.25">
      <c r="B72" s="664"/>
      <c r="C72" s="664"/>
      <c r="D72" s="664"/>
      <c r="F72" s="67"/>
      <c r="H72" s="662"/>
      <c r="J72" s="662"/>
      <c r="L72" s="67"/>
      <c r="N72" s="67"/>
    </row>
    <row r="73" spans="2:16" ht="15" hidden="1" customHeight="1" x14ac:dyDescent="0.25">
      <c r="B73" s="827" t="s">
        <v>584</v>
      </c>
      <c r="C73" s="827"/>
      <c r="D73" s="827"/>
      <c r="F73" s="266">
        <f>IF(F4="Fine",1/8,IF(F4="Diminutive",1/6,IF(F4="Tiny",1/4,IF(F4="Small",1/2,IF(F4="Large",2,IF(F4="Huge",4,IF(F4="Gargantuan",10,IF(F4="Colossal",20,1))))))))</f>
        <v>1</v>
      </c>
      <c r="H73" s="662"/>
      <c r="I73" s="662"/>
      <c r="J73" s="662"/>
      <c r="K73" s="662"/>
      <c r="L73" s="662"/>
      <c r="M73" s="662"/>
      <c r="N73" s="662"/>
    </row>
    <row r="74" spans="2:16" hidden="1" x14ac:dyDescent="0.25">
      <c r="B74" s="664"/>
    </row>
    <row r="75" spans="2:16" ht="15" hidden="1" customHeight="1" x14ac:dyDescent="0.25">
      <c r="B75" s="800" t="s">
        <v>482</v>
      </c>
      <c r="C75" s="800"/>
      <c r="D75" s="800"/>
      <c r="F75" s="262" t="s">
        <v>367</v>
      </c>
      <c r="G75" s="262"/>
      <c r="H75" s="661" t="s">
        <v>218</v>
      </c>
      <c r="I75" s="556"/>
      <c r="J75" s="661" t="s">
        <v>160</v>
      </c>
    </row>
    <row r="76" spans="2:16" ht="15" hidden="1" customHeight="1" x14ac:dyDescent="0.25">
      <c r="B76" s="826" t="s">
        <v>534</v>
      </c>
      <c r="C76" s="826"/>
      <c r="D76" s="826"/>
      <c r="F76" s="67">
        <f>IF(COUNTIF(J24:J32,"Defensive Tactics")&lt;1,0,1)</f>
        <v>0</v>
      </c>
      <c r="G76" s="67"/>
      <c r="H76" s="662">
        <v>2</v>
      </c>
      <c r="I76" s="556"/>
      <c r="J76" s="662"/>
    </row>
    <row r="77" spans="2:16" ht="15" hidden="1" customHeight="1" x14ac:dyDescent="0.25">
      <c r="B77" s="825" t="s">
        <v>50</v>
      </c>
      <c r="C77" s="825"/>
      <c r="D77" s="825"/>
      <c r="F77" s="67">
        <f>IF(COUNTIF(J24:J32,"Loyalty")&lt;1,0,1)</f>
        <v>0</v>
      </c>
      <c r="G77" s="67"/>
      <c r="H77" s="662"/>
      <c r="I77" s="556"/>
      <c r="J77" s="662">
        <f>IF(H24&lt;12,2,4)</f>
        <v>2</v>
      </c>
    </row>
    <row r="78" spans="2:16" ht="15" hidden="1" customHeight="1" x14ac:dyDescent="0.25">
      <c r="B78" s="829" t="s">
        <v>585</v>
      </c>
      <c r="C78" s="829"/>
      <c r="D78" s="829"/>
      <c r="E78" s="829"/>
      <c r="F78" s="829"/>
      <c r="G78" s="267"/>
      <c r="H78" s="175">
        <f>SUMPRODUCT($F$76:$F$77,H$76:H$77)</f>
        <v>0</v>
      </c>
      <c r="I78" s="175"/>
      <c r="J78" s="175">
        <f>SUMPRODUCT($F$76:$F$77,J$76:J$77)</f>
        <v>0</v>
      </c>
    </row>
    <row r="79" spans="2:16" hidden="1" x14ac:dyDescent="0.25">
      <c r="B79" s="664"/>
    </row>
    <row r="80" spans="2:16" ht="15" hidden="1" customHeight="1" x14ac:dyDescent="0.25">
      <c r="B80" s="800" t="s">
        <v>161</v>
      </c>
      <c r="C80" s="800"/>
      <c r="D80" s="800"/>
      <c r="F80" s="262" t="s">
        <v>367</v>
      </c>
      <c r="H80" s="661" t="s">
        <v>219</v>
      </c>
      <c r="J80" s="661" t="s">
        <v>218</v>
      </c>
      <c r="L80" s="262" t="s">
        <v>588</v>
      </c>
    </row>
    <row r="81" spans="2:12" ht="15" hidden="1" customHeight="1" x14ac:dyDescent="0.25">
      <c r="B81" s="830" t="s">
        <v>542</v>
      </c>
      <c r="C81" s="830"/>
      <c r="D81" s="830"/>
      <c r="F81" s="67">
        <f>IF(COUNTIF(B50:B58,"Animal Companion")&lt;1,0,1)</f>
        <v>0</v>
      </c>
      <c r="H81" s="662">
        <v>1</v>
      </c>
      <c r="J81" s="662"/>
      <c r="L81" s="67"/>
    </row>
    <row r="82" spans="2:12" ht="15" hidden="1" customHeight="1" x14ac:dyDescent="0.25">
      <c r="B82" s="830" t="s">
        <v>545</v>
      </c>
      <c r="C82" s="830"/>
      <c r="D82" s="830"/>
      <c r="F82" s="67">
        <f>IF(COUNTIF(B50:B58,"Bomb")&lt;1,0,1)</f>
        <v>0</v>
      </c>
      <c r="H82" s="662"/>
      <c r="J82" s="662"/>
      <c r="L82" s="67">
        <v>1</v>
      </c>
    </row>
    <row r="83" spans="2:12" ht="15" hidden="1" customHeight="1" x14ac:dyDescent="0.25">
      <c r="B83" s="830" t="s">
        <v>197</v>
      </c>
      <c r="C83" s="830"/>
      <c r="D83" s="830"/>
      <c r="F83" s="67">
        <f>IF(COUNTIF(B50:B58,"Breath Weapon")&lt;1,0,1)</f>
        <v>0</v>
      </c>
      <c r="H83" s="662"/>
      <c r="J83" s="662"/>
      <c r="L83" s="67">
        <v>1</v>
      </c>
    </row>
    <row r="84" spans="2:12" ht="15" hidden="1" customHeight="1" x14ac:dyDescent="0.25">
      <c r="B84" s="830" t="s">
        <v>554</v>
      </c>
      <c r="C84" s="830"/>
      <c r="D84" s="830"/>
      <c r="F84" s="67">
        <f>IF(COUNTIF(B50:B58,"Eidolon")&lt;1,0,1)</f>
        <v>0</v>
      </c>
      <c r="H84" s="662">
        <v>1</v>
      </c>
      <c r="J84" s="662"/>
      <c r="L84" s="67"/>
    </row>
    <row r="85" spans="2:12" ht="15" hidden="1" customHeight="1" x14ac:dyDescent="0.25">
      <c r="B85" s="830" t="s">
        <v>587</v>
      </c>
      <c r="C85" s="830"/>
      <c r="D85" s="830"/>
      <c r="F85" s="67">
        <f>IF(COUNTIF(B50:B58,"Hunter's Bond (Animal)")&lt;1,0,1)</f>
        <v>0</v>
      </c>
      <c r="H85" s="662">
        <v>1</v>
      </c>
      <c r="J85" s="662"/>
      <c r="L85" s="67"/>
    </row>
    <row r="86" spans="2:12" ht="15" hidden="1" customHeight="1" x14ac:dyDescent="0.25">
      <c r="B86" s="830" t="s">
        <v>514</v>
      </c>
      <c r="C86" s="830"/>
      <c r="D86" s="830"/>
      <c r="F86" s="67">
        <f>IF(COUNTIF(B50:B58,"Mindless")&lt;1,0,1)</f>
        <v>0</v>
      </c>
      <c r="H86" s="662"/>
      <c r="J86" s="662"/>
      <c r="L86" s="67"/>
    </row>
    <row r="87" spans="2:12" ht="15" hidden="1" customHeight="1" x14ac:dyDescent="0.25">
      <c r="B87" s="830" t="s">
        <v>517</v>
      </c>
      <c r="C87" s="830"/>
      <c r="D87" s="830"/>
      <c r="F87" s="67">
        <f>IF(COUNTIF(B50:B58,"Pounce")&lt;1,0,1)</f>
        <v>0</v>
      </c>
      <c r="H87" s="662">
        <v>1</v>
      </c>
      <c r="J87" s="662"/>
      <c r="L87" s="67"/>
    </row>
    <row r="88" spans="2:12" ht="15" hidden="1" customHeight="1" x14ac:dyDescent="0.25">
      <c r="B88" s="830" t="s">
        <v>518</v>
      </c>
      <c r="C88" s="830"/>
      <c r="D88" s="830"/>
      <c r="F88" s="67">
        <f>IF(COUNTIF(B50:B58,"Powerful Charge")&lt;1,0,1)</f>
        <v>0</v>
      </c>
      <c r="H88" s="662">
        <v>1</v>
      </c>
      <c r="J88" s="662"/>
      <c r="L88" s="67"/>
    </row>
    <row r="89" spans="2:12" ht="15" hidden="1" customHeight="1" x14ac:dyDescent="0.25">
      <c r="B89" s="830" t="s">
        <v>571</v>
      </c>
      <c r="C89" s="830"/>
      <c r="D89" s="830"/>
      <c r="F89" s="67">
        <f>IF(COUNTIF(B50:B58,"Shield Ally")&lt;1,0,1)</f>
        <v>0</v>
      </c>
      <c r="H89" s="662"/>
      <c r="J89" s="662">
        <v>1</v>
      </c>
      <c r="L89" s="67"/>
    </row>
    <row r="90" spans="2:12" ht="15" hidden="1" customHeight="1" x14ac:dyDescent="0.25">
      <c r="B90" s="830" t="s">
        <v>526</v>
      </c>
      <c r="C90" s="830"/>
      <c r="D90" s="830"/>
      <c r="F90" s="67">
        <f>IF(COUNTIF(B50:B58,"Trample")&lt;1,0,1)</f>
        <v>0</v>
      </c>
      <c r="H90" s="662">
        <v>1</v>
      </c>
      <c r="J90" s="662"/>
      <c r="L90" s="67"/>
    </row>
    <row r="91" spans="2:12" ht="15" hidden="1" customHeight="1" x14ac:dyDescent="0.25">
      <c r="B91" s="831" t="s">
        <v>203</v>
      </c>
      <c r="C91" s="831"/>
      <c r="D91" s="831"/>
      <c r="F91" s="67">
        <f>IF(COUNTIF(B50:B58,"Undead")&lt;1,0,1)</f>
        <v>0</v>
      </c>
      <c r="H91" s="662"/>
      <c r="J91" s="662">
        <v>2</v>
      </c>
      <c r="L91" s="67"/>
    </row>
    <row r="92" spans="2:12" ht="15" hidden="1" customHeight="1" x14ac:dyDescent="0.25">
      <c r="B92" s="829" t="s">
        <v>585</v>
      </c>
      <c r="C92" s="829"/>
      <c r="D92" s="829"/>
      <c r="E92" s="829"/>
      <c r="F92" s="829"/>
      <c r="G92" s="265"/>
      <c r="H92" s="175">
        <f>SUMPRODUCT($F$81:$F$91,H$81:H$91)</f>
        <v>0</v>
      </c>
      <c r="I92" s="268"/>
      <c r="J92" s="175">
        <f>SUMPRODUCT($F$81:$F$91,J$81:J$91)</f>
        <v>0</v>
      </c>
      <c r="K92" s="268"/>
      <c r="L92" s="175">
        <f>SUMPRODUCT($F$81:$F$91,L$81:L$91)</f>
        <v>0</v>
      </c>
    </row>
    <row r="93" spans="2:12" hidden="1" x14ac:dyDescent="0.25">
      <c r="B93" s="665"/>
      <c r="C93" s="665"/>
      <c r="D93" s="665"/>
    </row>
    <row r="94" spans="2:12" ht="15" hidden="1" customHeight="1" x14ac:dyDescent="0.25">
      <c r="B94" s="800" t="s">
        <v>585</v>
      </c>
      <c r="C94" s="800"/>
      <c r="D94" s="800"/>
      <c r="E94" s="800"/>
      <c r="F94" s="800"/>
    </row>
    <row r="95" spans="2:12" ht="15" hidden="1" customHeight="1" x14ac:dyDescent="0.25">
      <c r="B95" s="827" t="s">
        <v>219</v>
      </c>
      <c r="C95" s="827"/>
      <c r="D95" s="827"/>
      <c r="F95" s="67">
        <f>J71+H92</f>
        <v>0</v>
      </c>
    </row>
    <row r="96" spans="2:12" ht="15" hidden="1" customHeight="1" x14ac:dyDescent="0.25">
      <c r="B96" s="827" t="s">
        <v>218</v>
      </c>
      <c r="C96" s="827"/>
      <c r="D96" s="827"/>
      <c r="F96" s="67">
        <f>H71+H78+J92</f>
        <v>0</v>
      </c>
    </row>
    <row r="97" spans="2:6" ht="15" hidden="1" customHeight="1" x14ac:dyDescent="0.25">
      <c r="B97" s="827" t="s">
        <v>160</v>
      </c>
      <c r="C97" s="827"/>
      <c r="D97" s="827"/>
      <c r="F97" s="67">
        <f>J78</f>
        <v>0</v>
      </c>
    </row>
    <row r="98" spans="2:6" ht="15" hidden="1" customHeight="1" x14ac:dyDescent="0.25">
      <c r="B98" s="828" t="s">
        <v>61</v>
      </c>
      <c r="C98" s="828"/>
      <c r="D98" s="828"/>
      <c r="F98" s="67">
        <f>N71</f>
        <v>0</v>
      </c>
    </row>
    <row r="99" spans="2:6" ht="15" hidden="1" customHeight="1" x14ac:dyDescent="0.25">
      <c r="B99" s="828" t="s">
        <v>588</v>
      </c>
      <c r="C99" s="828"/>
      <c r="D99" s="828"/>
      <c r="F99" s="67">
        <f>IF(P71+L92&gt;0,1,0)</f>
        <v>0</v>
      </c>
    </row>
    <row r="100" spans="2:6" ht="15" hidden="1" customHeight="1" x14ac:dyDescent="0.25">
      <c r="B100" s="827" t="s">
        <v>514</v>
      </c>
      <c r="C100" s="827"/>
      <c r="D100" s="827"/>
      <c r="F100" s="67">
        <f>F86</f>
        <v>0</v>
      </c>
    </row>
    <row r="101" spans="2:6" hidden="1" x14ac:dyDescent="0.25">
      <c r="B101" s="665"/>
      <c r="C101" s="665"/>
      <c r="D101" s="665"/>
    </row>
    <row r="102" spans="2:6" x14ac:dyDescent="0.25">
      <c r="B102" s="665"/>
      <c r="C102" s="665"/>
      <c r="D102" s="665"/>
    </row>
    <row r="103" spans="2:6" x14ac:dyDescent="0.25">
      <c r="B103" s="665"/>
      <c r="C103" s="665"/>
      <c r="D103" s="665"/>
    </row>
    <row r="104" spans="2:6" x14ac:dyDescent="0.25">
      <c r="B104" s="665"/>
      <c r="C104" s="665"/>
      <c r="D104" s="665"/>
    </row>
    <row r="105" spans="2:6" x14ac:dyDescent="0.25">
      <c r="B105" s="665"/>
      <c r="C105" s="665"/>
      <c r="D105" s="665"/>
    </row>
    <row r="106" spans="2:6" x14ac:dyDescent="0.25">
      <c r="B106" s="665"/>
      <c r="C106" s="665"/>
      <c r="D106" s="665"/>
    </row>
    <row r="107" spans="2:6" x14ac:dyDescent="0.25">
      <c r="B107" s="665"/>
      <c r="C107" s="665"/>
      <c r="D107" s="665"/>
    </row>
    <row r="108" spans="2:6" x14ac:dyDescent="0.25">
      <c r="B108" s="665"/>
      <c r="C108" s="665"/>
      <c r="D108" s="665"/>
    </row>
    <row r="109" spans="2:6" x14ac:dyDescent="0.25">
      <c r="B109" s="665"/>
      <c r="C109" s="665"/>
      <c r="D109" s="665"/>
    </row>
    <row r="110" spans="2:6" x14ac:dyDescent="0.25">
      <c r="B110" s="665"/>
      <c r="C110" s="665"/>
      <c r="D110" s="665"/>
    </row>
    <row r="111" spans="2:6" x14ac:dyDescent="0.25">
      <c r="B111" s="665"/>
      <c r="C111" s="665"/>
      <c r="D111" s="665"/>
    </row>
    <row r="112" spans="2:6" x14ac:dyDescent="0.25">
      <c r="B112" s="665"/>
      <c r="C112" s="665"/>
      <c r="D112" s="665"/>
    </row>
    <row r="113" spans="2:4" x14ac:dyDescent="0.25">
      <c r="B113" s="665"/>
      <c r="C113" s="665"/>
      <c r="D113" s="665"/>
    </row>
    <row r="114" spans="2:4" x14ac:dyDescent="0.25">
      <c r="B114" s="665"/>
      <c r="C114" s="665"/>
      <c r="D114" s="665"/>
    </row>
    <row r="115" spans="2:4" x14ac:dyDescent="0.25">
      <c r="B115" s="665"/>
      <c r="C115" s="665"/>
      <c r="D115" s="665"/>
    </row>
    <row r="116" spans="2:4" x14ac:dyDescent="0.25">
      <c r="B116" s="665"/>
      <c r="C116" s="665"/>
      <c r="D116" s="665"/>
    </row>
    <row r="117" spans="2:4" x14ac:dyDescent="0.25">
      <c r="B117" s="665"/>
      <c r="C117" s="665"/>
      <c r="D117" s="665"/>
    </row>
    <row r="118" spans="2:4" x14ac:dyDescent="0.25">
      <c r="B118" s="665"/>
      <c r="C118" s="665"/>
      <c r="D118" s="665"/>
    </row>
    <row r="119" spans="2:4" x14ac:dyDescent="0.25">
      <c r="B119" s="665"/>
      <c r="C119" s="665"/>
      <c r="D119" s="665"/>
    </row>
    <row r="120" spans="2:4" x14ac:dyDescent="0.25">
      <c r="B120" s="665"/>
      <c r="C120" s="665"/>
      <c r="D120" s="665"/>
    </row>
    <row r="121" spans="2:4" x14ac:dyDescent="0.25">
      <c r="B121" s="665"/>
      <c r="C121" s="665"/>
      <c r="D121" s="665"/>
    </row>
    <row r="122" spans="2:4" x14ac:dyDescent="0.25">
      <c r="B122" s="665"/>
      <c r="C122" s="665"/>
      <c r="D122" s="665"/>
    </row>
    <row r="123" spans="2:4" x14ac:dyDescent="0.25">
      <c r="B123" s="665"/>
      <c r="C123" s="665"/>
      <c r="D123" s="665"/>
    </row>
    <row r="124" spans="2:4" x14ac:dyDescent="0.25">
      <c r="B124" s="665"/>
      <c r="C124" s="665"/>
      <c r="D124" s="665"/>
    </row>
    <row r="125" spans="2:4" x14ac:dyDescent="0.25">
      <c r="B125" s="665"/>
      <c r="C125" s="665"/>
      <c r="D125" s="665"/>
    </row>
    <row r="126" spans="2:4" x14ac:dyDescent="0.25">
      <c r="B126" s="665"/>
      <c r="C126" s="665"/>
      <c r="D126" s="665"/>
    </row>
    <row r="127" spans="2:4" x14ac:dyDescent="0.25">
      <c r="B127" s="665"/>
      <c r="C127" s="665"/>
      <c r="D127" s="665"/>
    </row>
    <row r="128" spans="2:4" x14ac:dyDescent="0.25">
      <c r="B128" s="665"/>
      <c r="C128" s="665"/>
      <c r="D128" s="665"/>
    </row>
    <row r="129" spans="2:4" x14ac:dyDescent="0.25">
      <c r="B129" s="665"/>
      <c r="C129" s="665"/>
      <c r="D129" s="665"/>
    </row>
    <row r="130" spans="2:4" x14ac:dyDescent="0.25">
      <c r="B130" s="665"/>
      <c r="C130" s="665"/>
      <c r="D130" s="665"/>
    </row>
    <row r="131" spans="2:4" x14ac:dyDescent="0.25">
      <c r="B131" s="665"/>
      <c r="C131" s="665"/>
      <c r="D131" s="665"/>
    </row>
    <row r="132" spans="2:4" x14ac:dyDescent="0.25">
      <c r="B132" s="665"/>
      <c r="C132" s="665"/>
      <c r="D132" s="665"/>
    </row>
    <row r="133" spans="2:4" x14ac:dyDescent="0.25">
      <c r="B133" s="665"/>
      <c r="C133" s="665"/>
      <c r="D133" s="665"/>
    </row>
    <row r="134" spans="2:4" x14ac:dyDescent="0.25">
      <c r="B134" s="665"/>
      <c r="C134" s="665"/>
      <c r="D134" s="665"/>
    </row>
    <row r="135" spans="2:4" x14ac:dyDescent="0.25">
      <c r="B135" s="665"/>
      <c r="C135" s="665"/>
      <c r="D135" s="665"/>
    </row>
    <row r="136" spans="2:4" x14ac:dyDescent="0.25">
      <c r="B136" s="665"/>
      <c r="C136" s="665"/>
      <c r="D136" s="665"/>
    </row>
    <row r="137" spans="2:4" x14ac:dyDescent="0.25">
      <c r="B137" s="665"/>
      <c r="C137" s="665"/>
      <c r="D137" s="665"/>
    </row>
    <row r="138" spans="2:4" x14ac:dyDescent="0.25">
      <c r="B138" s="665"/>
      <c r="C138" s="665"/>
      <c r="D138" s="665"/>
    </row>
    <row r="139" spans="2:4" x14ac:dyDescent="0.25">
      <c r="B139" s="665"/>
      <c r="C139" s="665"/>
      <c r="D139" s="665"/>
    </row>
    <row r="140" spans="2:4" x14ac:dyDescent="0.25">
      <c r="B140" s="665"/>
      <c r="C140" s="665"/>
      <c r="D140" s="665"/>
    </row>
    <row r="141" spans="2:4" x14ac:dyDescent="0.25">
      <c r="B141" s="665"/>
      <c r="C141" s="665"/>
      <c r="D141" s="665"/>
    </row>
    <row r="142" spans="2:4" x14ac:dyDescent="0.25">
      <c r="B142" s="665"/>
      <c r="C142" s="665"/>
      <c r="D142" s="665"/>
    </row>
    <row r="143" spans="2:4" x14ac:dyDescent="0.25">
      <c r="B143" s="665"/>
      <c r="C143" s="665"/>
      <c r="D143" s="665"/>
    </row>
    <row r="144" spans="2:4" x14ac:dyDescent="0.25">
      <c r="B144" s="665"/>
      <c r="C144" s="665"/>
      <c r="D144" s="665"/>
    </row>
    <row r="145" spans="2:4" x14ac:dyDescent="0.25">
      <c r="B145" s="665"/>
      <c r="C145" s="665"/>
      <c r="D145" s="665"/>
    </row>
    <row r="146" spans="2:4" x14ac:dyDescent="0.25">
      <c r="B146" s="665"/>
      <c r="C146" s="665"/>
      <c r="D146" s="665"/>
    </row>
    <row r="147" spans="2:4" x14ac:dyDescent="0.25">
      <c r="B147" s="665"/>
      <c r="C147" s="665"/>
      <c r="D147" s="665"/>
    </row>
    <row r="148" spans="2:4" x14ac:dyDescent="0.25">
      <c r="B148" s="665"/>
      <c r="C148" s="665"/>
      <c r="D148" s="665"/>
    </row>
    <row r="149" spans="2:4" x14ac:dyDescent="0.25">
      <c r="B149" s="665"/>
      <c r="C149" s="665"/>
      <c r="D149" s="665"/>
    </row>
    <row r="150" spans="2:4" x14ac:dyDescent="0.25">
      <c r="B150" s="665"/>
      <c r="C150" s="665"/>
      <c r="D150" s="665"/>
    </row>
    <row r="151" spans="2:4" x14ac:dyDescent="0.25">
      <c r="B151" s="665"/>
      <c r="C151" s="665"/>
      <c r="D151" s="665"/>
    </row>
    <row r="152" spans="2:4" x14ac:dyDescent="0.25">
      <c r="B152" s="665"/>
      <c r="C152" s="665"/>
      <c r="D152" s="665"/>
    </row>
    <row r="153" spans="2:4" x14ac:dyDescent="0.25">
      <c r="B153" s="665"/>
      <c r="C153" s="665"/>
      <c r="D153" s="665"/>
    </row>
    <row r="154" spans="2:4" x14ac:dyDescent="0.25">
      <c r="B154" s="665"/>
      <c r="C154" s="665"/>
      <c r="D154" s="665"/>
    </row>
    <row r="155" spans="2:4" x14ac:dyDescent="0.25">
      <c r="B155" s="665"/>
      <c r="C155" s="665"/>
      <c r="D155" s="665"/>
    </row>
    <row r="156" spans="2:4" x14ac:dyDescent="0.25">
      <c r="B156" s="665"/>
      <c r="C156" s="665"/>
      <c r="D156" s="665"/>
    </row>
    <row r="157" spans="2:4" x14ac:dyDescent="0.25">
      <c r="B157" s="665"/>
      <c r="C157" s="665"/>
      <c r="D157" s="665"/>
    </row>
    <row r="158" spans="2:4" x14ac:dyDescent="0.25">
      <c r="B158" s="665"/>
      <c r="C158" s="665"/>
      <c r="D158" s="665"/>
    </row>
    <row r="159" spans="2:4" x14ac:dyDescent="0.25">
      <c r="B159" s="665"/>
      <c r="C159" s="665"/>
      <c r="D159" s="665"/>
    </row>
    <row r="160" spans="2:4" x14ac:dyDescent="0.25">
      <c r="B160" s="665"/>
      <c r="C160" s="665"/>
      <c r="D160" s="665"/>
    </row>
    <row r="161" spans="2:4" x14ac:dyDescent="0.25">
      <c r="B161" s="665"/>
      <c r="C161" s="665"/>
      <c r="D161" s="665"/>
    </row>
    <row r="162" spans="2:4" x14ac:dyDescent="0.25">
      <c r="B162" s="665"/>
      <c r="C162" s="665"/>
      <c r="D162" s="665"/>
    </row>
    <row r="163" spans="2:4" x14ac:dyDescent="0.25">
      <c r="B163" s="665"/>
      <c r="C163" s="665"/>
      <c r="D163" s="665"/>
    </row>
    <row r="164" spans="2:4" x14ac:dyDescent="0.25">
      <c r="B164" s="665"/>
      <c r="C164" s="665"/>
      <c r="D164" s="665"/>
    </row>
    <row r="165" spans="2:4" x14ac:dyDescent="0.25">
      <c r="B165" s="665"/>
      <c r="C165" s="665"/>
      <c r="D165" s="665"/>
    </row>
    <row r="166" spans="2:4" x14ac:dyDescent="0.25">
      <c r="B166" s="665"/>
      <c r="C166" s="665"/>
      <c r="D166" s="665"/>
    </row>
    <row r="167" spans="2:4" x14ac:dyDescent="0.25">
      <c r="B167" s="665"/>
      <c r="C167" s="665"/>
      <c r="D167" s="665"/>
    </row>
    <row r="168" spans="2:4" x14ac:dyDescent="0.25">
      <c r="B168" s="665"/>
      <c r="C168" s="665"/>
      <c r="D168" s="665"/>
    </row>
    <row r="169" spans="2:4" x14ac:dyDescent="0.25">
      <c r="B169" s="665"/>
      <c r="C169" s="665"/>
      <c r="D169" s="665"/>
    </row>
    <row r="170" spans="2:4" x14ac:dyDescent="0.25">
      <c r="B170" s="665"/>
      <c r="C170" s="665"/>
      <c r="D170" s="665"/>
    </row>
    <row r="171" spans="2:4" x14ac:dyDescent="0.25">
      <c r="B171" s="665"/>
      <c r="C171" s="665"/>
      <c r="D171" s="665"/>
    </row>
    <row r="172" spans="2:4" x14ac:dyDescent="0.25">
      <c r="B172" s="665"/>
      <c r="C172" s="665"/>
      <c r="D172" s="665"/>
    </row>
    <row r="173" spans="2:4" x14ac:dyDescent="0.25">
      <c r="B173" s="665"/>
      <c r="C173" s="665"/>
      <c r="D173" s="665"/>
    </row>
    <row r="174" spans="2:4" x14ac:dyDescent="0.25">
      <c r="B174" s="665"/>
      <c r="C174" s="665"/>
      <c r="D174" s="665"/>
    </row>
    <row r="175" spans="2:4" x14ac:dyDescent="0.25">
      <c r="B175" s="665"/>
      <c r="C175" s="665"/>
      <c r="D175" s="665"/>
    </row>
    <row r="176" spans="2:4" x14ac:dyDescent="0.25">
      <c r="B176" s="665"/>
      <c r="C176" s="665"/>
      <c r="D176" s="665"/>
    </row>
    <row r="177" spans="2:4" x14ac:dyDescent="0.25">
      <c r="B177" s="665"/>
      <c r="C177" s="665"/>
      <c r="D177" s="665"/>
    </row>
    <row r="178" spans="2:4" x14ac:dyDescent="0.25">
      <c r="B178" s="665"/>
      <c r="C178" s="665"/>
      <c r="D178" s="665"/>
    </row>
  </sheetData>
  <sheetProtection sheet="1" objects="1" scenarios="1" selectLockedCells="1"/>
  <mergeCells count="100">
    <mergeCell ref="B96:D96"/>
    <mergeCell ref="B97:D97"/>
    <mergeCell ref="B98:D98"/>
    <mergeCell ref="B99:D99"/>
    <mergeCell ref="B89:D89"/>
    <mergeCell ref="B90:D90"/>
    <mergeCell ref="B95:D95"/>
    <mergeCell ref="B91:D91"/>
    <mergeCell ref="B92:F92"/>
    <mergeCell ref="B94:F94"/>
    <mergeCell ref="B88:D88"/>
    <mergeCell ref="B76:D76"/>
    <mergeCell ref="B80:D80"/>
    <mergeCell ref="B81:D81"/>
    <mergeCell ref="B82:D82"/>
    <mergeCell ref="B83:D83"/>
    <mergeCell ref="B84:D84"/>
    <mergeCell ref="B85:D85"/>
    <mergeCell ref="B86:D86"/>
    <mergeCell ref="B87:D87"/>
    <mergeCell ref="B77:D77"/>
    <mergeCell ref="B78:F78"/>
    <mergeCell ref="B75:D75"/>
    <mergeCell ref="B62:D62"/>
    <mergeCell ref="B63:D63"/>
    <mergeCell ref="B64:D64"/>
    <mergeCell ref="B65:D65"/>
    <mergeCell ref="B66:D66"/>
    <mergeCell ref="B67:D67"/>
    <mergeCell ref="B68:D68"/>
    <mergeCell ref="B69:D69"/>
    <mergeCell ref="B70:D70"/>
    <mergeCell ref="B71:F71"/>
    <mergeCell ref="B73:D73"/>
    <mergeCell ref="B50:H50"/>
    <mergeCell ref="J50:P58"/>
    <mergeCell ref="B52:H52"/>
    <mergeCell ref="B54:H54"/>
    <mergeCell ref="B56:H56"/>
    <mergeCell ref="B58:H58"/>
    <mergeCell ref="B46:H46"/>
    <mergeCell ref="J46:P46"/>
    <mergeCell ref="B48:H48"/>
    <mergeCell ref="J48:P48"/>
    <mergeCell ref="S48:T48"/>
    <mergeCell ref="S38:T38"/>
    <mergeCell ref="B40:H40"/>
    <mergeCell ref="J40:P40"/>
    <mergeCell ref="B44:H44"/>
    <mergeCell ref="J44:P44"/>
    <mergeCell ref="B42:H42"/>
    <mergeCell ref="J42:P42"/>
    <mergeCell ref="B38:H38"/>
    <mergeCell ref="J38:P38"/>
    <mergeCell ref="S36:T36"/>
    <mergeCell ref="B26:F26"/>
    <mergeCell ref="J26:P26"/>
    <mergeCell ref="B28:F28"/>
    <mergeCell ref="J28:P28"/>
    <mergeCell ref="B30:F30"/>
    <mergeCell ref="J30:P30"/>
    <mergeCell ref="B32:F32"/>
    <mergeCell ref="J32:P32"/>
    <mergeCell ref="B34:P34"/>
    <mergeCell ref="B36:H36"/>
    <mergeCell ref="J36:P36"/>
    <mergeCell ref="S18:T18"/>
    <mergeCell ref="B20:P20"/>
    <mergeCell ref="D22:H22"/>
    <mergeCell ref="J22:P22"/>
    <mergeCell ref="S22:T22"/>
    <mergeCell ref="B24:F24"/>
    <mergeCell ref="J24:P24"/>
    <mergeCell ref="B14:P14"/>
    <mergeCell ref="B16:D16"/>
    <mergeCell ref="F16:L16"/>
    <mergeCell ref="B18:D18"/>
    <mergeCell ref="F18:H18"/>
    <mergeCell ref="J18:N18"/>
    <mergeCell ref="N10:P10"/>
    <mergeCell ref="B12:D12"/>
    <mergeCell ref="F12:H12"/>
    <mergeCell ref="J12:L12"/>
    <mergeCell ref="N12:P12"/>
    <mergeCell ref="B100:D100"/>
    <mergeCell ref="S4:T4"/>
    <mergeCell ref="B2:D2"/>
    <mergeCell ref="F2:L2"/>
    <mergeCell ref="B4:D4"/>
    <mergeCell ref="F4:J4"/>
    <mergeCell ref="L4:N4"/>
    <mergeCell ref="B6:H6"/>
    <mergeCell ref="J6:P6"/>
    <mergeCell ref="B8:D8"/>
    <mergeCell ref="F8:H8"/>
    <mergeCell ref="J8:L8"/>
    <mergeCell ref="N8:P8"/>
    <mergeCell ref="B10:D10"/>
    <mergeCell ref="F10:H10"/>
    <mergeCell ref="J10:L10"/>
  </mergeCells>
  <dataValidations count="8">
    <dataValidation type="list" allowBlank="1" showInputMessage="1" showErrorMessage="1" sqref="J44:P46 J38:P38 J40:P40 J42:P42">
      <formula1>Resources</formula1>
    </dataValidation>
    <dataValidation type="list" allowBlank="1" showInputMessage="1" showErrorMessage="1" sqref="P17:P18 O18">
      <formula1>HD</formula1>
    </dataValidation>
    <dataValidation type="list" allowBlank="1" showInputMessage="1" showErrorMessage="1" sqref="B44:H46 B38:H38 B40:H40 B42:H42">
      <formula1>Tactics</formula1>
    </dataValidation>
    <dataValidation type="list" allowBlank="1" showInputMessage="1" showErrorMessage="1" sqref="B50:H50 B52:H52 B54:H54 B56:H56 B58:H58">
      <formula1>ArmySA</formula1>
    </dataValidation>
    <dataValidation type="list" allowBlank="1" showInputMessage="1" showErrorMessage="1" sqref="J24:P24 J26:P26 J28:P28 J30:P30 J32:P32">
      <formula1>Boons</formula1>
    </dataValidation>
    <dataValidation type="list" allowBlank="1" showInputMessage="1" showErrorMessage="1" sqref="N12:P12">
      <formula1>Morale</formula1>
    </dataValidation>
    <dataValidation type="list" allowBlank="1" showInputMessage="1" showErrorMessage="1" sqref="F4:J4">
      <formula1>ArmySize</formula1>
    </dataValidation>
    <dataValidation type="list" allowBlank="1" showInputMessage="1" showErrorMessage="1" sqref="P4 H32">
      <formula1>YN</formula1>
    </dataValidation>
  </dataValidation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O1:O46"/>
  <sheetViews>
    <sheetView topLeftCell="A10" zoomScale="85" zoomScaleNormal="85" workbookViewId="0">
      <selection activeCell="H48" sqref="H48"/>
    </sheetView>
  </sheetViews>
  <sheetFormatPr defaultRowHeight="15" x14ac:dyDescent="0.25"/>
  <sheetData>
    <row r="1" spans="15:15" ht="31.5" customHeight="1" x14ac:dyDescent="0.25"/>
    <row r="2" spans="15:15" x14ac:dyDescent="0.25">
      <c r="O2" s="1"/>
    </row>
    <row r="3" spans="15:15" x14ac:dyDescent="0.25">
      <c r="O3" s="1"/>
    </row>
    <row r="4" spans="15:15" x14ac:dyDescent="0.25">
      <c r="O4" s="1"/>
    </row>
    <row r="5" spans="15:15" x14ac:dyDescent="0.25">
      <c r="O5" s="1"/>
    </row>
    <row r="6" spans="15:15" x14ac:dyDescent="0.25">
      <c r="O6" s="1"/>
    </row>
    <row r="7" spans="15:15" x14ac:dyDescent="0.25">
      <c r="O7" s="1"/>
    </row>
    <row r="8" spans="15:15" x14ac:dyDescent="0.25">
      <c r="O8" s="1"/>
    </row>
    <row r="9" spans="15:15" x14ac:dyDescent="0.25">
      <c r="O9" s="1"/>
    </row>
    <row r="10" spans="15:15" x14ac:dyDescent="0.25">
      <c r="O10" s="1"/>
    </row>
    <row r="11" spans="15:15" x14ac:dyDescent="0.25">
      <c r="O11" s="1"/>
    </row>
    <row r="12" spans="15:15" x14ac:dyDescent="0.25">
      <c r="O12" s="1"/>
    </row>
    <row r="13" spans="15:15" x14ac:dyDescent="0.25">
      <c r="O13" s="1"/>
    </row>
    <row r="14" spans="15:15" x14ac:dyDescent="0.25">
      <c r="O14" s="1"/>
    </row>
    <row r="15" spans="15:15" x14ac:dyDescent="0.25">
      <c r="O15" s="1"/>
    </row>
    <row r="16" spans="15:15" x14ac:dyDescent="0.25">
      <c r="O16" s="1"/>
    </row>
    <row r="17" spans="15:15" x14ac:dyDescent="0.25">
      <c r="O17" s="1"/>
    </row>
    <row r="18" spans="15:15" x14ac:dyDescent="0.25">
      <c r="O18" s="1"/>
    </row>
    <row r="19" spans="15:15" x14ac:dyDescent="0.25">
      <c r="O19" s="1"/>
    </row>
    <row r="20" spans="15:15" x14ac:dyDescent="0.25">
      <c r="O20" s="1"/>
    </row>
    <row r="21" spans="15:15" x14ac:dyDescent="0.25">
      <c r="O21" s="1"/>
    </row>
    <row r="22" spans="15:15" x14ac:dyDescent="0.25">
      <c r="O22" s="1"/>
    </row>
    <row r="23" spans="15:15" x14ac:dyDescent="0.25">
      <c r="O23" s="1"/>
    </row>
    <row r="24" spans="15:15" x14ac:dyDescent="0.25">
      <c r="O24" s="1"/>
    </row>
    <row r="25" spans="15:15" x14ac:dyDescent="0.25">
      <c r="O25" s="1"/>
    </row>
    <row r="26" spans="15:15" x14ac:dyDescent="0.25">
      <c r="O26" s="1"/>
    </row>
    <row r="27" spans="15:15" x14ac:dyDescent="0.25">
      <c r="O27" s="1"/>
    </row>
    <row r="28" spans="15:15" x14ac:dyDescent="0.25">
      <c r="O28" s="1"/>
    </row>
    <row r="29" spans="15:15" x14ac:dyDescent="0.25">
      <c r="O29" s="1"/>
    </row>
    <row r="30" spans="15:15" x14ac:dyDescent="0.25">
      <c r="O30" s="1"/>
    </row>
    <row r="31" spans="15:15" x14ac:dyDescent="0.25">
      <c r="O31" s="1"/>
    </row>
    <row r="32" spans="15:15" x14ac:dyDescent="0.25">
      <c r="O32" s="1"/>
    </row>
    <row r="33" spans="15:15" x14ac:dyDescent="0.25">
      <c r="O33" s="1"/>
    </row>
    <row r="34" spans="15:15" x14ac:dyDescent="0.25">
      <c r="O34" s="1"/>
    </row>
    <row r="35" spans="15:15" x14ac:dyDescent="0.25">
      <c r="O35" s="1"/>
    </row>
    <row r="36" spans="15:15" x14ac:dyDescent="0.25">
      <c r="O36" s="1"/>
    </row>
    <row r="37" spans="15:15" x14ac:dyDescent="0.25">
      <c r="O37" s="1"/>
    </row>
    <row r="38" spans="15:15" x14ac:dyDescent="0.25">
      <c r="O38" s="1"/>
    </row>
    <row r="39" spans="15:15" x14ac:dyDescent="0.25">
      <c r="O39" s="1"/>
    </row>
    <row r="40" spans="15:15" x14ac:dyDescent="0.25">
      <c r="O40" s="1"/>
    </row>
    <row r="41" spans="15:15" x14ac:dyDescent="0.25">
      <c r="O41" s="1"/>
    </row>
    <row r="42" spans="15:15" x14ac:dyDescent="0.25">
      <c r="O42" s="1"/>
    </row>
    <row r="43" spans="15:15" x14ac:dyDescent="0.25">
      <c r="O43" s="1"/>
    </row>
    <row r="44" spans="15:15" x14ac:dyDescent="0.25">
      <c r="O44" s="1"/>
    </row>
    <row r="45" spans="15:15" x14ac:dyDescent="0.25">
      <c r="O45" s="1"/>
    </row>
    <row r="46" spans="15:15" ht="30" customHeight="1" x14ac:dyDescent="0.25"/>
  </sheetData>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106"/>
  <sheetViews>
    <sheetView workbookViewId="0"/>
  </sheetViews>
  <sheetFormatPr defaultRowHeight="15" x14ac:dyDescent="0.25"/>
  <cols>
    <col min="1" max="1" width="9.140625" style="61"/>
    <col min="2" max="2" width="14.42578125" style="61" customWidth="1"/>
    <col min="3" max="3" width="23.7109375" style="61" customWidth="1"/>
    <col min="4" max="5" width="16.28515625" style="61" customWidth="1"/>
    <col min="6" max="16384" width="9.140625" style="61"/>
  </cols>
  <sheetData>
    <row r="1" spans="2:19" ht="15.75" thickBot="1" x14ac:dyDescent="0.3"/>
    <row r="2" spans="2:19" ht="15.75" thickBot="1" x14ac:dyDescent="0.3">
      <c r="B2" s="526" t="s">
        <v>425</v>
      </c>
      <c r="C2" s="527" t="s">
        <v>1419</v>
      </c>
      <c r="D2" s="527" t="s">
        <v>1279</v>
      </c>
      <c r="E2" s="527" t="s">
        <v>1420</v>
      </c>
      <c r="F2" s="527" t="s">
        <v>1276</v>
      </c>
      <c r="G2" s="527" t="s">
        <v>1277</v>
      </c>
      <c r="H2" s="528" t="s">
        <v>1297</v>
      </c>
    </row>
    <row r="3" spans="2:19" x14ac:dyDescent="0.25">
      <c r="B3" s="529" t="s">
        <v>1278</v>
      </c>
      <c r="C3" s="489" t="s">
        <v>1428</v>
      </c>
      <c r="D3" s="489" t="s">
        <v>1280</v>
      </c>
      <c r="E3" s="489" t="s">
        <v>1421</v>
      </c>
      <c r="F3" s="489">
        <v>1</v>
      </c>
      <c r="G3" s="489">
        <v>10</v>
      </c>
      <c r="H3" s="530"/>
      <c r="K3" s="529" t="s">
        <v>1278</v>
      </c>
      <c r="L3" s="489" t="s">
        <v>1428</v>
      </c>
      <c r="M3" s="489" t="s">
        <v>1280</v>
      </c>
      <c r="N3" s="489" t="s">
        <v>1421</v>
      </c>
      <c r="P3" s="531" t="s">
        <v>1287</v>
      </c>
      <c r="Q3" s="532" t="s">
        <v>1429</v>
      </c>
      <c r="R3" s="532" t="s">
        <v>1280</v>
      </c>
      <c r="S3" s="532" t="s">
        <v>1422</v>
      </c>
    </row>
    <row r="4" spans="2:19" x14ac:dyDescent="0.25">
      <c r="B4" s="531" t="s">
        <v>1287</v>
      </c>
      <c r="C4" s="532" t="s">
        <v>1429</v>
      </c>
      <c r="D4" s="532" t="s">
        <v>1280</v>
      </c>
      <c r="E4" s="532" t="s">
        <v>1422</v>
      </c>
      <c r="F4" s="532">
        <v>1</v>
      </c>
      <c r="G4" s="532">
        <v>10</v>
      </c>
      <c r="H4" s="533"/>
      <c r="K4" s="531" t="s">
        <v>1281</v>
      </c>
      <c r="L4" s="532" t="s">
        <v>1431</v>
      </c>
      <c r="M4" s="532" t="s">
        <v>1282</v>
      </c>
      <c r="N4" s="532" t="s">
        <v>1421</v>
      </c>
      <c r="P4" s="531" t="s">
        <v>1281</v>
      </c>
      <c r="Q4" s="532" t="s">
        <v>1430</v>
      </c>
      <c r="R4" s="532" t="s">
        <v>1282</v>
      </c>
      <c r="S4" s="532" t="s">
        <v>1422</v>
      </c>
    </row>
    <row r="5" spans="2:19" x14ac:dyDescent="0.25">
      <c r="B5" s="531" t="s">
        <v>1281</v>
      </c>
      <c r="C5" s="532" t="s">
        <v>1431</v>
      </c>
      <c r="D5" s="532" t="s">
        <v>1282</v>
      </c>
      <c r="E5" s="532" t="s">
        <v>1421</v>
      </c>
      <c r="F5" s="532">
        <v>1</v>
      </c>
      <c r="G5" s="532">
        <v>10</v>
      </c>
      <c r="H5" s="533"/>
      <c r="K5" s="531" t="s">
        <v>1283</v>
      </c>
      <c r="L5" s="532" t="s">
        <v>1424</v>
      </c>
      <c r="M5" s="532" t="s">
        <v>1284</v>
      </c>
      <c r="N5" s="532" t="s">
        <v>1423</v>
      </c>
      <c r="P5" s="531" t="s">
        <v>1283</v>
      </c>
      <c r="Q5" s="532" t="s">
        <v>1424</v>
      </c>
      <c r="R5" s="532" t="s">
        <v>1284</v>
      </c>
      <c r="S5" s="532" t="s">
        <v>1423</v>
      </c>
    </row>
    <row r="6" spans="2:19" x14ac:dyDescent="0.25">
      <c r="B6" s="531" t="s">
        <v>1281</v>
      </c>
      <c r="C6" s="532" t="s">
        <v>1430</v>
      </c>
      <c r="D6" s="532" t="s">
        <v>1282</v>
      </c>
      <c r="E6" s="532" t="s">
        <v>1422</v>
      </c>
      <c r="F6" s="532">
        <v>1</v>
      </c>
      <c r="G6" s="532">
        <v>10</v>
      </c>
      <c r="H6" s="533"/>
      <c r="K6" s="531" t="s">
        <v>1285</v>
      </c>
      <c r="L6" s="532" t="s">
        <v>1433</v>
      </c>
      <c r="M6" s="532" t="s">
        <v>1286</v>
      </c>
      <c r="N6" s="532" t="s">
        <v>1421</v>
      </c>
      <c r="P6" s="531" t="s">
        <v>1285</v>
      </c>
      <c r="Q6" s="532" t="s">
        <v>1432</v>
      </c>
      <c r="R6" s="532" t="s">
        <v>1286</v>
      </c>
      <c r="S6" s="532" t="s">
        <v>1422</v>
      </c>
    </row>
    <row r="7" spans="2:19" x14ac:dyDescent="0.25">
      <c r="B7" s="531" t="s">
        <v>1283</v>
      </c>
      <c r="C7" s="532" t="s">
        <v>1424</v>
      </c>
      <c r="D7" s="532" t="s">
        <v>1284</v>
      </c>
      <c r="E7" s="532" t="s">
        <v>1423</v>
      </c>
      <c r="F7" s="532">
        <v>1</v>
      </c>
      <c r="G7" s="532">
        <v>10</v>
      </c>
      <c r="H7" s="533"/>
      <c r="K7" s="531" t="s">
        <v>1288</v>
      </c>
      <c r="L7" s="532" t="s">
        <v>1425</v>
      </c>
      <c r="M7" s="532" t="s">
        <v>1289</v>
      </c>
      <c r="N7" s="532" t="s">
        <v>1421</v>
      </c>
      <c r="P7" s="531" t="s">
        <v>1290</v>
      </c>
      <c r="Q7" s="532" t="s">
        <v>1426</v>
      </c>
      <c r="R7" s="532" t="s">
        <v>1289</v>
      </c>
      <c r="S7" s="532" t="s">
        <v>1422</v>
      </c>
    </row>
    <row r="8" spans="2:19" x14ac:dyDescent="0.25">
      <c r="B8" s="531" t="s">
        <v>1285</v>
      </c>
      <c r="C8" s="532" t="s">
        <v>1433</v>
      </c>
      <c r="D8" s="532" t="s">
        <v>1286</v>
      </c>
      <c r="E8" s="532" t="s">
        <v>1421</v>
      </c>
      <c r="F8" s="532">
        <v>1</v>
      </c>
      <c r="G8" s="532">
        <v>10</v>
      </c>
      <c r="H8" s="533"/>
      <c r="K8" s="531" t="s">
        <v>1291</v>
      </c>
      <c r="L8" s="532" t="s">
        <v>1427</v>
      </c>
      <c r="M8" s="532" t="s">
        <v>1292</v>
      </c>
      <c r="N8" s="532" t="s">
        <v>1423</v>
      </c>
      <c r="P8" s="531" t="s">
        <v>1291</v>
      </c>
      <c r="Q8" s="532" t="s">
        <v>1427</v>
      </c>
      <c r="R8" s="532" t="s">
        <v>1292</v>
      </c>
      <c r="S8" s="532" t="s">
        <v>1423</v>
      </c>
    </row>
    <row r="9" spans="2:19" x14ac:dyDescent="0.25">
      <c r="B9" s="531" t="s">
        <v>1285</v>
      </c>
      <c r="C9" s="532" t="s">
        <v>1432</v>
      </c>
      <c r="D9" s="532" t="s">
        <v>1286</v>
      </c>
      <c r="E9" s="532" t="s">
        <v>1422</v>
      </c>
      <c r="F9" s="532">
        <v>1</v>
      </c>
      <c r="G9" s="532">
        <v>10</v>
      </c>
      <c r="H9" s="533"/>
      <c r="K9" s="531" t="s">
        <v>1293</v>
      </c>
      <c r="L9" s="534" t="s">
        <v>1435</v>
      </c>
      <c r="M9" s="532" t="s">
        <v>1294</v>
      </c>
      <c r="N9" s="532" t="s">
        <v>1423</v>
      </c>
      <c r="P9" s="531" t="s">
        <v>1293</v>
      </c>
      <c r="Q9" s="534" t="s">
        <v>1435</v>
      </c>
      <c r="R9" s="532" t="s">
        <v>1294</v>
      </c>
      <c r="S9" s="532" t="s">
        <v>1423</v>
      </c>
    </row>
    <row r="10" spans="2:19" x14ac:dyDescent="0.25">
      <c r="B10" s="531" t="s">
        <v>1288</v>
      </c>
      <c r="C10" s="532" t="s">
        <v>1425</v>
      </c>
      <c r="D10" s="532" t="s">
        <v>1289</v>
      </c>
      <c r="E10" s="532" t="s">
        <v>1421</v>
      </c>
      <c r="F10" s="532">
        <v>1</v>
      </c>
      <c r="G10" s="532">
        <v>10</v>
      </c>
      <c r="H10" s="533"/>
      <c r="K10" s="531" t="s">
        <v>1295</v>
      </c>
      <c r="L10" s="532" t="s">
        <v>1434</v>
      </c>
      <c r="M10" s="532" t="s">
        <v>1296</v>
      </c>
      <c r="N10" s="532" t="s">
        <v>1423</v>
      </c>
      <c r="P10" s="531" t="s">
        <v>1295</v>
      </c>
      <c r="Q10" s="532" t="s">
        <v>1434</v>
      </c>
      <c r="R10" s="532" t="s">
        <v>1296</v>
      </c>
      <c r="S10" s="532" t="s">
        <v>1423</v>
      </c>
    </row>
    <row r="11" spans="2:19" x14ac:dyDescent="0.25">
      <c r="B11" s="531" t="s">
        <v>1290</v>
      </c>
      <c r="C11" s="532" t="s">
        <v>1426</v>
      </c>
      <c r="D11" s="532" t="s">
        <v>1289</v>
      </c>
      <c r="E11" s="532" t="s">
        <v>1422</v>
      </c>
      <c r="F11" s="532">
        <v>1</v>
      </c>
      <c r="G11" s="532">
        <v>10</v>
      </c>
      <c r="H11" s="533"/>
      <c r="K11" s="531" t="s">
        <v>1298</v>
      </c>
      <c r="L11" s="532" t="s">
        <v>1436</v>
      </c>
      <c r="M11" s="532" t="s">
        <v>1299</v>
      </c>
      <c r="N11" s="532" t="s">
        <v>1421</v>
      </c>
      <c r="P11" s="531" t="s">
        <v>1300</v>
      </c>
      <c r="Q11" s="532" t="s">
        <v>1437</v>
      </c>
      <c r="R11" s="532" t="s">
        <v>1299</v>
      </c>
      <c r="S11" s="532" t="s">
        <v>1422</v>
      </c>
    </row>
    <row r="12" spans="2:19" x14ac:dyDescent="0.25">
      <c r="B12" s="531" t="s">
        <v>1291</v>
      </c>
      <c r="C12" s="532" t="s">
        <v>1427</v>
      </c>
      <c r="D12" s="532" t="s">
        <v>1292</v>
      </c>
      <c r="E12" s="532" t="s">
        <v>1423</v>
      </c>
      <c r="F12" s="532">
        <v>1</v>
      </c>
      <c r="G12" s="532">
        <v>10</v>
      </c>
      <c r="H12" s="533"/>
      <c r="K12" s="531" t="s">
        <v>1301</v>
      </c>
      <c r="L12" s="532" t="s">
        <v>1438</v>
      </c>
      <c r="M12" s="532" t="s">
        <v>1302</v>
      </c>
      <c r="N12" s="532" t="s">
        <v>1423</v>
      </c>
      <c r="P12" s="531" t="s">
        <v>1301</v>
      </c>
      <c r="Q12" s="532" t="s">
        <v>1438</v>
      </c>
      <c r="R12" s="532" t="s">
        <v>1302</v>
      </c>
      <c r="S12" s="532" t="s">
        <v>1423</v>
      </c>
    </row>
    <row r="13" spans="2:19" x14ac:dyDescent="0.25">
      <c r="B13" s="531" t="s">
        <v>1293</v>
      </c>
      <c r="C13" s="534" t="s">
        <v>1435</v>
      </c>
      <c r="D13" s="532" t="s">
        <v>1294</v>
      </c>
      <c r="E13" s="532" t="s">
        <v>1423</v>
      </c>
      <c r="F13" s="532">
        <v>1</v>
      </c>
      <c r="G13" s="532">
        <v>10</v>
      </c>
      <c r="H13" s="533"/>
      <c r="K13" s="531" t="s">
        <v>1303</v>
      </c>
      <c r="L13" s="532" t="s">
        <v>1425</v>
      </c>
      <c r="M13" s="532" t="s">
        <v>1304</v>
      </c>
      <c r="N13" s="532" t="s">
        <v>1423</v>
      </c>
      <c r="P13" s="531" t="s">
        <v>1303</v>
      </c>
      <c r="Q13" s="532" t="s">
        <v>1425</v>
      </c>
      <c r="R13" s="532" t="s">
        <v>1304</v>
      </c>
      <c r="S13" s="532" t="s">
        <v>1423</v>
      </c>
    </row>
    <row r="14" spans="2:19" x14ac:dyDescent="0.25">
      <c r="B14" s="531" t="s">
        <v>1295</v>
      </c>
      <c r="C14" s="532" t="s">
        <v>1434</v>
      </c>
      <c r="D14" s="532" t="s">
        <v>1296</v>
      </c>
      <c r="E14" s="532" t="s">
        <v>1423</v>
      </c>
      <c r="F14" s="532">
        <v>1</v>
      </c>
      <c r="G14" s="532">
        <v>10</v>
      </c>
      <c r="H14" s="533"/>
      <c r="K14" s="531" t="s">
        <v>1305</v>
      </c>
      <c r="L14" s="532" t="s">
        <v>1439</v>
      </c>
      <c r="M14" s="532" t="s">
        <v>1440</v>
      </c>
      <c r="N14" s="532" t="s">
        <v>1423</v>
      </c>
      <c r="P14" s="531" t="s">
        <v>1305</v>
      </c>
      <c r="Q14" s="532" t="s">
        <v>1439</v>
      </c>
      <c r="R14" s="532" t="s">
        <v>1440</v>
      </c>
      <c r="S14" s="532" t="s">
        <v>1423</v>
      </c>
    </row>
    <row r="15" spans="2:19" x14ac:dyDescent="0.25">
      <c r="B15" s="531" t="s">
        <v>1298</v>
      </c>
      <c r="C15" s="532" t="s">
        <v>1436</v>
      </c>
      <c r="D15" s="532" t="s">
        <v>1299</v>
      </c>
      <c r="E15" s="532" t="s">
        <v>1421</v>
      </c>
      <c r="F15" s="532">
        <v>11</v>
      </c>
      <c r="G15" s="532">
        <v>25</v>
      </c>
      <c r="H15" s="533"/>
      <c r="K15" s="531" t="s">
        <v>1306</v>
      </c>
      <c r="L15" s="532" t="s">
        <v>1436</v>
      </c>
      <c r="M15" s="532" t="s">
        <v>1307</v>
      </c>
      <c r="N15" s="532" t="s">
        <v>1421</v>
      </c>
      <c r="P15" s="531" t="s">
        <v>1308</v>
      </c>
      <c r="Q15" s="532" t="s">
        <v>1437</v>
      </c>
      <c r="R15" s="532" t="s">
        <v>1307</v>
      </c>
      <c r="S15" s="532" t="s">
        <v>1422</v>
      </c>
    </row>
    <row r="16" spans="2:19" x14ac:dyDescent="0.25">
      <c r="B16" s="531" t="s">
        <v>1300</v>
      </c>
      <c r="C16" s="532" t="s">
        <v>1437</v>
      </c>
      <c r="D16" s="532" t="s">
        <v>1299</v>
      </c>
      <c r="E16" s="532" t="s">
        <v>1422</v>
      </c>
      <c r="F16" s="532">
        <v>11</v>
      </c>
      <c r="G16" s="532">
        <v>25</v>
      </c>
      <c r="H16" s="533"/>
      <c r="K16" s="531" t="s">
        <v>1309</v>
      </c>
      <c r="L16" s="534" t="s">
        <v>1441</v>
      </c>
      <c r="M16" s="532" t="s">
        <v>1310</v>
      </c>
      <c r="N16" s="532" t="s">
        <v>1423</v>
      </c>
      <c r="P16" s="531" t="s">
        <v>1309</v>
      </c>
      <c r="Q16" s="534" t="s">
        <v>1441</v>
      </c>
      <c r="R16" s="532" t="s">
        <v>1310</v>
      </c>
      <c r="S16" s="532" t="s">
        <v>1423</v>
      </c>
    </row>
    <row r="17" spans="2:19" x14ac:dyDescent="0.25">
      <c r="B17" s="531" t="s">
        <v>1301</v>
      </c>
      <c r="C17" s="532" t="s">
        <v>1438</v>
      </c>
      <c r="D17" s="532" t="s">
        <v>1302</v>
      </c>
      <c r="E17" s="532" t="s">
        <v>1423</v>
      </c>
      <c r="F17" s="532">
        <v>11</v>
      </c>
      <c r="G17" s="532">
        <v>25</v>
      </c>
      <c r="H17" s="533"/>
      <c r="K17" s="531" t="s">
        <v>1311</v>
      </c>
      <c r="L17" s="532" t="s">
        <v>1442</v>
      </c>
      <c r="M17" s="532" t="s">
        <v>1312</v>
      </c>
      <c r="N17" s="532" t="s">
        <v>1423</v>
      </c>
      <c r="P17" s="531" t="s">
        <v>1311</v>
      </c>
      <c r="Q17" s="532" t="s">
        <v>1442</v>
      </c>
      <c r="R17" s="532" t="s">
        <v>1312</v>
      </c>
      <c r="S17" s="532" t="s">
        <v>1423</v>
      </c>
    </row>
    <row r="18" spans="2:19" x14ac:dyDescent="0.25">
      <c r="B18" s="531" t="s">
        <v>1303</v>
      </c>
      <c r="C18" s="532" t="s">
        <v>1425</v>
      </c>
      <c r="D18" s="532" t="s">
        <v>1304</v>
      </c>
      <c r="E18" s="532" t="s">
        <v>1423</v>
      </c>
      <c r="F18" s="532">
        <v>11</v>
      </c>
      <c r="G18" s="532">
        <v>25</v>
      </c>
      <c r="H18" s="533"/>
      <c r="K18" s="531" t="s">
        <v>1313</v>
      </c>
      <c r="L18" s="532" t="s">
        <v>1436</v>
      </c>
      <c r="M18" s="532" t="s">
        <v>1314</v>
      </c>
      <c r="N18" s="532" t="s">
        <v>1421</v>
      </c>
      <c r="P18" s="531" t="s">
        <v>1315</v>
      </c>
      <c r="Q18" s="532" t="s">
        <v>1437</v>
      </c>
      <c r="R18" s="532" t="s">
        <v>1314</v>
      </c>
      <c r="S18" s="532" t="s">
        <v>1422</v>
      </c>
    </row>
    <row r="19" spans="2:19" x14ac:dyDescent="0.25">
      <c r="B19" s="531" t="s">
        <v>1305</v>
      </c>
      <c r="C19" s="532" t="s">
        <v>1439</v>
      </c>
      <c r="D19" s="532" t="s">
        <v>1440</v>
      </c>
      <c r="E19" s="532" t="s">
        <v>1423</v>
      </c>
      <c r="F19" s="532">
        <v>11</v>
      </c>
      <c r="G19" s="532">
        <v>25</v>
      </c>
      <c r="H19" s="533"/>
      <c r="K19" s="531" t="s">
        <v>1316</v>
      </c>
      <c r="L19" s="532" t="s">
        <v>1443</v>
      </c>
      <c r="M19" s="532" t="s">
        <v>1317</v>
      </c>
      <c r="N19" s="532" t="s">
        <v>1421</v>
      </c>
      <c r="P19" s="531" t="s">
        <v>1316</v>
      </c>
      <c r="Q19" s="532" t="s">
        <v>1444</v>
      </c>
      <c r="R19" s="532" t="s">
        <v>1317</v>
      </c>
      <c r="S19" s="532" t="s">
        <v>1422</v>
      </c>
    </row>
    <row r="20" spans="2:19" x14ac:dyDescent="0.25">
      <c r="B20" s="531" t="s">
        <v>1306</v>
      </c>
      <c r="C20" s="532" t="s">
        <v>1436</v>
      </c>
      <c r="D20" s="532" t="s">
        <v>1307</v>
      </c>
      <c r="E20" s="532" t="s">
        <v>1421</v>
      </c>
      <c r="F20" s="532">
        <v>11</v>
      </c>
      <c r="G20" s="532">
        <v>25</v>
      </c>
      <c r="H20" s="533"/>
      <c r="K20" s="531" t="s">
        <v>1318</v>
      </c>
      <c r="L20" s="532" t="s">
        <v>1443</v>
      </c>
      <c r="M20" s="532" t="s">
        <v>1304</v>
      </c>
      <c r="N20" s="532" t="s">
        <v>1421</v>
      </c>
      <c r="P20" s="531" t="s">
        <v>1319</v>
      </c>
      <c r="Q20" s="532" t="s">
        <v>1444</v>
      </c>
      <c r="R20" s="532" t="s">
        <v>1304</v>
      </c>
      <c r="S20" s="532" t="s">
        <v>1422</v>
      </c>
    </row>
    <row r="21" spans="2:19" x14ac:dyDescent="0.25">
      <c r="B21" s="531" t="s">
        <v>1308</v>
      </c>
      <c r="C21" s="532" t="s">
        <v>1437</v>
      </c>
      <c r="D21" s="532" t="s">
        <v>1307</v>
      </c>
      <c r="E21" s="532" t="s">
        <v>1422</v>
      </c>
      <c r="F21" s="532">
        <v>11</v>
      </c>
      <c r="G21" s="532">
        <v>25</v>
      </c>
      <c r="H21" s="533"/>
      <c r="K21" s="531" t="s">
        <v>1320</v>
      </c>
      <c r="L21" s="534" t="s">
        <v>1445</v>
      </c>
      <c r="M21" s="532" t="s">
        <v>1321</v>
      </c>
      <c r="N21" s="532" t="s">
        <v>1423</v>
      </c>
      <c r="P21" s="531" t="s">
        <v>1320</v>
      </c>
      <c r="Q21" s="534" t="s">
        <v>1445</v>
      </c>
      <c r="R21" s="532" t="s">
        <v>1321</v>
      </c>
      <c r="S21" s="532" t="s">
        <v>1423</v>
      </c>
    </row>
    <row r="22" spans="2:19" x14ac:dyDescent="0.25">
      <c r="B22" s="531" t="s">
        <v>1309</v>
      </c>
      <c r="C22" s="534" t="s">
        <v>1441</v>
      </c>
      <c r="D22" s="532" t="s">
        <v>1310</v>
      </c>
      <c r="E22" s="532" t="s">
        <v>1423</v>
      </c>
      <c r="F22" s="532">
        <v>11</v>
      </c>
      <c r="G22" s="532">
        <v>25</v>
      </c>
      <c r="H22" s="533"/>
      <c r="K22" s="531" t="s">
        <v>1322</v>
      </c>
      <c r="L22" s="532" t="s">
        <v>1446</v>
      </c>
      <c r="M22" s="532" t="s">
        <v>1323</v>
      </c>
      <c r="N22" s="532" t="s">
        <v>1423</v>
      </c>
      <c r="P22" s="531" t="s">
        <v>1322</v>
      </c>
      <c r="Q22" s="532" t="s">
        <v>1446</v>
      </c>
      <c r="R22" s="532" t="s">
        <v>1323</v>
      </c>
      <c r="S22" s="532" t="s">
        <v>1423</v>
      </c>
    </row>
    <row r="23" spans="2:19" x14ac:dyDescent="0.25">
      <c r="B23" s="531" t="s">
        <v>1311</v>
      </c>
      <c r="C23" s="532" t="s">
        <v>1442</v>
      </c>
      <c r="D23" s="532" t="s">
        <v>1312</v>
      </c>
      <c r="E23" s="532" t="s">
        <v>1423</v>
      </c>
      <c r="F23" s="532">
        <v>11</v>
      </c>
      <c r="G23" s="532">
        <v>25</v>
      </c>
      <c r="H23" s="533"/>
      <c r="K23" s="531" t="s">
        <v>1324</v>
      </c>
      <c r="L23" s="532" t="s">
        <v>1447</v>
      </c>
      <c r="M23" s="532" t="s">
        <v>1325</v>
      </c>
      <c r="N23" s="532" t="s">
        <v>1421</v>
      </c>
      <c r="P23" s="531" t="s">
        <v>1324</v>
      </c>
      <c r="Q23" s="532" t="s">
        <v>1448</v>
      </c>
      <c r="R23" s="532" t="s">
        <v>1325</v>
      </c>
      <c r="S23" s="532" t="s">
        <v>1422</v>
      </c>
    </row>
    <row r="24" spans="2:19" x14ac:dyDescent="0.25">
      <c r="B24" s="531" t="s">
        <v>1313</v>
      </c>
      <c r="C24" s="532" t="s">
        <v>1436</v>
      </c>
      <c r="D24" s="532" t="s">
        <v>1314</v>
      </c>
      <c r="E24" s="532" t="s">
        <v>1421</v>
      </c>
      <c r="F24" s="532">
        <v>11</v>
      </c>
      <c r="G24" s="532">
        <v>25</v>
      </c>
      <c r="H24" s="533"/>
      <c r="K24" s="531" t="s">
        <v>1326</v>
      </c>
      <c r="L24" s="532" t="s">
        <v>1436</v>
      </c>
      <c r="M24" s="532" t="s">
        <v>1327</v>
      </c>
      <c r="N24" s="532" t="s">
        <v>1421</v>
      </c>
      <c r="P24" s="531" t="s">
        <v>1326</v>
      </c>
      <c r="Q24" s="532" t="s">
        <v>1437</v>
      </c>
      <c r="R24" s="532" t="s">
        <v>1327</v>
      </c>
      <c r="S24" s="532" t="s">
        <v>1422</v>
      </c>
    </row>
    <row r="25" spans="2:19" x14ac:dyDescent="0.25">
      <c r="B25" s="531" t="s">
        <v>1315</v>
      </c>
      <c r="C25" s="532" t="s">
        <v>1437</v>
      </c>
      <c r="D25" s="532" t="s">
        <v>1314</v>
      </c>
      <c r="E25" s="532" t="s">
        <v>1422</v>
      </c>
      <c r="F25" s="532">
        <v>11</v>
      </c>
      <c r="G25" s="532">
        <v>25</v>
      </c>
      <c r="H25" s="533"/>
      <c r="K25" s="531" t="s">
        <v>1328</v>
      </c>
      <c r="L25" s="532" t="s">
        <v>1449</v>
      </c>
      <c r="M25" s="532" t="s">
        <v>1329</v>
      </c>
      <c r="N25" s="532" t="s">
        <v>1421</v>
      </c>
      <c r="P25" s="531" t="s">
        <v>1330</v>
      </c>
      <c r="Q25" s="532" t="s">
        <v>1450</v>
      </c>
      <c r="R25" s="532" t="s">
        <v>1329</v>
      </c>
      <c r="S25" s="532" t="s">
        <v>1422</v>
      </c>
    </row>
    <row r="26" spans="2:19" x14ac:dyDescent="0.25">
      <c r="B26" s="531" t="s">
        <v>1316</v>
      </c>
      <c r="C26" s="532" t="s">
        <v>1443</v>
      </c>
      <c r="D26" s="532" t="s">
        <v>1317</v>
      </c>
      <c r="E26" s="532" t="s">
        <v>1421</v>
      </c>
      <c r="F26" s="532">
        <v>26</v>
      </c>
      <c r="G26" s="532">
        <v>50</v>
      </c>
      <c r="H26" s="533"/>
      <c r="K26" s="531" t="s">
        <v>1331</v>
      </c>
      <c r="L26" s="532" t="s">
        <v>1451</v>
      </c>
      <c r="M26" s="532" t="s">
        <v>1332</v>
      </c>
      <c r="N26" s="532" t="s">
        <v>1423</v>
      </c>
      <c r="P26" s="531" t="s">
        <v>1331</v>
      </c>
      <c r="Q26" s="532" t="s">
        <v>1451</v>
      </c>
      <c r="R26" s="532" t="s">
        <v>1332</v>
      </c>
      <c r="S26" s="532" t="s">
        <v>1423</v>
      </c>
    </row>
    <row r="27" spans="2:19" x14ac:dyDescent="0.25">
      <c r="B27" s="531" t="s">
        <v>1316</v>
      </c>
      <c r="C27" s="532" t="s">
        <v>1444</v>
      </c>
      <c r="D27" s="532" t="s">
        <v>1317</v>
      </c>
      <c r="E27" s="532" t="s">
        <v>1422</v>
      </c>
      <c r="F27" s="532">
        <v>26</v>
      </c>
      <c r="G27" s="532">
        <v>50</v>
      </c>
      <c r="H27" s="533"/>
      <c r="K27" s="531" t="s">
        <v>1333</v>
      </c>
      <c r="L27" s="532" t="s">
        <v>1451</v>
      </c>
      <c r="M27" s="532" t="s">
        <v>1332</v>
      </c>
      <c r="N27" s="532" t="s">
        <v>1423</v>
      </c>
      <c r="P27" s="531" t="s">
        <v>1333</v>
      </c>
      <c r="Q27" s="532" t="s">
        <v>1451</v>
      </c>
      <c r="R27" s="532" t="s">
        <v>1332</v>
      </c>
      <c r="S27" s="532" t="s">
        <v>1423</v>
      </c>
    </row>
    <row r="28" spans="2:19" x14ac:dyDescent="0.25">
      <c r="B28" s="531" t="s">
        <v>1318</v>
      </c>
      <c r="C28" s="532" t="s">
        <v>1443</v>
      </c>
      <c r="D28" s="532" t="s">
        <v>1304</v>
      </c>
      <c r="E28" s="532" t="s">
        <v>1421</v>
      </c>
      <c r="F28" s="532">
        <v>26</v>
      </c>
      <c r="G28" s="532">
        <v>50</v>
      </c>
      <c r="H28" s="533"/>
      <c r="K28" s="531" t="s">
        <v>1334</v>
      </c>
      <c r="L28" s="532" t="s">
        <v>1452</v>
      </c>
      <c r="M28" s="532" t="s">
        <v>1335</v>
      </c>
      <c r="N28" s="532" t="s">
        <v>1421</v>
      </c>
      <c r="P28" s="531" t="s">
        <v>1336</v>
      </c>
      <c r="Q28" s="532" t="s">
        <v>1453</v>
      </c>
      <c r="R28" s="532" t="s">
        <v>1335</v>
      </c>
      <c r="S28" s="532" t="s">
        <v>1422</v>
      </c>
    </row>
    <row r="29" spans="2:19" x14ac:dyDescent="0.25">
      <c r="B29" s="531" t="s">
        <v>1319</v>
      </c>
      <c r="C29" s="532" t="s">
        <v>1444</v>
      </c>
      <c r="D29" s="532" t="s">
        <v>1304</v>
      </c>
      <c r="E29" s="532" t="s">
        <v>1422</v>
      </c>
      <c r="F29" s="532">
        <v>26</v>
      </c>
      <c r="G29" s="532">
        <v>50</v>
      </c>
      <c r="H29" s="533"/>
      <c r="K29" s="531" t="s">
        <v>1337</v>
      </c>
      <c r="L29" s="532" t="s">
        <v>1454</v>
      </c>
      <c r="M29" s="532" t="s">
        <v>1338</v>
      </c>
      <c r="N29" s="532" t="s">
        <v>1421</v>
      </c>
      <c r="P29" s="531" t="s">
        <v>1339</v>
      </c>
      <c r="Q29" s="532" t="s">
        <v>1455</v>
      </c>
      <c r="R29" s="532" t="s">
        <v>1338</v>
      </c>
      <c r="S29" s="532" t="s">
        <v>1422</v>
      </c>
    </row>
    <row r="30" spans="2:19" x14ac:dyDescent="0.25">
      <c r="B30" s="531" t="s">
        <v>1320</v>
      </c>
      <c r="C30" s="534" t="s">
        <v>1445</v>
      </c>
      <c r="D30" s="532" t="s">
        <v>1321</v>
      </c>
      <c r="E30" s="532" t="s">
        <v>1423</v>
      </c>
      <c r="F30" s="532">
        <v>26</v>
      </c>
      <c r="G30" s="532">
        <v>50</v>
      </c>
      <c r="H30" s="533"/>
      <c r="K30" s="531" t="s">
        <v>1340</v>
      </c>
      <c r="L30" s="532" t="s">
        <v>1447</v>
      </c>
      <c r="M30" s="532" t="s">
        <v>1341</v>
      </c>
      <c r="N30" s="532" t="s">
        <v>1421</v>
      </c>
      <c r="P30" s="531" t="s">
        <v>1342</v>
      </c>
      <c r="Q30" s="532" t="s">
        <v>1456</v>
      </c>
      <c r="R30" s="532" t="s">
        <v>1343</v>
      </c>
      <c r="S30" s="532" t="s">
        <v>1423</v>
      </c>
    </row>
    <row r="31" spans="2:19" x14ac:dyDescent="0.25">
      <c r="B31" s="531" t="s">
        <v>1322</v>
      </c>
      <c r="C31" s="532" t="s">
        <v>1446</v>
      </c>
      <c r="D31" s="532" t="s">
        <v>1323</v>
      </c>
      <c r="E31" s="532" t="s">
        <v>1423</v>
      </c>
      <c r="F31" s="532">
        <v>26</v>
      </c>
      <c r="G31" s="532">
        <v>50</v>
      </c>
      <c r="H31" s="533"/>
      <c r="K31" s="531" t="s">
        <v>1342</v>
      </c>
      <c r="L31" s="532" t="s">
        <v>1456</v>
      </c>
      <c r="M31" s="532" t="s">
        <v>1343</v>
      </c>
      <c r="N31" s="532" t="s">
        <v>1423</v>
      </c>
      <c r="P31" s="531" t="s">
        <v>1344</v>
      </c>
      <c r="Q31" s="532" t="s">
        <v>1457</v>
      </c>
      <c r="R31" s="532" t="s">
        <v>1343</v>
      </c>
      <c r="S31" s="532" t="s">
        <v>1423</v>
      </c>
    </row>
    <row r="32" spans="2:19" x14ac:dyDescent="0.25">
      <c r="B32" s="531" t="s">
        <v>1324</v>
      </c>
      <c r="C32" s="532" t="s">
        <v>1447</v>
      </c>
      <c r="D32" s="532" t="s">
        <v>1325</v>
      </c>
      <c r="E32" s="532" t="s">
        <v>1421</v>
      </c>
      <c r="F32" s="532">
        <v>26</v>
      </c>
      <c r="G32" s="532">
        <v>50</v>
      </c>
      <c r="H32" s="533"/>
      <c r="K32" s="531" t="s">
        <v>1344</v>
      </c>
      <c r="L32" s="532" t="s">
        <v>1457</v>
      </c>
      <c r="M32" s="532" t="s">
        <v>1343</v>
      </c>
      <c r="N32" s="532" t="s">
        <v>1423</v>
      </c>
      <c r="P32" s="531" t="s">
        <v>1345</v>
      </c>
      <c r="Q32" s="532" t="s">
        <v>1458</v>
      </c>
      <c r="R32" s="532" t="s">
        <v>1346</v>
      </c>
      <c r="S32" s="532" t="s">
        <v>1423</v>
      </c>
    </row>
    <row r="33" spans="2:19" x14ac:dyDescent="0.25">
      <c r="B33" s="531" t="s">
        <v>1324</v>
      </c>
      <c r="C33" s="532" t="s">
        <v>1448</v>
      </c>
      <c r="D33" s="532" t="s">
        <v>1325</v>
      </c>
      <c r="E33" s="532" t="s">
        <v>1422</v>
      </c>
      <c r="F33" s="532">
        <v>26</v>
      </c>
      <c r="G33" s="532">
        <v>50</v>
      </c>
      <c r="H33" s="533"/>
      <c r="K33" s="531" t="s">
        <v>1345</v>
      </c>
      <c r="L33" s="532" t="s">
        <v>1458</v>
      </c>
      <c r="M33" s="532" t="s">
        <v>1346</v>
      </c>
      <c r="N33" s="532" t="s">
        <v>1423</v>
      </c>
      <c r="P33" s="531" t="s">
        <v>1347</v>
      </c>
      <c r="Q33" s="532" t="s">
        <v>1458</v>
      </c>
      <c r="R33" s="532" t="s">
        <v>1346</v>
      </c>
      <c r="S33" s="532" t="s">
        <v>1423</v>
      </c>
    </row>
    <row r="34" spans="2:19" x14ac:dyDescent="0.25">
      <c r="B34" s="531" t="s">
        <v>1326</v>
      </c>
      <c r="C34" s="532" t="s">
        <v>1436</v>
      </c>
      <c r="D34" s="532" t="s">
        <v>1327</v>
      </c>
      <c r="E34" s="532" t="s">
        <v>1421</v>
      </c>
      <c r="F34" s="532">
        <v>26</v>
      </c>
      <c r="G34" s="532">
        <v>50</v>
      </c>
      <c r="H34" s="533"/>
      <c r="K34" s="531" t="s">
        <v>1347</v>
      </c>
      <c r="L34" s="532" t="s">
        <v>1458</v>
      </c>
      <c r="M34" s="532" t="s">
        <v>1346</v>
      </c>
      <c r="N34" s="532" t="s">
        <v>1423</v>
      </c>
      <c r="P34" s="531" t="s">
        <v>1348</v>
      </c>
      <c r="Q34" s="534" t="s">
        <v>1459</v>
      </c>
      <c r="R34" s="532" t="s">
        <v>1349</v>
      </c>
      <c r="S34" s="532" t="s">
        <v>1423</v>
      </c>
    </row>
    <row r="35" spans="2:19" x14ac:dyDescent="0.25">
      <c r="B35" s="531" t="s">
        <v>1326</v>
      </c>
      <c r="C35" s="532" t="s">
        <v>1437</v>
      </c>
      <c r="D35" s="532" t="s">
        <v>1327</v>
      </c>
      <c r="E35" s="532" t="s">
        <v>1422</v>
      </c>
      <c r="F35" s="532">
        <v>26</v>
      </c>
      <c r="G35" s="532">
        <v>50</v>
      </c>
      <c r="H35" s="533"/>
      <c r="K35" s="531" t="s">
        <v>1348</v>
      </c>
      <c r="L35" s="534" t="s">
        <v>1459</v>
      </c>
      <c r="M35" s="532" t="s">
        <v>1349</v>
      </c>
      <c r="N35" s="532" t="s">
        <v>1423</v>
      </c>
      <c r="P35" s="531" t="s">
        <v>1352</v>
      </c>
      <c r="Q35" s="532" t="s">
        <v>1461</v>
      </c>
      <c r="R35" s="532" t="s">
        <v>1351</v>
      </c>
      <c r="S35" s="532" t="s">
        <v>1422</v>
      </c>
    </row>
    <row r="36" spans="2:19" x14ac:dyDescent="0.25">
      <c r="B36" s="531" t="s">
        <v>1328</v>
      </c>
      <c r="C36" s="532" t="s">
        <v>1449</v>
      </c>
      <c r="D36" s="532" t="s">
        <v>1329</v>
      </c>
      <c r="E36" s="532" t="s">
        <v>1421</v>
      </c>
      <c r="F36" s="532">
        <v>26</v>
      </c>
      <c r="G36" s="532">
        <v>50</v>
      </c>
      <c r="H36" s="533"/>
      <c r="K36" s="531" t="s">
        <v>1350</v>
      </c>
      <c r="L36" s="532" t="s">
        <v>1460</v>
      </c>
      <c r="M36" s="532" t="s">
        <v>1351</v>
      </c>
      <c r="N36" s="532" t="s">
        <v>1421</v>
      </c>
      <c r="P36" s="531" t="s">
        <v>1355</v>
      </c>
      <c r="Q36" s="532" t="s">
        <v>1463</v>
      </c>
      <c r="R36" s="532" t="s">
        <v>1354</v>
      </c>
      <c r="S36" s="532" t="s">
        <v>1422</v>
      </c>
    </row>
    <row r="37" spans="2:19" x14ac:dyDescent="0.25">
      <c r="B37" s="531" t="s">
        <v>1330</v>
      </c>
      <c r="C37" s="532" t="s">
        <v>1450</v>
      </c>
      <c r="D37" s="532" t="s">
        <v>1329</v>
      </c>
      <c r="E37" s="532" t="s">
        <v>1422</v>
      </c>
      <c r="F37" s="532">
        <v>26</v>
      </c>
      <c r="G37" s="532">
        <v>50</v>
      </c>
      <c r="H37" s="533"/>
      <c r="K37" s="531" t="s">
        <v>1352</v>
      </c>
      <c r="L37" s="532" t="s">
        <v>1461</v>
      </c>
      <c r="M37" s="532" t="s">
        <v>1351</v>
      </c>
      <c r="N37" s="532" t="s">
        <v>1422</v>
      </c>
      <c r="P37" s="531" t="s">
        <v>1358</v>
      </c>
      <c r="Q37" s="532" t="s">
        <v>1465</v>
      </c>
      <c r="R37" s="532" t="s">
        <v>1357</v>
      </c>
      <c r="S37" s="532" t="s">
        <v>1422</v>
      </c>
    </row>
    <row r="38" spans="2:19" x14ac:dyDescent="0.25">
      <c r="B38" s="531" t="s">
        <v>1331</v>
      </c>
      <c r="C38" s="532" t="s">
        <v>1451</v>
      </c>
      <c r="D38" s="532" t="s">
        <v>1332</v>
      </c>
      <c r="E38" s="532" t="s">
        <v>1423</v>
      </c>
      <c r="F38" s="532">
        <v>26</v>
      </c>
      <c r="G38" s="532">
        <v>50</v>
      </c>
      <c r="H38" s="533"/>
      <c r="K38" s="531" t="s">
        <v>1353</v>
      </c>
      <c r="L38" s="532" t="s">
        <v>1462</v>
      </c>
      <c r="M38" s="532" t="s">
        <v>1354</v>
      </c>
      <c r="N38" s="532" t="s">
        <v>1421</v>
      </c>
      <c r="P38" s="531" t="s">
        <v>1359</v>
      </c>
      <c r="Q38" s="532" t="s">
        <v>1466</v>
      </c>
      <c r="R38" s="532" t="s">
        <v>1360</v>
      </c>
      <c r="S38" s="532" t="s">
        <v>1423</v>
      </c>
    </row>
    <row r="39" spans="2:19" x14ac:dyDescent="0.25">
      <c r="B39" s="531" t="s">
        <v>1333</v>
      </c>
      <c r="C39" s="532" t="s">
        <v>1451</v>
      </c>
      <c r="D39" s="532" t="s">
        <v>1332</v>
      </c>
      <c r="E39" s="532" t="s">
        <v>1423</v>
      </c>
      <c r="F39" s="532">
        <v>26</v>
      </c>
      <c r="G39" s="532">
        <v>50</v>
      </c>
      <c r="H39" s="533"/>
      <c r="K39" s="531" t="s">
        <v>1356</v>
      </c>
      <c r="L39" s="532" t="s">
        <v>1464</v>
      </c>
      <c r="M39" s="532" t="s">
        <v>1357</v>
      </c>
      <c r="N39" s="532" t="s">
        <v>1421</v>
      </c>
      <c r="P39" s="531" t="s">
        <v>1361</v>
      </c>
      <c r="Q39" s="532" t="s">
        <v>1466</v>
      </c>
      <c r="R39" s="532" t="s">
        <v>1360</v>
      </c>
      <c r="S39" s="532" t="s">
        <v>1423</v>
      </c>
    </row>
    <row r="40" spans="2:19" x14ac:dyDescent="0.25">
      <c r="B40" s="531" t="s">
        <v>1334</v>
      </c>
      <c r="C40" s="532" t="s">
        <v>1452</v>
      </c>
      <c r="D40" s="532" t="s">
        <v>1335</v>
      </c>
      <c r="E40" s="532" t="s">
        <v>1421</v>
      </c>
      <c r="F40" s="532">
        <v>26</v>
      </c>
      <c r="G40" s="532">
        <v>50</v>
      </c>
      <c r="H40" s="533"/>
      <c r="K40" s="531" t="s">
        <v>1359</v>
      </c>
      <c r="L40" s="532" t="s">
        <v>1466</v>
      </c>
      <c r="M40" s="532" t="s">
        <v>1360</v>
      </c>
      <c r="N40" s="532" t="s">
        <v>1423</v>
      </c>
      <c r="P40" s="531" t="s">
        <v>1364</v>
      </c>
      <c r="Q40" s="532" t="s">
        <v>1468</v>
      </c>
      <c r="R40" s="532" t="s">
        <v>1363</v>
      </c>
      <c r="S40" s="532" t="s">
        <v>1422</v>
      </c>
    </row>
    <row r="41" spans="2:19" x14ac:dyDescent="0.25">
      <c r="B41" s="531" t="s">
        <v>1336</v>
      </c>
      <c r="C41" s="532" t="s">
        <v>1453</v>
      </c>
      <c r="D41" s="532" t="s">
        <v>1335</v>
      </c>
      <c r="E41" s="532" t="s">
        <v>1422</v>
      </c>
      <c r="F41" s="532">
        <v>26</v>
      </c>
      <c r="G41" s="532">
        <v>50</v>
      </c>
      <c r="H41" s="533"/>
      <c r="K41" s="531" t="s">
        <v>1361</v>
      </c>
      <c r="L41" s="532" t="s">
        <v>1466</v>
      </c>
      <c r="M41" s="532" t="s">
        <v>1360</v>
      </c>
      <c r="N41" s="532" t="s">
        <v>1423</v>
      </c>
      <c r="P41" s="531" t="s">
        <v>1365</v>
      </c>
      <c r="Q41" s="532" t="s">
        <v>1469</v>
      </c>
      <c r="R41" s="532" t="s">
        <v>1366</v>
      </c>
      <c r="S41" s="532" t="s">
        <v>1423</v>
      </c>
    </row>
    <row r="42" spans="2:19" x14ac:dyDescent="0.25">
      <c r="B42" s="531" t="s">
        <v>1337</v>
      </c>
      <c r="C42" s="532" t="s">
        <v>1454</v>
      </c>
      <c r="D42" s="532" t="s">
        <v>1338</v>
      </c>
      <c r="E42" s="532" t="s">
        <v>1421</v>
      </c>
      <c r="F42" s="532">
        <v>26</v>
      </c>
      <c r="G42" s="532">
        <v>50</v>
      </c>
      <c r="H42" s="533"/>
      <c r="K42" s="531" t="s">
        <v>1362</v>
      </c>
      <c r="L42" s="532" t="s">
        <v>1467</v>
      </c>
      <c r="M42" s="532" t="s">
        <v>1363</v>
      </c>
      <c r="N42" s="532" t="s">
        <v>1421</v>
      </c>
      <c r="P42" s="531" t="s">
        <v>1369</v>
      </c>
      <c r="Q42" s="532" t="s">
        <v>1468</v>
      </c>
      <c r="R42" s="532" t="s">
        <v>1368</v>
      </c>
      <c r="S42" s="532" t="s">
        <v>1422</v>
      </c>
    </row>
    <row r="43" spans="2:19" x14ac:dyDescent="0.25">
      <c r="B43" s="531" t="s">
        <v>1339</v>
      </c>
      <c r="C43" s="532" t="s">
        <v>1455</v>
      </c>
      <c r="D43" s="532" t="s">
        <v>1338</v>
      </c>
      <c r="E43" s="532" t="s">
        <v>1422</v>
      </c>
      <c r="F43" s="532">
        <v>26</v>
      </c>
      <c r="G43" s="532">
        <v>50</v>
      </c>
      <c r="H43" s="533"/>
      <c r="K43" s="531" t="s">
        <v>1365</v>
      </c>
      <c r="L43" s="532" t="s">
        <v>1469</v>
      </c>
      <c r="M43" s="532" t="s">
        <v>1366</v>
      </c>
      <c r="N43" s="532" t="s">
        <v>1423</v>
      </c>
      <c r="P43" s="531" t="s">
        <v>1370</v>
      </c>
      <c r="Q43" s="532" t="s">
        <v>1461</v>
      </c>
      <c r="R43" s="532" t="s">
        <v>1371</v>
      </c>
      <c r="S43" s="532" t="s">
        <v>1422</v>
      </c>
    </row>
    <row r="44" spans="2:19" x14ac:dyDescent="0.25">
      <c r="B44" s="531" t="s">
        <v>1340</v>
      </c>
      <c r="C44" s="532" t="s">
        <v>1447</v>
      </c>
      <c r="D44" s="532" t="s">
        <v>1341</v>
      </c>
      <c r="E44" s="532" t="s">
        <v>1421</v>
      </c>
      <c r="F44" s="532">
        <v>26</v>
      </c>
      <c r="G44" s="532">
        <v>50</v>
      </c>
      <c r="H44" s="533"/>
      <c r="K44" s="531" t="s">
        <v>1367</v>
      </c>
      <c r="L44" s="532" t="s">
        <v>1467</v>
      </c>
      <c r="M44" s="532" t="s">
        <v>1368</v>
      </c>
      <c r="N44" s="532" t="s">
        <v>1421</v>
      </c>
      <c r="P44" s="531" t="s">
        <v>1374</v>
      </c>
      <c r="Q44" s="532" t="s">
        <v>1461</v>
      </c>
      <c r="R44" s="532" t="s">
        <v>1373</v>
      </c>
      <c r="S44" s="532" t="s">
        <v>1422</v>
      </c>
    </row>
    <row r="45" spans="2:19" x14ac:dyDescent="0.25">
      <c r="B45" s="531" t="s">
        <v>1342</v>
      </c>
      <c r="C45" s="532" t="s">
        <v>1456</v>
      </c>
      <c r="D45" s="532" t="s">
        <v>1343</v>
      </c>
      <c r="E45" s="532" t="s">
        <v>1423</v>
      </c>
      <c r="F45" s="532">
        <v>26</v>
      </c>
      <c r="G45" s="532">
        <v>50</v>
      </c>
      <c r="H45" s="533"/>
      <c r="K45" s="531" t="s">
        <v>1370</v>
      </c>
      <c r="L45" s="532" t="s">
        <v>1460</v>
      </c>
      <c r="M45" s="532" t="s">
        <v>1371</v>
      </c>
      <c r="N45" s="532" t="s">
        <v>1421</v>
      </c>
      <c r="P45" s="531" t="s">
        <v>1376</v>
      </c>
      <c r="Q45" s="532" t="s">
        <v>1471</v>
      </c>
      <c r="R45" s="532" t="s">
        <v>1357</v>
      </c>
      <c r="S45" s="532" t="s">
        <v>1422</v>
      </c>
    </row>
    <row r="46" spans="2:19" x14ac:dyDescent="0.25">
      <c r="B46" s="531" t="s">
        <v>1344</v>
      </c>
      <c r="C46" s="532" t="s">
        <v>1457</v>
      </c>
      <c r="D46" s="532" t="s">
        <v>1343</v>
      </c>
      <c r="E46" s="532" t="s">
        <v>1423</v>
      </c>
      <c r="F46" s="532">
        <v>26</v>
      </c>
      <c r="G46" s="532">
        <v>50</v>
      </c>
      <c r="H46" s="533"/>
      <c r="K46" s="531" t="s">
        <v>1372</v>
      </c>
      <c r="L46" s="532" t="s">
        <v>1460</v>
      </c>
      <c r="M46" s="532" t="s">
        <v>1373</v>
      </c>
      <c r="N46" s="532" t="s">
        <v>1421</v>
      </c>
      <c r="P46" s="531" t="s">
        <v>1377</v>
      </c>
      <c r="Q46" s="532" t="s">
        <v>1472</v>
      </c>
      <c r="R46" s="532" t="s">
        <v>1360</v>
      </c>
      <c r="S46" s="532" t="s">
        <v>1423</v>
      </c>
    </row>
    <row r="47" spans="2:19" x14ac:dyDescent="0.25">
      <c r="B47" s="531" t="s">
        <v>1345</v>
      </c>
      <c r="C47" s="532" t="s">
        <v>1458</v>
      </c>
      <c r="D47" s="532" t="s">
        <v>1346</v>
      </c>
      <c r="E47" s="532" t="s">
        <v>1423</v>
      </c>
      <c r="F47" s="532">
        <v>51</v>
      </c>
      <c r="G47" s="532">
        <v>100</v>
      </c>
      <c r="H47" s="533"/>
      <c r="K47" s="531" t="s">
        <v>1375</v>
      </c>
      <c r="L47" s="532" t="s">
        <v>1470</v>
      </c>
      <c r="M47" s="532" t="s">
        <v>1357</v>
      </c>
      <c r="N47" s="532" t="s">
        <v>1421</v>
      </c>
      <c r="P47" s="531" t="s">
        <v>1379</v>
      </c>
      <c r="Q47" s="532" t="s">
        <v>1474</v>
      </c>
      <c r="R47" s="532" t="s">
        <v>1360</v>
      </c>
      <c r="S47" s="532" t="s">
        <v>1422</v>
      </c>
    </row>
    <row r="48" spans="2:19" x14ac:dyDescent="0.25">
      <c r="B48" s="531" t="s">
        <v>1347</v>
      </c>
      <c r="C48" s="532" t="s">
        <v>1458</v>
      </c>
      <c r="D48" s="532" t="s">
        <v>1346</v>
      </c>
      <c r="E48" s="532" t="s">
        <v>1423</v>
      </c>
      <c r="F48" s="532">
        <v>51</v>
      </c>
      <c r="G48" s="532">
        <v>100</v>
      </c>
      <c r="H48" s="533"/>
      <c r="K48" s="531" t="s">
        <v>1377</v>
      </c>
      <c r="L48" s="532" t="s">
        <v>1472</v>
      </c>
      <c r="M48" s="532" t="s">
        <v>1360</v>
      </c>
      <c r="N48" s="532" t="s">
        <v>1423</v>
      </c>
      <c r="P48" s="531" t="s">
        <v>1382</v>
      </c>
      <c r="Q48" s="532" t="s">
        <v>1476</v>
      </c>
      <c r="R48" s="532" t="s">
        <v>1381</v>
      </c>
      <c r="S48" s="532" t="s">
        <v>1422</v>
      </c>
    </row>
    <row r="49" spans="2:19" x14ac:dyDescent="0.25">
      <c r="B49" s="531" t="s">
        <v>1348</v>
      </c>
      <c r="C49" s="534" t="s">
        <v>1459</v>
      </c>
      <c r="D49" s="532" t="s">
        <v>1349</v>
      </c>
      <c r="E49" s="532" t="s">
        <v>1423</v>
      </c>
      <c r="F49" s="532">
        <v>51</v>
      </c>
      <c r="G49" s="532">
        <v>100</v>
      </c>
      <c r="H49" s="533"/>
      <c r="K49" s="531" t="s">
        <v>1378</v>
      </c>
      <c r="L49" s="532" t="s">
        <v>1473</v>
      </c>
      <c r="M49" s="532" t="s">
        <v>1360</v>
      </c>
      <c r="N49" s="532" t="s">
        <v>1421</v>
      </c>
      <c r="P49" s="531" t="s">
        <v>1383</v>
      </c>
      <c r="Q49" s="532" t="s">
        <v>1478</v>
      </c>
      <c r="R49" s="532" t="s">
        <v>1384</v>
      </c>
      <c r="S49" s="532" t="s">
        <v>1422</v>
      </c>
    </row>
    <row r="50" spans="2:19" x14ac:dyDescent="0.25">
      <c r="B50" s="531" t="s">
        <v>1350</v>
      </c>
      <c r="C50" s="532" t="s">
        <v>1460</v>
      </c>
      <c r="D50" s="532" t="s">
        <v>1351</v>
      </c>
      <c r="E50" s="532" t="s">
        <v>1421</v>
      </c>
      <c r="F50" s="532">
        <v>51</v>
      </c>
      <c r="G50" s="532">
        <v>100</v>
      </c>
      <c r="H50" s="533"/>
      <c r="K50" s="531" t="s">
        <v>1380</v>
      </c>
      <c r="L50" s="532" t="s">
        <v>1475</v>
      </c>
      <c r="M50" s="532" t="s">
        <v>1381</v>
      </c>
      <c r="N50" s="532" t="s">
        <v>1421</v>
      </c>
      <c r="P50" s="531" t="s">
        <v>1387</v>
      </c>
      <c r="Q50" s="532" t="s">
        <v>1480</v>
      </c>
      <c r="R50" s="532" t="s">
        <v>1386</v>
      </c>
      <c r="S50" s="532" t="s">
        <v>1422</v>
      </c>
    </row>
    <row r="51" spans="2:19" x14ac:dyDescent="0.25">
      <c r="B51" s="531" t="s">
        <v>1352</v>
      </c>
      <c r="C51" s="532" t="s">
        <v>1461</v>
      </c>
      <c r="D51" s="532" t="s">
        <v>1351</v>
      </c>
      <c r="E51" s="532" t="s">
        <v>1422</v>
      </c>
      <c r="F51" s="532">
        <v>51</v>
      </c>
      <c r="G51" s="532">
        <v>100</v>
      </c>
      <c r="H51" s="533"/>
      <c r="K51" s="531" t="s">
        <v>1383</v>
      </c>
      <c r="L51" s="532" t="s">
        <v>1477</v>
      </c>
      <c r="M51" s="532" t="s">
        <v>1384</v>
      </c>
      <c r="N51" s="532" t="s">
        <v>1421</v>
      </c>
      <c r="P51" s="531" t="s">
        <v>1388</v>
      </c>
      <c r="Q51" s="532" t="s">
        <v>1481</v>
      </c>
      <c r="R51" s="532" t="s">
        <v>1114</v>
      </c>
      <c r="S51" s="532" t="s">
        <v>1423</v>
      </c>
    </row>
    <row r="52" spans="2:19" x14ac:dyDescent="0.25">
      <c r="B52" s="531" t="s">
        <v>1353</v>
      </c>
      <c r="C52" s="532" t="s">
        <v>1462</v>
      </c>
      <c r="D52" s="532" t="s">
        <v>1354</v>
      </c>
      <c r="E52" s="532" t="s">
        <v>1421</v>
      </c>
      <c r="F52" s="532">
        <v>51</v>
      </c>
      <c r="G52" s="532">
        <v>100</v>
      </c>
      <c r="H52" s="533"/>
      <c r="K52" s="531" t="s">
        <v>1385</v>
      </c>
      <c r="L52" s="532" t="s">
        <v>1479</v>
      </c>
      <c r="M52" s="532" t="s">
        <v>1386</v>
      </c>
      <c r="N52" s="532" t="s">
        <v>1421</v>
      </c>
      <c r="P52" s="531" t="s">
        <v>1389</v>
      </c>
      <c r="Q52" s="532" t="s">
        <v>1481</v>
      </c>
      <c r="R52" s="532" t="s">
        <v>1114</v>
      </c>
      <c r="S52" s="532" t="s">
        <v>1423</v>
      </c>
    </row>
    <row r="53" spans="2:19" x14ac:dyDescent="0.25">
      <c r="B53" s="531" t="s">
        <v>1355</v>
      </c>
      <c r="C53" s="532" t="s">
        <v>1463</v>
      </c>
      <c r="D53" s="532" t="s">
        <v>1354</v>
      </c>
      <c r="E53" s="532" t="s">
        <v>1422</v>
      </c>
      <c r="F53" s="532">
        <v>51</v>
      </c>
      <c r="G53" s="532">
        <v>100</v>
      </c>
      <c r="H53" s="533"/>
      <c r="K53" s="531" t="s">
        <v>1388</v>
      </c>
      <c r="L53" s="532" t="s">
        <v>1481</v>
      </c>
      <c r="M53" s="532" t="s">
        <v>1114</v>
      </c>
      <c r="N53" s="532" t="s">
        <v>1423</v>
      </c>
      <c r="P53" s="531" t="s">
        <v>1391</v>
      </c>
      <c r="Q53" s="532" t="s">
        <v>1474</v>
      </c>
      <c r="R53" s="532" t="s">
        <v>1373</v>
      </c>
      <c r="S53" s="532" t="s">
        <v>1422</v>
      </c>
    </row>
    <row r="54" spans="2:19" x14ac:dyDescent="0.25">
      <c r="B54" s="531" t="s">
        <v>1356</v>
      </c>
      <c r="C54" s="532" t="s">
        <v>1464</v>
      </c>
      <c r="D54" s="532" t="s">
        <v>1357</v>
      </c>
      <c r="E54" s="532" t="s">
        <v>1421</v>
      </c>
      <c r="F54" s="532">
        <v>51</v>
      </c>
      <c r="G54" s="532">
        <v>100</v>
      </c>
      <c r="H54" s="533"/>
      <c r="K54" s="531" t="s">
        <v>1389</v>
      </c>
      <c r="L54" s="532" t="s">
        <v>1481</v>
      </c>
      <c r="M54" s="532" t="s">
        <v>1114</v>
      </c>
      <c r="N54" s="532" t="s">
        <v>1423</v>
      </c>
      <c r="P54" s="531" t="s">
        <v>1392</v>
      </c>
      <c r="Q54" s="534" t="s">
        <v>1482</v>
      </c>
      <c r="R54" s="532" t="s">
        <v>1393</v>
      </c>
      <c r="S54" s="532" t="s">
        <v>1423</v>
      </c>
    </row>
    <row r="55" spans="2:19" x14ac:dyDescent="0.25">
      <c r="B55" s="531" t="s">
        <v>1358</v>
      </c>
      <c r="C55" s="532" t="s">
        <v>1465</v>
      </c>
      <c r="D55" s="532" t="s">
        <v>1357</v>
      </c>
      <c r="E55" s="532" t="s">
        <v>1422</v>
      </c>
      <c r="F55" s="532">
        <v>51</v>
      </c>
      <c r="G55" s="532">
        <v>100</v>
      </c>
      <c r="H55" s="533"/>
      <c r="K55" s="531" t="s">
        <v>1390</v>
      </c>
      <c r="L55" s="532" t="s">
        <v>1473</v>
      </c>
      <c r="M55" s="532" t="s">
        <v>1373</v>
      </c>
      <c r="N55" s="532" t="s">
        <v>1421</v>
      </c>
      <c r="P55" s="531" t="s">
        <v>1396</v>
      </c>
      <c r="Q55" s="532" t="s">
        <v>1484</v>
      </c>
      <c r="R55" s="532" t="s">
        <v>1395</v>
      </c>
      <c r="S55" s="532" t="s">
        <v>1422</v>
      </c>
    </row>
    <row r="56" spans="2:19" x14ac:dyDescent="0.25">
      <c r="B56" s="531" t="s">
        <v>1359</v>
      </c>
      <c r="C56" s="532" t="s">
        <v>1466</v>
      </c>
      <c r="D56" s="532" t="s">
        <v>1360</v>
      </c>
      <c r="E56" s="532" t="s">
        <v>1423</v>
      </c>
      <c r="F56" s="532">
        <v>51</v>
      </c>
      <c r="G56" s="532">
        <v>100</v>
      </c>
      <c r="H56" s="533"/>
      <c r="K56" s="531" t="s">
        <v>1392</v>
      </c>
      <c r="L56" s="534" t="s">
        <v>1482</v>
      </c>
      <c r="M56" s="532" t="s">
        <v>1393</v>
      </c>
      <c r="N56" s="532" t="s">
        <v>1423</v>
      </c>
      <c r="P56" s="531" t="s">
        <v>1397</v>
      </c>
      <c r="Q56" s="532" t="s">
        <v>1486</v>
      </c>
      <c r="R56" s="532" t="s">
        <v>1398</v>
      </c>
      <c r="S56" s="532" t="s">
        <v>1422</v>
      </c>
    </row>
    <row r="57" spans="2:19" x14ac:dyDescent="0.25">
      <c r="B57" s="531" t="s">
        <v>1361</v>
      </c>
      <c r="C57" s="532" t="s">
        <v>1466</v>
      </c>
      <c r="D57" s="532" t="s">
        <v>1360</v>
      </c>
      <c r="E57" s="532" t="s">
        <v>1423</v>
      </c>
      <c r="F57" s="532">
        <v>51</v>
      </c>
      <c r="G57" s="532">
        <v>100</v>
      </c>
      <c r="H57" s="533"/>
      <c r="K57" s="531" t="s">
        <v>1394</v>
      </c>
      <c r="L57" s="532" t="s">
        <v>1483</v>
      </c>
      <c r="M57" s="532" t="s">
        <v>1395</v>
      </c>
      <c r="N57" s="532" t="s">
        <v>1421</v>
      </c>
      <c r="P57" s="531" t="s">
        <v>1399</v>
      </c>
      <c r="Q57" s="532" t="s">
        <v>1486</v>
      </c>
      <c r="R57" s="532" t="s">
        <v>1398</v>
      </c>
      <c r="S57" s="532" t="s">
        <v>1422</v>
      </c>
    </row>
    <row r="58" spans="2:19" x14ac:dyDescent="0.25">
      <c r="B58" s="531" t="s">
        <v>1362</v>
      </c>
      <c r="C58" s="532" t="s">
        <v>1467</v>
      </c>
      <c r="D58" s="532" t="s">
        <v>1363</v>
      </c>
      <c r="E58" s="532" t="s">
        <v>1421</v>
      </c>
      <c r="F58" s="532">
        <v>51</v>
      </c>
      <c r="G58" s="532">
        <v>100</v>
      </c>
      <c r="H58" s="533"/>
      <c r="K58" s="531" t="s">
        <v>1397</v>
      </c>
      <c r="L58" s="532" t="s">
        <v>1485</v>
      </c>
      <c r="M58" s="532" t="s">
        <v>1398</v>
      </c>
      <c r="N58" s="532" t="s">
        <v>1421</v>
      </c>
      <c r="P58" s="531" t="s">
        <v>1402</v>
      </c>
      <c r="Q58" s="532" t="s">
        <v>1488</v>
      </c>
      <c r="R58" s="532" t="s">
        <v>1401</v>
      </c>
      <c r="S58" s="532" t="s">
        <v>1422</v>
      </c>
    </row>
    <row r="59" spans="2:19" x14ac:dyDescent="0.25">
      <c r="B59" s="531" t="s">
        <v>1364</v>
      </c>
      <c r="C59" s="532" t="s">
        <v>1468</v>
      </c>
      <c r="D59" s="532" t="s">
        <v>1363</v>
      </c>
      <c r="E59" s="532" t="s">
        <v>1422</v>
      </c>
      <c r="F59" s="532">
        <v>51</v>
      </c>
      <c r="G59" s="532">
        <v>100</v>
      </c>
      <c r="H59" s="533"/>
      <c r="K59" s="531" t="s">
        <v>1399</v>
      </c>
      <c r="L59" s="532" t="s">
        <v>1485</v>
      </c>
      <c r="M59" s="532" t="s">
        <v>1398</v>
      </c>
      <c r="N59" s="532" t="s">
        <v>1421</v>
      </c>
      <c r="P59" s="531" t="s">
        <v>1405</v>
      </c>
      <c r="Q59" s="532" t="s">
        <v>1490</v>
      </c>
      <c r="R59" s="532" t="s">
        <v>1404</v>
      </c>
      <c r="S59" s="532" t="s">
        <v>1422</v>
      </c>
    </row>
    <row r="60" spans="2:19" x14ac:dyDescent="0.25">
      <c r="B60" s="531" t="s">
        <v>1365</v>
      </c>
      <c r="C60" s="532" t="s">
        <v>1469</v>
      </c>
      <c r="D60" s="532" t="s">
        <v>1366</v>
      </c>
      <c r="E60" s="532" t="s">
        <v>1423</v>
      </c>
      <c r="F60" s="532">
        <v>51</v>
      </c>
      <c r="G60" s="532">
        <v>100</v>
      </c>
      <c r="H60" s="533"/>
      <c r="K60" s="531" t="s">
        <v>1400</v>
      </c>
      <c r="L60" s="532" t="s">
        <v>1487</v>
      </c>
      <c r="M60" s="532" t="s">
        <v>1401</v>
      </c>
      <c r="N60" s="532" t="s">
        <v>1421</v>
      </c>
      <c r="P60" s="531" t="s">
        <v>1406</v>
      </c>
      <c r="Q60" s="532" t="s">
        <v>1492</v>
      </c>
      <c r="R60" s="532" t="s">
        <v>1404</v>
      </c>
      <c r="S60" s="532" t="s">
        <v>1422</v>
      </c>
    </row>
    <row r="61" spans="2:19" x14ac:dyDescent="0.25">
      <c r="B61" s="531" t="s">
        <v>1367</v>
      </c>
      <c r="C61" s="532" t="s">
        <v>1467</v>
      </c>
      <c r="D61" s="532" t="s">
        <v>1368</v>
      </c>
      <c r="E61" s="532" t="s">
        <v>1421</v>
      </c>
      <c r="F61" s="532">
        <v>51</v>
      </c>
      <c r="G61" s="532">
        <v>100</v>
      </c>
      <c r="H61" s="533"/>
      <c r="K61" s="531" t="s">
        <v>1403</v>
      </c>
      <c r="L61" s="532" t="s">
        <v>1489</v>
      </c>
      <c r="M61" s="532" t="s">
        <v>1404</v>
      </c>
      <c r="N61" s="532" t="s">
        <v>1421</v>
      </c>
      <c r="P61" s="531" t="s">
        <v>1407</v>
      </c>
      <c r="Q61" s="532" t="s">
        <v>1492</v>
      </c>
      <c r="R61" s="532" t="s">
        <v>1404</v>
      </c>
      <c r="S61" s="532" t="s">
        <v>1422</v>
      </c>
    </row>
    <row r="62" spans="2:19" x14ac:dyDescent="0.25">
      <c r="B62" s="531" t="s">
        <v>1369</v>
      </c>
      <c r="C62" s="532" t="s">
        <v>1468</v>
      </c>
      <c r="D62" s="532" t="s">
        <v>1368</v>
      </c>
      <c r="E62" s="532" t="s">
        <v>1422</v>
      </c>
      <c r="F62" s="532">
        <v>51</v>
      </c>
      <c r="G62" s="532">
        <v>100</v>
      </c>
      <c r="H62" s="533"/>
      <c r="K62" s="531" t="s">
        <v>1406</v>
      </c>
      <c r="L62" s="532" t="s">
        <v>1491</v>
      </c>
      <c r="M62" s="532" t="s">
        <v>1404</v>
      </c>
      <c r="N62" s="532" t="s">
        <v>1421</v>
      </c>
      <c r="P62" s="531" t="s">
        <v>1408</v>
      </c>
      <c r="Q62" s="532" t="s">
        <v>1493</v>
      </c>
      <c r="R62" s="532" t="s">
        <v>1404</v>
      </c>
      <c r="S62" s="532" t="s">
        <v>1423</v>
      </c>
    </row>
    <row r="63" spans="2:19" x14ac:dyDescent="0.25">
      <c r="B63" s="531" t="s">
        <v>1370</v>
      </c>
      <c r="C63" s="532" t="s">
        <v>1460</v>
      </c>
      <c r="D63" s="532" t="s">
        <v>1371</v>
      </c>
      <c r="E63" s="532" t="s">
        <v>1421</v>
      </c>
      <c r="F63" s="532">
        <v>51</v>
      </c>
      <c r="G63" s="532">
        <v>100</v>
      </c>
      <c r="H63" s="533"/>
      <c r="K63" s="531" t="s">
        <v>1407</v>
      </c>
      <c r="L63" s="532" t="s">
        <v>1491</v>
      </c>
      <c r="M63" s="532" t="s">
        <v>1404</v>
      </c>
      <c r="N63" s="532" t="s">
        <v>1421</v>
      </c>
      <c r="P63" s="531" t="s">
        <v>1409</v>
      </c>
      <c r="Q63" s="532" t="s">
        <v>1493</v>
      </c>
      <c r="R63" s="532" t="s">
        <v>1404</v>
      </c>
      <c r="S63" s="532" t="s">
        <v>1423</v>
      </c>
    </row>
    <row r="64" spans="2:19" x14ac:dyDescent="0.25">
      <c r="B64" s="531" t="s">
        <v>1370</v>
      </c>
      <c r="C64" s="532" t="s">
        <v>1461</v>
      </c>
      <c r="D64" s="532" t="s">
        <v>1371</v>
      </c>
      <c r="E64" s="532" t="s">
        <v>1422</v>
      </c>
      <c r="F64" s="532">
        <v>51</v>
      </c>
      <c r="G64" s="532">
        <v>100</v>
      </c>
      <c r="H64" s="533"/>
      <c r="K64" s="531" t="s">
        <v>1408</v>
      </c>
      <c r="L64" s="532" t="s">
        <v>1493</v>
      </c>
      <c r="M64" s="532" t="s">
        <v>1404</v>
      </c>
      <c r="N64" s="532" t="s">
        <v>1423</v>
      </c>
      <c r="P64" s="531" t="s">
        <v>1410</v>
      </c>
      <c r="Q64" s="532" t="s">
        <v>1494</v>
      </c>
      <c r="R64" s="532" t="s">
        <v>1404</v>
      </c>
      <c r="S64" s="532" t="s">
        <v>1423</v>
      </c>
    </row>
    <row r="65" spans="2:19" x14ac:dyDescent="0.25">
      <c r="B65" s="531" t="s">
        <v>1372</v>
      </c>
      <c r="C65" s="532" t="s">
        <v>1460</v>
      </c>
      <c r="D65" s="532" t="s">
        <v>1373</v>
      </c>
      <c r="E65" s="532" t="s">
        <v>1421</v>
      </c>
      <c r="F65" s="532">
        <v>51</v>
      </c>
      <c r="G65" s="532">
        <v>100</v>
      </c>
      <c r="H65" s="533"/>
      <c r="K65" s="531" t="s">
        <v>1409</v>
      </c>
      <c r="L65" s="532" t="s">
        <v>1493</v>
      </c>
      <c r="M65" s="532" t="s">
        <v>1404</v>
      </c>
      <c r="N65" s="532" t="s">
        <v>1423</v>
      </c>
      <c r="P65" s="531" t="s">
        <v>1411</v>
      </c>
      <c r="Q65" s="532" t="s">
        <v>1494</v>
      </c>
      <c r="R65" s="532" t="s">
        <v>1404</v>
      </c>
      <c r="S65" s="532" t="s">
        <v>1423</v>
      </c>
    </row>
    <row r="66" spans="2:19" x14ac:dyDescent="0.25">
      <c r="B66" s="531" t="s">
        <v>1374</v>
      </c>
      <c r="C66" s="532" t="s">
        <v>1461</v>
      </c>
      <c r="D66" s="532" t="s">
        <v>1373</v>
      </c>
      <c r="E66" s="532" t="s">
        <v>1422</v>
      </c>
      <c r="F66" s="532">
        <v>51</v>
      </c>
      <c r="G66" s="532">
        <v>100</v>
      </c>
      <c r="H66" s="533"/>
      <c r="K66" s="531" t="s">
        <v>1410</v>
      </c>
      <c r="L66" s="532" t="s">
        <v>1494</v>
      </c>
      <c r="M66" s="532" t="s">
        <v>1404</v>
      </c>
      <c r="N66" s="532" t="s">
        <v>1423</v>
      </c>
      <c r="P66" s="531" t="s">
        <v>1413</v>
      </c>
      <c r="Q66" s="532" t="s">
        <v>1496</v>
      </c>
      <c r="R66" s="532" t="s">
        <v>1404</v>
      </c>
      <c r="S66" s="532" t="s">
        <v>1422</v>
      </c>
    </row>
    <row r="67" spans="2:19" x14ac:dyDescent="0.25">
      <c r="B67" s="531" t="s">
        <v>1375</v>
      </c>
      <c r="C67" s="532" t="s">
        <v>1470</v>
      </c>
      <c r="D67" s="532" t="s">
        <v>1357</v>
      </c>
      <c r="E67" s="532" t="s">
        <v>1421</v>
      </c>
      <c r="F67" s="532">
        <v>101</v>
      </c>
      <c r="G67" s="532">
        <v>200</v>
      </c>
      <c r="H67" s="533"/>
      <c r="K67" s="531" t="s">
        <v>1411</v>
      </c>
      <c r="L67" s="532" t="s">
        <v>1494</v>
      </c>
      <c r="M67" s="532" t="s">
        <v>1404</v>
      </c>
      <c r="N67" s="532" t="s">
        <v>1423</v>
      </c>
      <c r="P67" s="531" t="s">
        <v>1415</v>
      </c>
      <c r="Q67" s="532" t="s">
        <v>1498</v>
      </c>
      <c r="R67" s="532" t="s">
        <v>1357</v>
      </c>
      <c r="S67" s="532" t="s">
        <v>1422</v>
      </c>
    </row>
    <row r="68" spans="2:19" ht="15.75" thickBot="1" x14ac:dyDescent="0.3">
      <c r="B68" s="531" t="s">
        <v>1376</v>
      </c>
      <c r="C68" s="532" t="s">
        <v>1471</v>
      </c>
      <c r="D68" s="532" t="s">
        <v>1357</v>
      </c>
      <c r="E68" s="532" t="s">
        <v>1422</v>
      </c>
      <c r="F68" s="532">
        <v>101</v>
      </c>
      <c r="G68" s="532">
        <v>200</v>
      </c>
      <c r="H68" s="533"/>
      <c r="K68" s="531" t="s">
        <v>1412</v>
      </c>
      <c r="L68" s="532" t="s">
        <v>1495</v>
      </c>
      <c r="M68" s="532" t="s">
        <v>1404</v>
      </c>
      <c r="N68" s="532" t="s">
        <v>1421</v>
      </c>
      <c r="P68" s="535" t="s">
        <v>1418</v>
      </c>
      <c r="Q68" s="536" t="s">
        <v>1500</v>
      </c>
      <c r="R68" s="536" t="s">
        <v>1417</v>
      </c>
      <c r="S68" s="536" t="s">
        <v>1422</v>
      </c>
    </row>
    <row r="69" spans="2:19" x14ac:dyDescent="0.25">
      <c r="B69" s="531" t="s">
        <v>1377</v>
      </c>
      <c r="C69" s="532" t="s">
        <v>1472</v>
      </c>
      <c r="D69" s="532" t="s">
        <v>1360</v>
      </c>
      <c r="E69" s="532" t="s">
        <v>1423</v>
      </c>
      <c r="F69" s="532">
        <v>101</v>
      </c>
      <c r="G69" s="532">
        <v>200</v>
      </c>
      <c r="H69" s="533"/>
      <c r="K69" s="531" t="s">
        <v>1414</v>
      </c>
      <c r="L69" s="532" t="s">
        <v>1497</v>
      </c>
      <c r="M69" s="532" t="s">
        <v>1357</v>
      </c>
      <c r="N69" s="532" t="s">
        <v>1421</v>
      </c>
    </row>
    <row r="70" spans="2:19" x14ac:dyDescent="0.25">
      <c r="B70" s="531" t="s">
        <v>1378</v>
      </c>
      <c r="C70" s="532" t="s">
        <v>1473</v>
      </c>
      <c r="D70" s="532" t="s">
        <v>1360</v>
      </c>
      <c r="E70" s="532" t="s">
        <v>1421</v>
      </c>
      <c r="F70" s="532">
        <v>101</v>
      </c>
      <c r="G70" s="532">
        <v>200</v>
      </c>
      <c r="H70" s="533"/>
      <c r="K70" s="531" t="s">
        <v>1416</v>
      </c>
      <c r="L70" s="532" t="s">
        <v>1499</v>
      </c>
      <c r="M70" s="532" t="s">
        <v>1417</v>
      </c>
      <c r="N70" s="532" t="s">
        <v>1421</v>
      </c>
    </row>
    <row r="71" spans="2:19" x14ac:dyDescent="0.25">
      <c r="B71" s="531" t="s">
        <v>1379</v>
      </c>
      <c r="C71" s="532" t="s">
        <v>1474</v>
      </c>
      <c r="D71" s="532" t="s">
        <v>1360</v>
      </c>
      <c r="E71" s="532" t="s">
        <v>1422</v>
      </c>
      <c r="F71" s="532">
        <v>101</v>
      </c>
      <c r="G71" s="532">
        <v>200</v>
      </c>
      <c r="H71" s="533"/>
    </row>
    <row r="72" spans="2:19" x14ac:dyDescent="0.25">
      <c r="B72" s="531" t="s">
        <v>1380</v>
      </c>
      <c r="C72" s="532" t="s">
        <v>1475</v>
      </c>
      <c r="D72" s="532" t="s">
        <v>1381</v>
      </c>
      <c r="E72" s="532" t="s">
        <v>1421</v>
      </c>
      <c r="F72" s="532">
        <v>101</v>
      </c>
      <c r="G72" s="532">
        <v>200</v>
      </c>
      <c r="H72" s="533"/>
    </row>
    <row r="73" spans="2:19" x14ac:dyDescent="0.25">
      <c r="B73" s="531" t="s">
        <v>1382</v>
      </c>
      <c r="C73" s="532" t="s">
        <v>1476</v>
      </c>
      <c r="D73" s="532" t="s">
        <v>1381</v>
      </c>
      <c r="E73" s="532" t="s">
        <v>1422</v>
      </c>
      <c r="F73" s="532">
        <v>101</v>
      </c>
      <c r="G73" s="532">
        <v>200</v>
      </c>
      <c r="H73" s="533"/>
    </row>
    <row r="74" spans="2:19" x14ac:dyDescent="0.25">
      <c r="B74" s="531" t="s">
        <v>1383</v>
      </c>
      <c r="C74" s="532" t="s">
        <v>1477</v>
      </c>
      <c r="D74" s="532" t="s">
        <v>1384</v>
      </c>
      <c r="E74" s="532" t="s">
        <v>1421</v>
      </c>
      <c r="F74" s="532">
        <v>101</v>
      </c>
      <c r="G74" s="532">
        <v>200</v>
      </c>
      <c r="H74" s="533"/>
    </row>
    <row r="75" spans="2:19" x14ac:dyDescent="0.25">
      <c r="B75" s="531" t="s">
        <v>1383</v>
      </c>
      <c r="C75" s="532" t="s">
        <v>1478</v>
      </c>
      <c r="D75" s="532" t="s">
        <v>1384</v>
      </c>
      <c r="E75" s="532" t="s">
        <v>1422</v>
      </c>
      <c r="F75" s="532">
        <v>101</v>
      </c>
      <c r="G75" s="532">
        <v>200</v>
      </c>
      <c r="H75" s="533"/>
    </row>
    <row r="76" spans="2:19" x14ac:dyDescent="0.25">
      <c r="B76" s="531" t="s">
        <v>1385</v>
      </c>
      <c r="C76" s="532" t="s">
        <v>1479</v>
      </c>
      <c r="D76" s="532" t="s">
        <v>1386</v>
      </c>
      <c r="E76" s="532" t="s">
        <v>1421</v>
      </c>
      <c r="F76" s="532">
        <v>101</v>
      </c>
      <c r="G76" s="532">
        <v>200</v>
      </c>
      <c r="H76" s="533"/>
    </row>
    <row r="77" spans="2:19" x14ac:dyDescent="0.25">
      <c r="B77" s="531" t="s">
        <v>1387</v>
      </c>
      <c r="C77" s="532" t="s">
        <v>1480</v>
      </c>
      <c r="D77" s="532" t="s">
        <v>1386</v>
      </c>
      <c r="E77" s="532" t="s">
        <v>1422</v>
      </c>
      <c r="F77" s="532">
        <v>101</v>
      </c>
      <c r="G77" s="532">
        <v>200</v>
      </c>
      <c r="H77" s="533"/>
    </row>
    <row r="78" spans="2:19" x14ac:dyDescent="0.25">
      <c r="B78" s="531" t="s">
        <v>1388</v>
      </c>
      <c r="C78" s="532" t="s">
        <v>1481</v>
      </c>
      <c r="D78" s="532" t="s">
        <v>1114</v>
      </c>
      <c r="E78" s="532" t="s">
        <v>1423</v>
      </c>
      <c r="F78" s="532">
        <v>101</v>
      </c>
      <c r="G78" s="532">
        <v>200</v>
      </c>
      <c r="H78" s="533"/>
    </row>
    <row r="79" spans="2:19" x14ac:dyDescent="0.25">
      <c r="B79" s="531" t="s">
        <v>1389</v>
      </c>
      <c r="C79" s="532" t="s">
        <v>1481</v>
      </c>
      <c r="D79" s="532" t="s">
        <v>1114</v>
      </c>
      <c r="E79" s="532" t="s">
        <v>1423</v>
      </c>
      <c r="F79" s="532">
        <v>101</v>
      </c>
      <c r="G79" s="532">
        <v>200</v>
      </c>
      <c r="H79" s="533"/>
    </row>
    <row r="80" spans="2:19" x14ac:dyDescent="0.25">
      <c r="B80" s="531" t="s">
        <v>1390</v>
      </c>
      <c r="C80" s="532" t="s">
        <v>1473</v>
      </c>
      <c r="D80" s="532" t="s">
        <v>1373</v>
      </c>
      <c r="E80" s="532" t="s">
        <v>1421</v>
      </c>
      <c r="F80" s="532">
        <v>101</v>
      </c>
      <c r="G80" s="532">
        <v>200</v>
      </c>
      <c r="H80" s="533"/>
    </row>
    <row r="81" spans="2:8" x14ac:dyDescent="0.25">
      <c r="B81" s="531" t="s">
        <v>1391</v>
      </c>
      <c r="C81" s="532" t="s">
        <v>1474</v>
      </c>
      <c r="D81" s="532" t="s">
        <v>1373</v>
      </c>
      <c r="E81" s="532" t="s">
        <v>1422</v>
      </c>
      <c r="F81" s="532">
        <v>101</v>
      </c>
      <c r="G81" s="532">
        <v>200</v>
      </c>
      <c r="H81" s="533"/>
    </row>
    <row r="82" spans="2:8" x14ac:dyDescent="0.25">
      <c r="B82" s="531" t="s">
        <v>1392</v>
      </c>
      <c r="C82" s="534" t="s">
        <v>1482</v>
      </c>
      <c r="D82" s="532" t="s">
        <v>1393</v>
      </c>
      <c r="E82" s="532" t="s">
        <v>1423</v>
      </c>
      <c r="F82" s="532">
        <v>101</v>
      </c>
      <c r="G82" s="532">
        <v>200</v>
      </c>
      <c r="H82" s="533"/>
    </row>
    <row r="83" spans="2:8" x14ac:dyDescent="0.25">
      <c r="B83" s="531" t="s">
        <v>1394</v>
      </c>
      <c r="C83" s="532" t="s">
        <v>1483</v>
      </c>
      <c r="D83" s="532" t="s">
        <v>1395</v>
      </c>
      <c r="E83" s="532" t="s">
        <v>1421</v>
      </c>
      <c r="F83" s="532">
        <v>101</v>
      </c>
      <c r="G83" s="532">
        <v>200</v>
      </c>
      <c r="H83" s="533"/>
    </row>
    <row r="84" spans="2:8" x14ac:dyDescent="0.25">
      <c r="B84" s="531" t="s">
        <v>1396</v>
      </c>
      <c r="C84" s="532" t="s">
        <v>1484</v>
      </c>
      <c r="D84" s="532" t="s">
        <v>1395</v>
      </c>
      <c r="E84" s="532" t="s">
        <v>1422</v>
      </c>
      <c r="F84" s="532">
        <v>101</v>
      </c>
      <c r="G84" s="532">
        <v>200</v>
      </c>
      <c r="H84" s="533"/>
    </row>
    <row r="85" spans="2:8" x14ac:dyDescent="0.25">
      <c r="B85" s="531" t="s">
        <v>1397</v>
      </c>
      <c r="C85" s="532" t="s">
        <v>1485</v>
      </c>
      <c r="D85" s="532" t="s">
        <v>1398</v>
      </c>
      <c r="E85" s="532" t="s">
        <v>1421</v>
      </c>
      <c r="F85" s="532">
        <v>201</v>
      </c>
      <c r="G85" s="532">
        <v>1000000</v>
      </c>
      <c r="H85" s="533"/>
    </row>
    <row r="86" spans="2:8" x14ac:dyDescent="0.25">
      <c r="B86" s="531" t="s">
        <v>1397</v>
      </c>
      <c r="C86" s="532" t="s">
        <v>1486</v>
      </c>
      <c r="D86" s="532" t="s">
        <v>1398</v>
      </c>
      <c r="E86" s="532" t="s">
        <v>1422</v>
      </c>
      <c r="F86" s="532">
        <v>201</v>
      </c>
      <c r="G86" s="532">
        <v>1000000</v>
      </c>
      <c r="H86" s="533"/>
    </row>
    <row r="87" spans="2:8" x14ac:dyDescent="0.25">
      <c r="B87" s="531" t="s">
        <v>1399</v>
      </c>
      <c r="C87" s="532" t="s">
        <v>1485</v>
      </c>
      <c r="D87" s="532" t="s">
        <v>1398</v>
      </c>
      <c r="E87" s="532" t="s">
        <v>1421</v>
      </c>
      <c r="F87" s="532">
        <v>201</v>
      </c>
      <c r="G87" s="532">
        <v>1000000</v>
      </c>
      <c r="H87" s="533"/>
    </row>
    <row r="88" spans="2:8" x14ac:dyDescent="0.25">
      <c r="B88" s="531" t="s">
        <v>1399</v>
      </c>
      <c r="C88" s="532" t="s">
        <v>1486</v>
      </c>
      <c r="D88" s="532" t="s">
        <v>1398</v>
      </c>
      <c r="E88" s="532" t="s">
        <v>1422</v>
      </c>
      <c r="F88" s="532">
        <v>201</v>
      </c>
      <c r="G88" s="532">
        <v>1000000</v>
      </c>
      <c r="H88" s="533"/>
    </row>
    <row r="89" spans="2:8" x14ac:dyDescent="0.25">
      <c r="B89" s="531" t="s">
        <v>1400</v>
      </c>
      <c r="C89" s="532" t="s">
        <v>1487</v>
      </c>
      <c r="D89" s="532" t="s">
        <v>1401</v>
      </c>
      <c r="E89" s="532" t="s">
        <v>1421</v>
      </c>
      <c r="F89" s="532">
        <v>201</v>
      </c>
      <c r="G89" s="532">
        <v>1000000</v>
      </c>
      <c r="H89" s="533"/>
    </row>
    <row r="90" spans="2:8" x14ac:dyDescent="0.25">
      <c r="B90" s="531" t="s">
        <v>1402</v>
      </c>
      <c r="C90" s="532" t="s">
        <v>1488</v>
      </c>
      <c r="D90" s="532" t="s">
        <v>1401</v>
      </c>
      <c r="E90" s="532" t="s">
        <v>1422</v>
      </c>
      <c r="F90" s="532">
        <v>201</v>
      </c>
      <c r="G90" s="532">
        <v>1000000</v>
      </c>
      <c r="H90" s="533"/>
    </row>
    <row r="91" spans="2:8" x14ac:dyDescent="0.25">
      <c r="B91" s="531" t="s">
        <v>1403</v>
      </c>
      <c r="C91" s="532" t="s">
        <v>1489</v>
      </c>
      <c r="D91" s="532" t="s">
        <v>1404</v>
      </c>
      <c r="E91" s="532" t="s">
        <v>1421</v>
      </c>
      <c r="F91" s="532">
        <v>201</v>
      </c>
      <c r="G91" s="532">
        <v>1000000</v>
      </c>
      <c r="H91" s="533"/>
    </row>
    <row r="92" spans="2:8" x14ac:dyDescent="0.25">
      <c r="B92" s="531" t="s">
        <v>1405</v>
      </c>
      <c r="C92" s="532" t="s">
        <v>1490</v>
      </c>
      <c r="D92" s="532" t="s">
        <v>1404</v>
      </c>
      <c r="E92" s="532" t="s">
        <v>1422</v>
      </c>
      <c r="F92" s="532">
        <v>201</v>
      </c>
      <c r="G92" s="532">
        <v>1000000</v>
      </c>
      <c r="H92" s="533"/>
    </row>
    <row r="93" spans="2:8" x14ac:dyDescent="0.25">
      <c r="B93" s="531" t="s">
        <v>1406</v>
      </c>
      <c r="C93" s="532" t="s">
        <v>1491</v>
      </c>
      <c r="D93" s="532" t="s">
        <v>1404</v>
      </c>
      <c r="E93" s="532" t="s">
        <v>1421</v>
      </c>
      <c r="F93" s="532">
        <v>201</v>
      </c>
      <c r="G93" s="532">
        <v>1000000</v>
      </c>
      <c r="H93" s="533"/>
    </row>
    <row r="94" spans="2:8" x14ac:dyDescent="0.25">
      <c r="B94" s="531" t="s">
        <v>1406</v>
      </c>
      <c r="C94" s="532" t="s">
        <v>1492</v>
      </c>
      <c r="D94" s="532" t="s">
        <v>1404</v>
      </c>
      <c r="E94" s="532" t="s">
        <v>1422</v>
      </c>
      <c r="F94" s="532">
        <v>201</v>
      </c>
      <c r="G94" s="532">
        <v>1000000</v>
      </c>
      <c r="H94" s="533"/>
    </row>
    <row r="95" spans="2:8" x14ac:dyDescent="0.25">
      <c r="B95" s="531" t="s">
        <v>1407</v>
      </c>
      <c r="C95" s="532" t="s">
        <v>1491</v>
      </c>
      <c r="D95" s="532" t="s">
        <v>1404</v>
      </c>
      <c r="E95" s="532" t="s">
        <v>1421</v>
      </c>
      <c r="F95" s="532">
        <v>201</v>
      </c>
      <c r="G95" s="532">
        <v>1000000</v>
      </c>
      <c r="H95" s="533"/>
    </row>
    <row r="96" spans="2:8" x14ac:dyDescent="0.25">
      <c r="B96" s="531" t="s">
        <v>1407</v>
      </c>
      <c r="C96" s="532" t="s">
        <v>1492</v>
      </c>
      <c r="D96" s="532" t="s">
        <v>1404</v>
      </c>
      <c r="E96" s="532" t="s">
        <v>1422</v>
      </c>
      <c r="F96" s="532">
        <v>201</v>
      </c>
      <c r="G96" s="532">
        <v>1000000</v>
      </c>
      <c r="H96" s="533"/>
    </row>
    <row r="97" spans="2:8" x14ac:dyDescent="0.25">
      <c r="B97" s="531" t="s">
        <v>1408</v>
      </c>
      <c r="C97" s="532" t="s">
        <v>1493</v>
      </c>
      <c r="D97" s="532" t="s">
        <v>1404</v>
      </c>
      <c r="E97" s="532" t="s">
        <v>1423</v>
      </c>
      <c r="F97" s="532">
        <v>201</v>
      </c>
      <c r="G97" s="532">
        <v>1000000</v>
      </c>
      <c r="H97" s="533"/>
    </row>
    <row r="98" spans="2:8" x14ac:dyDescent="0.25">
      <c r="B98" s="531" t="s">
        <v>1409</v>
      </c>
      <c r="C98" s="532" t="s">
        <v>1493</v>
      </c>
      <c r="D98" s="532" t="s">
        <v>1404</v>
      </c>
      <c r="E98" s="532" t="s">
        <v>1423</v>
      </c>
      <c r="F98" s="532">
        <v>201</v>
      </c>
      <c r="G98" s="532">
        <v>1000000</v>
      </c>
      <c r="H98" s="533"/>
    </row>
    <row r="99" spans="2:8" x14ac:dyDescent="0.25">
      <c r="B99" s="531" t="s">
        <v>1410</v>
      </c>
      <c r="C99" s="532" t="s">
        <v>1494</v>
      </c>
      <c r="D99" s="532" t="s">
        <v>1404</v>
      </c>
      <c r="E99" s="532" t="s">
        <v>1423</v>
      </c>
      <c r="F99" s="532">
        <v>201</v>
      </c>
      <c r="G99" s="532">
        <v>1000000</v>
      </c>
      <c r="H99" s="533"/>
    </row>
    <row r="100" spans="2:8" x14ac:dyDescent="0.25">
      <c r="B100" s="531" t="s">
        <v>1411</v>
      </c>
      <c r="C100" s="532" t="s">
        <v>1494</v>
      </c>
      <c r="D100" s="532" t="s">
        <v>1404</v>
      </c>
      <c r="E100" s="532" t="s">
        <v>1423</v>
      </c>
      <c r="F100" s="532">
        <v>201</v>
      </c>
      <c r="G100" s="532">
        <v>1000000</v>
      </c>
      <c r="H100" s="533"/>
    </row>
    <row r="101" spans="2:8" x14ac:dyDescent="0.25">
      <c r="B101" s="531" t="s">
        <v>1412</v>
      </c>
      <c r="C101" s="532" t="s">
        <v>1495</v>
      </c>
      <c r="D101" s="532" t="s">
        <v>1404</v>
      </c>
      <c r="E101" s="532" t="s">
        <v>1421</v>
      </c>
      <c r="F101" s="532">
        <v>201</v>
      </c>
      <c r="G101" s="532">
        <v>1000000</v>
      </c>
      <c r="H101" s="533"/>
    </row>
    <row r="102" spans="2:8" x14ac:dyDescent="0.25">
      <c r="B102" s="531" t="s">
        <v>1413</v>
      </c>
      <c r="C102" s="532" t="s">
        <v>1496</v>
      </c>
      <c r="D102" s="532" t="s">
        <v>1404</v>
      </c>
      <c r="E102" s="532" t="s">
        <v>1422</v>
      </c>
      <c r="F102" s="532">
        <v>201</v>
      </c>
      <c r="G102" s="532">
        <v>1000000</v>
      </c>
      <c r="H102" s="533"/>
    </row>
    <row r="103" spans="2:8" x14ac:dyDescent="0.25">
      <c r="B103" s="531" t="s">
        <v>1414</v>
      </c>
      <c r="C103" s="532" t="s">
        <v>1497</v>
      </c>
      <c r="D103" s="532" t="s">
        <v>1357</v>
      </c>
      <c r="E103" s="532" t="s">
        <v>1421</v>
      </c>
      <c r="F103" s="532">
        <v>201</v>
      </c>
      <c r="G103" s="532">
        <v>1000000</v>
      </c>
      <c r="H103" s="533"/>
    </row>
    <row r="104" spans="2:8" x14ac:dyDescent="0.25">
      <c r="B104" s="531" t="s">
        <v>1415</v>
      </c>
      <c r="C104" s="532" t="s">
        <v>1498</v>
      </c>
      <c r="D104" s="532" t="s">
        <v>1357</v>
      </c>
      <c r="E104" s="532" t="s">
        <v>1422</v>
      </c>
      <c r="F104" s="532">
        <v>201</v>
      </c>
      <c r="G104" s="532">
        <v>1000000</v>
      </c>
      <c r="H104" s="533"/>
    </row>
    <row r="105" spans="2:8" x14ac:dyDescent="0.25">
      <c r="B105" s="531" t="s">
        <v>1416</v>
      </c>
      <c r="C105" s="532" t="s">
        <v>1499</v>
      </c>
      <c r="D105" s="532" t="s">
        <v>1417</v>
      </c>
      <c r="E105" s="532" t="s">
        <v>1421</v>
      </c>
      <c r="F105" s="532">
        <v>201</v>
      </c>
      <c r="G105" s="532">
        <v>1000000</v>
      </c>
      <c r="H105" s="533"/>
    </row>
    <row r="106" spans="2:8" ht="15.75" thickBot="1" x14ac:dyDescent="0.3">
      <c r="B106" s="535" t="s">
        <v>1418</v>
      </c>
      <c r="C106" s="536" t="s">
        <v>1500</v>
      </c>
      <c r="D106" s="536" t="s">
        <v>1417</v>
      </c>
      <c r="E106" s="536" t="s">
        <v>1422</v>
      </c>
      <c r="F106" s="536">
        <v>201</v>
      </c>
      <c r="G106" s="536">
        <v>1000000</v>
      </c>
      <c r="H106" s="537"/>
    </row>
  </sheetData>
  <sheetProtection sheet="1" objects="1" scenarios="1"/>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'Drop Down'!$W$72:$W$74</xm:f>
          </x14:formula1>
          <xm:sqref>S3:S68 N3:N70 E3:E106</xm:sqref>
        </x14:dataValidation>
      </x14:dataValidations>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AG175"/>
  <sheetViews>
    <sheetView topLeftCell="C99" zoomScale="85" zoomScaleNormal="85" workbookViewId="0">
      <selection activeCell="Y75" sqref="Y75:Y77"/>
    </sheetView>
  </sheetViews>
  <sheetFormatPr defaultRowHeight="15" x14ac:dyDescent="0.25"/>
  <cols>
    <col min="1" max="1" width="21.5703125" customWidth="1"/>
    <col min="2" max="2" width="2.28515625" customWidth="1"/>
    <col min="3" max="3" width="32.42578125" bestFit="1" customWidth="1"/>
    <col min="4" max="4" width="8.42578125" bestFit="1" customWidth="1"/>
    <col min="5" max="5" width="8.42578125" customWidth="1"/>
    <col min="6" max="6" width="2.42578125" customWidth="1"/>
    <col min="7" max="7" width="42" bestFit="1" customWidth="1"/>
    <col min="8" max="8" width="2.140625" customWidth="1"/>
    <col min="9" max="9" width="13.140625" customWidth="1"/>
    <col min="10" max="10" width="1.5703125" customWidth="1"/>
    <col min="11" max="11" width="14.42578125" customWidth="1"/>
    <col min="12" max="12" width="1.42578125" customWidth="1"/>
    <col min="13" max="13" width="10" customWidth="1"/>
    <col min="15" max="15" width="61.42578125" bestFit="1" customWidth="1"/>
    <col min="16" max="16" width="9.7109375" customWidth="1"/>
    <col min="17" max="17" width="11.5703125" customWidth="1"/>
    <col min="18" max="19" width="9.7109375" customWidth="1"/>
    <col min="20" max="20" width="9" customWidth="1"/>
    <col min="21" max="21" width="11" customWidth="1"/>
    <col min="25" max="25" width="11.7109375" customWidth="1"/>
    <col min="26" max="26" width="10.28515625" bestFit="1" customWidth="1"/>
    <col min="28" max="28" width="15.5703125" customWidth="1"/>
    <col min="29" max="29" width="15.7109375" customWidth="1"/>
    <col min="30" max="31" width="20" customWidth="1"/>
  </cols>
  <sheetData>
    <row r="1" spans="1:33" ht="15.75" thickBot="1" x14ac:dyDescent="0.3">
      <c r="A1" s="7" t="s">
        <v>63</v>
      </c>
      <c r="C1" s="102" t="s">
        <v>372</v>
      </c>
      <c r="D1" s="13"/>
      <c r="E1" s="13"/>
      <c r="G1" s="7" t="s">
        <v>48</v>
      </c>
      <c r="I1" s="7" t="s">
        <v>1254</v>
      </c>
      <c r="K1" s="7" t="s">
        <v>82</v>
      </c>
      <c r="M1" s="7" t="s">
        <v>370</v>
      </c>
      <c r="O1" s="835" t="s">
        <v>237</v>
      </c>
      <c r="P1" s="836"/>
      <c r="Q1" s="836"/>
      <c r="R1" s="836"/>
      <c r="S1" s="836"/>
      <c r="T1" s="836"/>
      <c r="U1" s="837"/>
    </row>
    <row r="2" spans="1:33" ht="15.75" thickBot="1" x14ac:dyDescent="0.3">
      <c r="A2" s="128"/>
      <c r="C2" s="55" t="s">
        <v>373</v>
      </c>
      <c r="D2" s="3"/>
      <c r="E2" s="3"/>
      <c r="G2" s="6" t="s">
        <v>93</v>
      </c>
      <c r="I2" s="52" t="s">
        <v>1255</v>
      </c>
      <c r="J2" s="77"/>
      <c r="K2" s="52" t="s">
        <v>1252</v>
      </c>
      <c r="L2" s="77"/>
      <c r="M2" s="52" t="s">
        <v>97</v>
      </c>
      <c r="O2" s="89" t="s">
        <v>222</v>
      </c>
      <c r="P2" s="90" t="s">
        <v>238</v>
      </c>
      <c r="Q2" s="90" t="s">
        <v>239</v>
      </c>
      <c r="R2" s="90" t="s">
        <v>240</v>
      </c>
      <c r="S2" s="90" t="s">
        <v>241</v>
      </c>
      <c r="T2" s="90" t="s">
        <v>242</v>
      </c>
      <c r="U2" s="91" t="s">
        <v>243</v>
      </c>
      <c r="Y2" t="s">
        <v>1683</v>
      </c>
    </row>
    <row r="3" spans="1:33" x14ac:dyDescent="0.25">
      <c r="A3" s="6" t="s">
        <v>49</v>
      </c>
      <c r="C3" s="50" t="s">
        <v>374</v>
      </c>
      <c r="D3" s="8"/>
      <c r="E3" s="8"/>
      <c r="G3" s="35" t="s">
        <v>92</v>
      </c>
      <c r="I3" s="37" t="s">
        <v>1256</v>
      </c>
      <c r="J3" s="77"/>
      <c r="K3" s="37" t="s">
        <v>99</v>
      </c>
      <c r="L3" s="77"/>
      <c r="M3" s="37" t="s">
        <v>1258</v>
      </c>
      <c r="O3" s="85">
        <v>1</v>
      </c>
      <c r="P3" s="86" t="s">
        <v>244</v>
      </c>
      <c r="Q3" s="87">
        <v>1</v>
      </c>
      <c r="R3" s="87">
        <v>1</v>
      </c>
      <c r="S3" s="87">
        <v>1</v>
      </c>
      <c r="T3" s="87">
        <v>1</v>
      </c>
      <c r="U3" s="88">
        <v>1</v>
      </c>
      <c r="Y3" t="s">
        <v>1684</v>
      </c>
    </row>
    <row r="4" spans="1:33" x14ac:dyDescent="0.25">
      <c r="A4" s="4" t="s">
        <v>50</v>
      </c>
      <c r="C4" s="35" t="s">
        <v>375</v>
      </c>
      <c r="D4" s="3"/>
      <c r="E4" s="3"/>
      <c r="G4" s="35" t="s">
        <v>96</v>
      </c>
      <c r="I4" s="37" t="s">
        <v>98</v>
      </c>
      <c r="J4" s="77"/>
      <c r="K4" s="37" t="s">
        <v>100</v>
      </c>
      <c r="L4" s="77"/>
      <c r="M4" s="37" t="s">
        <v>1259</v>
      </c>
      <c r="O4" s="83">
        <v>11</v>
      </c>
      <c r="P4" s="82" t="s">
        <v>245</v>
      </c>
      <c r="Q4" s="30">
        <v>1</v>
      </c>
      <c r="R4" s="30">
        <v>2</v>
      </c>
      <c r="S4" s="30">
        <v>2</v>
      </c>
      <c r="T4" s="30">
        <v>2</v>
      </c>
      <c r="U4" s="31">
        <v>1</v>
      </c>
      <c r="Y4" t="s">
        <v>1685</v>
      </c>
    </row>
    <row r="5" spans="1:33" ht="15.75" thickBot="1" x14ac:dyDescent="0.3">
      <c r="A5" s="5" t="s">
        <v>51</v>
      </c>
      <c r="C5" s="35" t="s">
        <v>376</v>
      </c>
      <c r="D5" s="3"/>
      <c r="E5" s="3"/>
      <c r="G5" s="35" t="s">
        <v>95</v>
      </c>
      <c r="I5" s="37" t="s">
        <v>128</v>
      </c>
      <c r="J5" s="77"/>
      <c r="K5" s="37" t="s">
        <v>101</v>
      </c>
      <c r="L5" s="77"/>
      <c r="M5" s="37" t="s">
        <v>1260</v>
      </c>
      <c r="O5" s="83">
        <v>26</v>
      </c>
      <c r="P5" s="82" t="s">
        <v>246</v>
      </c>
      <c r="Q5" s="30">
        <v>1</v>
      </c>
      <c r="R5" s="30">
        <v>5</v>
      </c>
      <c r="S5" s="30">
        <v>3</v>
      </c>
      <c r="T5" s="30">
        <v>3</v>
      </c>
      <c r="U5" s="31">
        <v>2</v>
      </c>
    </row>
    <row r="6" spans="1:33" ht="15.75" thickBot="1" x14ac:dyDescent="0.3">
      <c r="C6" s="50" t="s">
        <v>377</v>
      </c>
      <c r="D6" s="8"/>
      <c r="E6" s="8"/>
      <c r="G6" s="35" t="s">
        <v>92</v>
      </c>
      <c r="I6" s="38" t="s">
        <v>1257</v>
      </c>
      <c r="J6" s="77"/>
      <c r="K6" s="38" t="s">
        <v>1253</v>
      </c>
      <c r="L6" s="77"/>
      <c r="M6" s="38" t="s">
        <v>1261</v>
      </c>
      <c r="O6" s="83">
        <v>51</v>
      </c>
      <c r="P6" s="82" t="s">
        <v>247</v>
      </c>
      <c r="Q6" s="30">
        <v>2</v>
      </c>
      <c r="R6" s="30">
        <v>10</v>
      </c>
      <c r="S6" s="30">
        <v>4</v>
      </c>
      <c r="T6" s="30">
        <v>4</v>
      </c>
      <c r="U6" s="31">
        <v>2</v>
      </c>
      <c r="Y6" t="s">
        <v>1680</v>
      </c>
    </row>
    <row r="7" spans="1:33" ht="15.75" thickBot="1" x14ac:dyDescent="0.3">
      <c r="C7" s="50" t="s">
        <v>64</v>
      </c>
      <c r="D7" s="8"/>
      <c r="E7" s="8"/>
      <c r="G7" s="36" t="s">
        <v>94</v>
      </c>
      <c r="O7" s="83">
        <v>101</v>
      </c>
      <c r="P7" s="82" t="s">
        <v>248</v>
      </c>
      <c r="Q7" s="30">
        <v>3</v>
      </c>
      <c r="R7" s="30">
        <v>20</v>
      </c>
      <c r="S7" s="30">
        <v>8</v>
      </c>
      <c r="T7" s="30">
        <v>6</v>
      </c>
      <c r="U7" s="31">
        <v>3</v>
      </c>
      <c r="Y7" t="s">
        <v>1682</v>
      </c>
    </row>
    <row r="8" spans="1:33" ht="15.75" thickBot="1" x14ac:dyDescent="0.3">
      <c r="A8" s="7" t="s">
        <v>255</v>
      </c>
      <c r="C8" s="50" t="s">
        <v>65</v>
      </c>
      <c r="D8" s="8"/>
      <c r="E8" s="8"/>
      <c r="G8" s="3"/>
      <c r="M8" s="7" t="s">
        <v>214</v>
      </c>
      <c r="O8" s="84">
        <v>200</v>
      </c>
      <c r="P8" s="32" t="s">
        <v>249</v>
      </c>
      <c r="Q8" s="32">
        <v>4</v>
      </c>
      <c r="R8" s="32" t="s">
        <v>250</v>
      </c>
      <c r="S8" s="32">
        <v>12</v>
      </c>
      <c r="T8" s="32">
        <v>8</v>
      </c>
      <c r="U8" s="33">
        <v>4</v>
      </c>
      <c r="Y8" t="s">
        <v>1686</v>
      </c>
    </row>
    <row r="9" spans="1:33" ht="15.75" thickBot="1" x14ac:dyDescent="0.3">
      <c r="A9" s="6" t="s">
        <v>0</v>
      </c>
      <c r="C9" s="50" t="s">
        <v>66</v>
      </c>
      <c r="D9" s="8"/>
      <c r="E9" s="8"/>
      <c r="G9" s="3"/>
      <c r="M9" s="55" t="s">
        <v>212</v>
      </c>
    </row>
    <row r="10" spans="1:33" ht="15.75" thickBot="1" x14ac:dyDescent="0.3">
      <c r="A10" s="35" t="s">
        <v>1</v>
      </c>
      <c r="C10" s="35" t="s">
        <v>378</v>
      </c>
      <c r="D10" s="3"/>
      <c r="E10" s="3"/>
      <c r="G10" s="56" t="s">
        <v>273</v>
      </c>
      <c r="M10" s="36" t="s">
        <v>213</v>
      </c>
    </row>
    <row r="11" spans="1:33" ht="15.75" thickBot="1" x14ac:dyDescent="0.3">
      <c r="A11" s="35" t="s">
        <v>225</v>
      </c>
      <c r="C11" s="50" t="s">
        <v>379</v>
      </c>
      <c r="D11" s="8"/>
      <c r="E11" s="8"/>
      <c r="G11" s="6" t="s">
        <v>261</v>
      </c>
      <c r="M11" s="3"/>
    </row>
    <row r="12" spans="1:33" ht="15.75" thickBot="1" x14ac:dyDescent="0.3">
      <c r="A12" s="35" t="s">
        <v>2</v>
      </c>
      <c r="C12" s="138" t="s">
        <v>380</v>
      </c>
      <c r="D12" s="8"/>
      <c r="E12" s="8"/>
      <c r="G12" s="35" t="s">
        <v>262</v>
      </c>
      <c r="M12" s="3"/>
      <c r="O12" s="838" t="s">
        <v>650</v>
      </c>
      <c r="P12" s="839"/>
      <c r="Q12" s="839"/>
      <c r="R12" s="840"/>
    </row>
    <row r="13" spans="1:33" ht="15.75" thickBot="1" x14ac:dyDescent="0.3">
      <c r="A13" s="35" t="s">
        <v>2</v>
      </c>
      <c r="C13" s="11"/>
      <c r="D13" s="3"/>
      <c r="E13" s="3"/>
      <c r="G13" s="35" t="s">
        <v>263</v>
      </c>
      <c r="M13" s="3"/>
      <c r="O13" s="308" t="s">
        <v>78</v>
      </c>
      <c r="P13" s="309" t="s">
        <v>46</v>
      </c>
      <c r="Q13" s="309" t="s">
        <v>659</v>
      </c>
      <c r="R13" s="310" t="s">
        <v>660</v>
      </c>
      <c r="S13" s="454" t="s">
        <v>366</v>
      </c>
      <c r="T13" s="454" t="s">
        <v>659</v>
      </c>
      <c r="U13" s="454" t="s">
        <v>660</v>
      </c>
      <c r="Y13" t="s">
        <v>78</v>
      </c>
      <c r="Z13" t="s">
        <v>366</v>
      </c>
      <c r="AA13" t="s">
        <v>659</v>
      </c>
      <c r="AB13" t="s">
        <v>1553</v>
      </c>
      <c r="AC13" t="s">
        <v>1554</v>
      </c>
      <c r="AD13" t="s">
        <v>61</v>
      </c>
      <c r="AE13" t="s">
        <v>1768</v>
      </c>
      <c r="AF13" t="s">
        <v>660</v>
      </c>
      <c r="AG13" t="s">
        <v>210</v>
      </c>
    </row>
    <row r="14" spans="1:33" ht="15.75" thickBot="1" x14ac:dyDescent="0.3">
      <c r="A14" s="35" t="s">
        <v>226</v>
      </c>
      <c r="C14" s="3"/>
      <c r="D14" s="3"/>
      <c r="E14" s="3"/>
      <c r="G14" s="35" t="s">
        <v>264</v>
      </c>
      <c r="M14" s="3"/>
      <c r="O14" s="15" t="s">
        <v>651</v>
      </c>
      <c r="P14" s="3">
        <v>20</v>
      </c>
      <c r="Q14" s="3">
        <v>-4</v>
      </c>
      <c r="R14" s="14">
        <v>-10</v>
      </c>
      <c r="W14" s="407" t="s">
        <v>1087</v>
      </c>
      <c r="Y14" t="s">
        <v>653</v>
      </c>
      <c r="Z14">
        <v>4</v>
      </c>
      <c r="AA14">
        <v>-2</v>
      </c>
      <c r="AB14">
        <v>100</v>
      </c>
      <c r="AC14">
        <v>1000</v>
      </c>
      <c r="AD14">
        <v>0.5</v>
      </c>
      <c r="AE14">
        <v>2500</v>
      </c>
      <c r="AF14">
        <v>-10</v>
      </c>
      <c r="AG14">
        <v>3</v>
      </c>
    </row>
    <row r="15" spans="1:33" ht="15.75" thickBot="1" x14ac:dyDescent="0.3">
      <c r="A15" s="35" t="s">
        <v>227</v>
      </c>
      <c r="C15" s="56" t="s">
        <v>1138</v>
      </c>
      <c r="D15" s="8"/>
      <c r="E15" s="8"/>
      <c r="G15" s="35" t="s">
        <v>265</v>
      </c>
      <c r="M15" s="3"/>
      <c r="O15" s="15" t="s">
        <v>652</v>
      </c>
      <c r="P15" s="3">
        <v>60</v>
      </c>
      <c r="Q15" s="3">
        <v>-2</v>
      </c>
      <c r="R15" s="14">
        <v>-5</v>
      </c>
      <c r="W15" s="6" t="s">
        <v>212</v>
      </c>
      <c r="Y15" t="s">
        <v>1551</v>
      </c>
      <c r="Z15">
        <v>16</v>
      </c>
      <c r="AA15">
        <v>0</v>
      </c>
      <c r="AB15">
        <v>500</v>
      </c>
      <c r="AC15">
        <v>4000</v>
      </c>
      <c r="AD15">
        <v>1</v>
      </c>
      <c r="AE15">
        <v>10000</v>
      </c>
      <c r="AF15">
        <v>0</v>
      </c>
      <c r="AG15">
        <v>5</v>
      </c>
    </row>
    <row r="16" spans="1:33" ht="15.75" thickBot="1" x14ac:dyDescent="0.3">
      <c r="A16" s="35" t="s">
        <v>3</v>
      </c>
      <c r="C16" s="374"/>
      <c r="D16" s="8"/>
      <c r="E16" s="8"/>
      <c r="G16" s="35" t="s">
        <v>266</v>
      </c>
      <c r="M16" s="3"/>
      <c r="O16" s="15" t="s">
        <v>653</v>
      </c>
      <c r="P16" s="3">
        <v>200</v>
      </c>
      <c r="Q16" s="3">
        <v>-1</v>
      </c>
      <c r="R16" s="14">
        <v>0</v>
      </c>
      <c r="S16" s="8">
        <v>1</v>
      </c>
      <c r="T16" s="8">
        <v>-4</v>
      </c>
      <c r="U16">
        <v>-10</v>
      </c>
      <c r="W16" s="36" t="s">
        <v>213</v>
      </c>
      <c r="Y16" t="s">
        <v>1552</v>
      </c>
      <c r="Z16">
        <v>36</v>
      </c>
      <c r="AA16">
        <v>1</v>
      </c>
      <c r="AB16">
        <v>1000</v>
      </c>
      <c r="AC16">
        <v>8000</v>
      </c>
      <c r="AD16">
        <v>2</v>
      </c>
      <c r="AE16">
        <v>50000</v>
      </c>
      <c r="AF16">
        <v>5</v>
      </c>
      <c r="AG16">
        <v>7</v>
      </c>
    </row>
    <row r="17" spans="1:33" x14ac:dyDescent="0.25">
      <c r="A17" s="35" t="s">
        <v>4</v>
      </c>
      <c r="C17" s="50" t="s">
        <v>31</v>
      </c>
      <c r="D17" s="8"/>
      <c r="E17" s="8"/>
      <c r="G17" s="35" t="s">
        <v>267</v>
      </c>
      <c r="M17" s="3"/>
      <c r="O17" s="15" t="s">
        <v>654</v>
      </c>
      <c r="P17" s="3">
        <v>2000</v>
      </c>
      <c r="Q17" s="3">
        <v>0</v>
      </c>
      <c r="R17" s="14">
        <v>0</v>
      </c>
      <c r="S17" s="8">
        <v>8</v>
      </c>
      <c r="T17" s="8">
        <v>-2</v>
      </c>
      <c r="U17">
        <v>-5</v>
      </c>
      <c r="Y17" t="s">
        <v>658</v>
      </c>
      <c r="Z17">
        <v>100000000</v>
      </c>
      <c r="AA17">
        <v>1</v>
      </c>
      <c r="AB17">
        <v>1000</v>
      </c>
      <c r="AC17">
        <v>16000</v>
      </c>
      <c r="AD17">
        <v>2</v>
      </c>
      <c r="AE17">
        <v>100000</v>
      </c>
      <c r="AF17">
        <v>5</v>
      </c>
      <c r="AG17">
        <v>8</v>
      </c>
    </row>
    <row r="18" spans="1:33" x14ac:dyDescent="0.25">
      <c r="A18" s="35" t="s">
        <v>5</v>
      </c>
      <c r="C18" s="35" t="s">
        <v>36</v>
      </c>
      <c r="D18" s="3"/>
      <c r="E18" s="3"/>
      <c r="G18" s="35" t="s">
        <v>268</v>
      </c>
      <c r="M18" s="3"/>
      <c r="O18" s="15" t="s">
        <v>655</v>
      </c>
      <c r="P18" s="3">
        <v>5000</v>
      </c>
      <c r="Q18" s="3">
        <v>0</v>
      </c>
      <c r="R18" s="14">
        <v>5</v>
      </c>
      <c r="S18" s="8">
        <v>20</v>
      </c>
      <c r="T18" s="8">
        <v>0</v>
      </c>
      <c r="U18">
        <v>0</v>
      </c>
    </row>
    <row r="19" spans="1:33" ht="15.75" thickBot="1" x14ac:dyDescent="0.3">
      <c r="A19" s="35" t="s">
        <v>6</v>
      </c>
      <c r="C19" s="442" t="s">
        <v>9</v>
      </c>
      <c r="D19" s="8"/>
      <c r="E19" s="8"/>
      <c r="G19" s="35" t="s">
        <v>269</v>
      </c>
      <c r="M19" s="3"/>
      <c r="O19" s="15" t="s">
        <v>656</v>
      </c>
      <c r="P19" s="3">
        <v>10000</v>
      </c>
      <c r="Q19" s="3">
        <v>1</v>
      </c>
      <c r="R19" s="14">
        <v>5</v>
      </c>
      <c r="S19" s="8">
        <v>40</v>
      </c>
      <c r="T19" s="8">
        <v>1</v>
      </c>
      <c r="U19">
        <v>5</v>
      </c>
    </row>
    <row r="20" spans="1:33" x14ac:dyDescent="0.25">
      <c r="A20" s="35" t="s">
        <v>228</v>
      </c>
      <c r="C20" s="8"/>
      <c r="D20" s="8"/>
      <c r="E20" s="8"/>
      <c r="G20" s="35" t="s">
        <v>270</v>
      </c>
      <c r="M20" s="3"/>
      <c r="O20" s="15" t="s">
        <v>657</v>
      </c>
      <c r="P20" s="3">
        <v>25000</v>
      </c>
      <c r="Q20" s="3">
        <v>2</v>
      </c>
      <c r="R20" s="14">
        <v>10</v>
      </c>
      <c r="S20" s="8">
        <v>100</v>
      </c>
      <c r="T20" s="8">
        <v>1</v>
      </c>
      <c r="U20">
        <v>5</v>
      </c>
    </row>
    <row r="21" spans="1:33" ht="15.75" thickBot="1" x14ac:dyDescent="0.3">
      <c r="A21" s="35" t="s">
        <v>229</v>
      </c>
      <c r="C21" s="8"/>
      <c r="D21" s="8"/>
      <c r="E21" s="8"/>
      <c r="G21" s="35" t="s">
        <v>271</v>
      </c>
      <c r="M21" s="3"/>
      <c r="O21" s="307" t="s">
        <v>658</v>
      </c>
      <c r="P21" s="2">
        <v>100000000</v>
      </c>
      <c r="Q21" s="2">
        <v>4</v>
      </c>
      <c r="R21" s="24">
        <v>10</v>
      </c>
      <c r="S21" s="8">
        <v>6000</v>
      </c>
      <c r="T21" s="8">
        <v>1</v>
      </c>
      <c r="U21">
        <v>5</v>
      </c>
      <c r="Y21" t="s">
        <v>1607</v>
      </c>
    </row>
    <row r="22" spans="1:33" ht="15.75" thickBot="1" x14ac:dyDescent="0.3">
      <c r="A22" s="35" t="s">
        <v>7</v>
      </c>
      <c r="C22" s="8"/>
      <c r="D22" s="8"/>
      <c r="E22" s="8"/>
      <c r="G22" s="36" t="s">
        <v>272</v>
      </c>
      <c r="M22" s="3"/>
      <c r="Y22" t="s">
        <v>97</v>
      </c>
    </row>
    <row r="23" spans="1:33" x14ac:dyDescent="0.25">
      <c r="A23" s="35" t="s">
        <v>8</v>
      </c>
      <c r="C23" s="8"/>
      <c r="D23" s="8"/>
      <c r="E23" s="8"/>
      <c r="G23" s="3"/>
      <c r="M23" s="3"/>
      <c r="Y23" t="s">
        <v>1065</v>
      </c>
    </row>
    <row r="24" spans="1:33" ht="15.75" thickBot="1" x14ac:dyDescent="0.3">
      <c r="A24" s="35" t="s">
        <v>9</v>
      </c>
      <c r="C24" s="8"/>
      <c r="D24" s="8"/>
      <c r="E24" s="8"/>
      <c r="G24" s="3"/>
      <c r="M24" s="3"/>
      <c r="Y24" t="s">
        <v>1072</v>
      </c>
    </row>
    <row r="25" spans="1:33" ht="15.75" thickBot="1" x14ac:dyDescent="0.3">
      <c r="A25" s="35" t="s">
        <v>10</v>
      </c>
      <c r="C25" s="8"/>
      <c r="D25" s="8"/>
      <c r="E25" s="8"/>
      <c r="G25" s="3"/>
      <c r="M25" s="3"/>
      <c r="O25" s="9" t="s">
        <v>784</v>
      </c>
      <c r="P25" s="12" t="s">
        <v>659</v>
      </c>
      <c r="S25" t="s">
        <v>792</v>
      </c>
      <c r="Y25" t="s">
        <v>1615</v>
      </c>
    </row>
    <row r="26" spans="1:33" x14ac:dyDescent="0.25">
      <c r="A26" s="35" t="s">
        <v>11</v>
      </c>
      <c r="C26" s="8"/>
      <c r="D26" s="8"/>
      <c r="E26" s="8"/>
      <c r="G26" s="3"/>
      <c r="M26" s="3"/>
      <c r="O26" s="390"/>
      <c r="P26" s="391">
        <v>0</v>
      </c>
      <c r="S26" t="s">
        <v>97</v>
      </c>
      <c r="Y26" t="s">
        <v>1612</v>
      </c>
    </row>
    <row r="27" spans="1:33" x14ac:dyDescent="0.25">
      <c r="A27" s="35" t="s">
        <v>12</v>
      </c>
      <c r="C27" s="3"/>
      <c r="D27" s="3"/>
      <c r="E27" s="3"/>
      <c r="G27" s="3"/>
      <c r="O27" s="392" t="s">
        <v>785</v>
      </c>
      <c r="P27" s="393">
        <v>20</v>
      </c>
      <c r="S27" t="s">
        <v>793</v>
      </c>
      <c r="Y27" t="s">
        <v>1614</v>
      </c>
    </row>
    <row r="28" spans="1:33" ht="15.75" thickBot="1" x14ac:dyDescent="0.3">
      <c r="A28" s="35" t="s">
        <v>230</v>
      </c>
      <c r="O28" s="392" t="s">
        <v>786</v>
      </c>
      <c r="P28" s="393">
        <v>15</v>
      </c>
      <c r="S28" t="s">
        <v>794</v>
      </c>
      <c r="Y28" t="s">
        <v>1609</v>
      </c>
    </row>
    <row r="29" spans="1:33" ht="15.75" thickBot="1" x14ac:dyDescent="0.3">
      <c r="A29" s="35" t="s">
        <v>13</v>
      </c>
      <c r="C29" s="7" t="s">
        <v>476</v>
      </c>
      <c r="D29" s="13"/>
      <c r="E29" s="13"/>
      <c r="G29" s="7" t="s">
        <v>163</v>
      </c>
      <c r="I29" s="7" t="s">
        <v>466</v>
      </c>
      <c r="M29" s="7" t="s">
        <v>159</v>
      </c>
      <c r="O29" s="392" t="s">
        <v>787</v>
      </c>
      <c r="P29" s="393">
        <v>10</v>
      </c>
      <c r="S29" t="s">
        <v>795</v>
      </c>
      <c r="Y29" t="s">
        <v>1608</v>
      </c>
    </row>
    <row r="30" spans="1:33" x14ac:dyDescent="0.25">
      <c r="A30" s="35" t="s">
        <v>14</v>
      </c>
      <c r="C30" s="54"/>
      <c r="D30" s="13"/>
      <c r="E30" s="13"/>
      <c r="G30" s="6" t="s">
        <v>164</v>
      </c>
      <c r="I30" s="128"/>
      <c r="M30" s="53">
        <v>1</v>
      </c>
      <c r="O30" s="392" t="s">
        <v>788</v>
      </c>
      <c r="P30" s="393">
        <v>5</v>
      </c>
      <c r="Y30" t="s">
        <v>1611</v>
      </c>
    </row>
    <row r="31" spans="1:33" ht="15.75" thickBot="1" x14ac:dyDescent="0.3">
      <c r="A31" s="35" t="s">
        <v>15</v>
      </c>
      <c r="C31" s="35" t="s">
        <v>173</v>
      </c>
      <c r="D31" s="375">
        <v>0.125</v>
      </c>
      <c r="E31" s="375">
        <v>1</v>
      </c>
      <c r="G31" s="35" t="s">
        <v>165</v>
      </c>
      <c r="I31" s="37" t="s">
        <v>472</v>
      </c>
      <c r="M31" s="37">
        <v>2</v>
      </c>
      <c r="O31" s="394" t="s">
        <v>789</v>
      </c>
      <c r="P31" s="395">
        <v>0</v>
      </c>
      <c r="Y31" t="s">
        <v>1613</v>
      </c>
    </row>
    <row r="32" spans="1:33" x14ac:dyDescent="0.25">
      <c r="A32" s="35" t="s">
        <v>132</v>
      </c>
      <c r="C32" s="35" t="s">
        <v>477</v>
      </c>
      <c r="D32" s="375">
        <v>0.16666666666666666</v>
      </c>
      <c r="E32" s="375">
        <v>10</v>
      </c>
      <c r="G32" s="35" t="s">
        <v>166</v>
      </c>
      <c r="I32" s="37" t="s">
        <v>473</v>
      </c>
      <c r="M32" s="37">
        <v>3</v>
      </c>
      <c r="Y32" t="s">
        <v>1610</v>
      </c>
    </row>
    <row r="33" spans="1:25" ht="15.75" thickBot="1" x14ac:dyDescent="0.3">
      <c r="A33" s="35" t="s">
        <v>16</v>
      </c>
      <c r="C33" s="50" t="s">
        <v>180</v>
      </c>
      <c r="D33" s="376">
        <v>0.25</v>
      </c>
      <c r="E33" s="376">
        <v>25</v>
      </c>
      <c r="G33" s="35" t="s">
        <v>168</v>
      </c>
      <c r="I33" s="37" t="s">
        <v>474</v>
      </c>
      <c r="M33" s="37">
        <v>4</v>
      </c>
      <c r="Y33" t="s">
        <v>1073</v>
      </c>
    </row>
    <row r="34" spans="1:25" ht="15.75" thickBot="1" x14ac:dyDescent="0.3">
      <c r="A34" s="35" t="s">
        <v>17</v>
      </c>
      <c r="C34" s="35" t="s">
        <v>174</v>
      </c>
      <c r="D34" s="375">
        <v>0.5</v>
      </c>
      <c r="E34" s="375">
        <v>50</v>
      </c>
      <c r="G34" s="35" t="s">
        <v>167</v>
      </c>
      <c r="I34" s="38" t="s">
        <v>475</v>
      </c>
      <c r="M34" s="37">
        <v>5</v>
      </c>
      <c r="O34" s="832" t="s">
        <v>1639</v>
      </c>
      <c r="P34" s="833"/>
      <c r="Q34" s="833"/>
      <c r="R34" s="833"/>
      <c r="S34" s="833"/>
      <c r="T34" s="833"/>
      <c r="U34" s="834"/>
      <c r="Y34" t="s">
        <v>1071</v>
      </c>
    </row>
    <row r="35" spans="1:25" x14ac:dyDescent="0.25">
      <c r="A35" s="35" t="s">
        <v>18</v>
      </c>
      <c r="C35" s="35" t="s">
        <v>175</v>
      </c>
      <c r="D35" s="375">
        <v>1</v>
      </c>
      <c r="E35" s="375">
        <v>100</v>
      </c>
      <c r="G35" s="35" t="s">
        <v>169</v>
      </c>
      <c r="M35" s="37">
        <v>7</v>
      </c>
      <c r="O35" s="396" t="s">
        <v>796</v>
      </c>
      <c r="P35" s="397"/>
      <c r="Q35" s="397"/>
      <c r="R35" s="397"/>
      <c r="S35" s="397"/>
      <c r="T35" s="398"/>
      <c r="U35" s="393">
        <v>-8</v>
      </c>
    </row>
    <row r="36" spans="1:25" x14ac:dyDescent="0.25">
      <c r="A36" s="35" t="s">
        <v>19</v>
      </c>
      <c r="C36" s="35" t="s">
        <v>176</v>
      </c>
      <c r="D36" s="375">
        <v>2</v>
      </c>
      <c r="E36" s="375">
        <v>200</v>
      </c>
      <c r="G36" s="50" t="s">
        <v>170</v>
      </c>
      <c r="M36" s="37">
        <v>8</v>
      </c>
      <c r="O36" s="396" t="s">
        <v>798</v>
      </c>
      <c r="P36" s="397"/>
      <c r="Q36" s="397"/>
      <c r="R36" s="397"/>
      <c r="S36" s="397"/>
      <c r="T36" s="398"/>
      <c r="U36" s="393">
        <v>-4</v>
      </c>
    </row>
    <row r="37" spans="1:25" x14ac:dyDescent="0.25">
      <c r="A37" s="35" t="s">
        <v>231</v>
      </c>
      <c r="C37" s="35" t="s">
        <v>177</v>
      </c>
      <c r="D37" s="375">
        <v>4</v>
      </c>
      <c r="E37" s="375">
        <v>500</v>
      </c>
      <c r="G37" s="50" t="s">
        <v>171</v>
      </c>
      <c r="M37" s="37">
        <v>9</v>
      </c>
      <c r="O37" s="396" t="s">
        <v>797</v>
      </c>
      <c r="P37" s="397"/>
      <c r="Q37" s="397"/>
      <c r="R37" s="397"/>
      <c r="S37" s="397"/>
      <c r="T37" s="398"/>
      <c r="U37" s="393">
        <v>-2</v>
      </c>
    </row>
    <row r="38" spans="1:25" ht="15.75" thickBot="1" x14ac:dyDescent="0.3">
      <c r="A38" s="35" t="s">
        <v>20</v>
      </c>
      <c r="C38" s="35" t="s">
        <v>178</v>
      </c>
      <c r="D38" s="375">
        <v>10</v>
      </c>
      <c r="E38" s="375">
        <v>1000</v>
      </c>
      <c r="G38" s="51" t="s">
        <v>172</v>
      </c>
      <c r="M38" s="37">
        <v>10</v>
      </c>
      <c r="O38" s="396" t="s">
        <v>799</v>
      </c>
      <c r="P38" s="397"/>
      <c r="Q38" s="397"/>
      <c r="R38" s="397"/>
      <c r="S38" s="397"/>
      <c r="T38" s="398"/>
      <c r="U38" s="393">
        <v>2</v>
      </c>
    </row>
    <row r="39" spans="1:25" ht="15.75" thickBot="1" x14ac:dyDescent="0.3">
      <c r="A39" s="35" t="s">
        <v>21</v>
      </c>
      <c r="C39" s="36" t="s">
        <v>179</v>
      </c>
      <c r="D39" s="375">
        <v>20</v>
      </c>
      <c r="E39" s="375">
        <v>2000</v>
      </c>
      <c r="M39" s="37">
        <v>11</v>
      </c>
      <c r="O39" s="396" t="s">
        <v>800</v>
      </c>
      <c r="P39" s="397"/>
      <c r="Q39" s="397"/>
      <c r="R39" s="397"/>
      <c r="S39" s="397"/>
      <c r="T39" s="398"/>
      <c r="U39" s="393">
        <v>5</v>
      </c>
    </row>
    <row r="40" spans="1:25" ht="15.75" thickBot="1" x14ac:dyDescent="0.3">
      <c r="A40" s="35" t="s">
        <v>22</v>
      </c>
      <c r="G40" s="13"/>
      <c r="M40" s="37">
        <v>12</v>
      </c>
      <c r="O40" s="399" t="s">
        <v>801</v>
      </c>
      <c r="P40" s="400"/>
      <c r="Q40" s="400"/>
      <c r="R40" s="400"/>
      <c r="S40" s="400"/>
      <c r="T40" s="401"/>
      <c r="U40" s="395">
        <v>10</v>
      </c>
    </row>
    <row r="41" spans="1:25" ht="15.75" thickBot="1" x14ac:dyDescent="0.3">
      <c r="A41" s="35" t="s">
        <v>23</v>
      </c>
      <c r="C41" s="13"/>
      <c r="D41" s="13"/>
      <c r="E41" s="13"/>
      <c r="G41" s="3"/>
      <c r="M41" s="37">
        <v>13</v>
      </c>
    </row>
    <row r="42" spans="1:25" ht="15.75" thickBot="1" x14ac:dyDescent="0.3">
      <c r="A42" s="35" t="s">
        <v>24</v>
      </c>
      <c r="C42" s="102" t="s">
        <v>158</v>
      </c>
      <c r="D42" s="13"/>
      <c r="E42" s="13"/>
      <c r="G42" s="102" t="s">
        <v>488</v>
      </c>
      <c r="M42" s="37">
        <v>14</v>
      </c>
    </row>
    <row r="43" spans="1:25" x14ac:dyDescent="0.25">
      <c r="A43" s="35" t="s">
        <v>25</v>
      </c>
      <c r="C43" s="54"/>
      <c r="D43" s="13"/>
      <c r="E43" s="13"/>
      <c r="G43" s="55"/>
      <c r="M43" s="37">
        <v>15</v>
      </c>
      <c r="T43" t="s">
        <v>812</v>
      </c>
      <c r="U43" t="s">
        <v>817</v>
      </c>
    </row>
    <row r="44" spans="1:25" x14ac:dyDescent="0.25">
      <c r="A44" s="35" t="s">
        <v>232</v>
      </c>
      <c r="C44" s="35" t="s">
        <v>181</v>
      </c>
      <c r="D44" s="3"/>
      <c r="E44" s="3"/>
      <c r="G44" s="252" t="s">
        <v>489</v>
      </c>
      <c r="M44" s="37">
        <v>16</v>
      </c>
      <c r="O44" t="s">
        <v>812</v>
      </c>
      <c r="T44" t="s">
        <v>813</v>
      </c>
      <c r="U44">
        <v>1</v>
      </c>
    </row>
    <row r="45" spans="1:25" x14ac:dyDescent="0.25">
      <c r="A45" s="35" t="s">
        <v>26</v>
      </c>
      <c r="C45" s="35" t="s">
        <v>182</v>
      </c>
      <c r="D45" s="3"/>
      <c r="E45" s="3"/>
      <c r="G45" s="252" t="s">
        <v>541</v>
      </c>
      <c r="M45" s="37">
        <v>17</v>
      </c>
      <c r="O45" t="s">
        <v>813</v>
      </c>
      <c r="T45" t="s">
        <v>814</v>
      </c>
      <c r="U45">
        <v>2</v>
      </c>
    </row>
    <row r="46" spans="1:25" x14ac:dyDescent="0.25">
      <c r="A46" s="35" t="s">
        <v>27</v>
      </c>
      <c r="C46" s="35" t="s">
        <v>183</v>
      </c>
      <c r="D46" s="3"/>
      <c r="E46" s="3"/>
      <c r="G46" s="252" t="s">
        <v>490</v>
      </c>
      <c r="M46" s="37">
        <v>18</v>
      </c>
      <c r="O46" t="s">
        <v>814</v>
      </c>
      <c r="T46" t="s">
        <v>815</v>
      </c>
      <c r="U46">
        <v>3</v>
      </c>
    </row>
    <row r="47" spans="1:25" x14ac:dyDescent="0.25">
      <c r="A47" s="35" t="s">
        <v>233</v>
      </c>
      <c r="C47" s="35" t="s">
        <v>184</v>
      </c>
      <c r="D47" s="3"/>
      <c r="E47" s="3"/>
      <c r="G47" s="252" t="s">
        <v>542</v>
      </c>
      <c r="M47" s="37">
        <v>19</v>
      </c>
      <c r="O47" t="s">
        <v>815</v>
      </c>
      <c r="T47" t="s">
        <v>816</v>
      </c>
      <c r="U47">
        <v>4</v>
      </c>
    </row>
    <row r="48" spans="1:25" ht="15.75" thickBot="1" x14ac:dyDescent="0.3">
      <c r="A48" s="35" t="s">
        <v>28</v>
      </c>
      <c r="C48" s="35" t="s">
        <v>185</v>
      </c>
      <c r="D48" s="3"/>
      <c r="E48" s="3"/>
      <c r="G48" s="252" t="s">
        <v>491</v>
      </c>
      <c r="M48" s="38">
        <v>20</v>
      </c>
      <c r="O48" t="s">
        <v>816</v>
      </c>
    </row>
    <row r="49" spans="1:25" ht="15.75" thickBot="1" x14ac:dyDescent="0.3">
      <c r="A49" s="35" t="s">
        <v>254</v>
      </c>
      <c r="C49" s="35" t="s">
        <v>186</v>
      </c>
      <c r="D49" s="3"/>
      <c r="E49" s="3"/>
      <c r="G49" s="252" t="s">
        <v>543</v>
      </c>
    </row>
    <row r="50" spans="1:25" ht="15.75" thickBot="1" x14ac:dyDescent="0.3">
      <c r="A50" s="35" t="s">
        <v>29</v>
      </c>
      <c r="C50" s="35" t="s">
        <v>484</v>
      </c>
      <c r="D50" s="3"/>
      <c r="E50" s="3"/>
      <c r="G50" s="252" t="s">
        <v>544</v>
      </c>
      <c r="M50" s="7" t="s">
        <v>216</v>
      </c>
    </row>
    <row r="51" spans="1:25" ht="15.75" thickBot="1" x14ac:dyDescent="0.3">
      <c r="A51" s="35" t="s">
        <v>30</v>
      </c>
      <c r="C51" s="35" t="s">
        <v>188</v>
      </c>
      <c r="D51" s="3"/>
      <c r="E51" s="3"/>
      <c r="G51" s="252" t="s">
        <v>492</v>
      </c>
      <c r="M51" s="59">
        <v>-4</v>
      </c>
      <c r="O51" s="458" t="s">
        <v>1109</v>
      </c>
      <c r="P51" s="459"/>
      <c r="Q51" s="459" t="s">
        <v>640</v>
      </c>
      <c r="R51" s="459" t="s">
        <v>641</v>
      </c>
      <c r="S51" s="459" t="s">
        <v>644</v>
      </c>
      <c r="T51" s="459" t="s">
        <v>643</v>
      </c>
      <c r="U51" s="459" t="s">
        <v>642</v>
      </c>
      <c r="V51" s="460" t="s">
        <v>645</v>
      </c>
      <c r="W51" s="461" t="s">
        <v>1171</v>
      </c>
    </row>
    <row r="52" spans="1:25" x14ac:dyDescent="0.25">
      <c r="A52" s="35" t="s">
        <v>31</v>
      </c>
      <c r="C52" s="35" t="s">
        <v>215</v>
      </c>
      <c r="D52" s="3"/>
      <c r="E52" s="3"/>
      <c r="G52" s="252" t="s">
        <v>493</v>
      </c>
      <c r="M52" s="57">
        <v>-3</v>
      </c>
      <c r="O52" s="455"/>
      <c r="P52" s="456"/>
      <c r="Q52" s="456">
        <v>0</v>
      </c>
      <c r="R52" s="456">
        <v>0</v>
      </c>
      <c r="S52" s="456">
        <v>0</v>
      </c>
      <c r="T52" s="456">
        <v>0</v>
      </c>
      <c r="U52" s="456">
        <v>0</v>
      </c>
      <c r="V52" s="457">
        <v>0</v>
      </c>
    </row>
    <row r="53" spans="1:25" x14ac:dyDescent="0.25">
      <c r="A53" s="35" t="s">
        <v>32</v>
      </c>
      <c r="C53" s="35" t="s">
        <v>189</v>
      </c>
      <c r="D53" s="3"/>
      <c r="E53" s="3"/>
      <c r="G53" s="252" t="s">
        <v>494</v>
      </c>
      <c r="M53" s="57">
        <v>-2</v>
      </c>
      <c r="O53" s="392" t="s">
        <v>1165</v>
      </c>
      <c r="P53" s="435"/>
      <c r="Q53" s="435">
        <v>0</v>
      </c>
      <c r="R53" s="435">
        <v>0</v>
      </c>
      <c r="S53" s="435">
        <v>0</v>
      </c>
      <c r="T53" s="435">
        <v>0</v>
      </c>
      <c r="U53" s="435">
        <v>0</v>
      </c>
      <c r="V53" s="393">
        <v>0</v>
      </c>
      <c r="W53" t="s">
        <v>1172</v>
      </c>
    </row>
    <row r="54" spans="1:25" x14ac:dyDescent="0.25">
      <c r="A54" s="35" t="s">
        <v>33</v>
      </c>
      <c r="C54" s="35" t="s">
        <v>190</v>
      </c>
      <c r="D54" s="3"/>
      <c r="E54" s="3"/>
      <c r="G54" s="252" t="s">
        <v>545</v>
      </c>
      <c r="M54" s="57">
        <v>-1</v>
      </c>
      <c r="O54" s="392" t="s">
        <v>1110</v>
      </c>
      <c r="P54" s="435"/>
      <c r="Q54" s="435">
        <v>0</v>
      </c>
      <c r="R54" s="435">
        <v>0</v>
      </c>
      <c r="S54" s="435">
        <v>0</v>
      </c>
      <c r="T54" s="435">
        <v>0</v>
      </c>
      <c r="U54" s="435">
        <v>0</v>
      </c>
      <c r="V54" s="393">
        <v>0</v>
      </c>
      <c r="W54" t="s">
        <v>1172</v>
      </c>
    </row>
    <row r="55" spans="1:25" x14ac:dyDescent="0.25">
      <c r="A55" s="35" t="s">
        <v>34</v>
      </c>
      <c r="C55" s="251" t="s">
        <v>98</v>
      </c>
      <c r="D55" s="3"/>
      <c r="E55" s="3"/>
      <c r="G55" s="252" t="s">
        <v>546</v>
      </c>
      <c r="M55" s="57">
        <v>0</v>
      </c>
      <c r="O55" s="392" t="s">
        <v>1111</v>
      </c>
      <c r="P55" s="435"/>
      <c r="Q55" s="435">
        <v>0</v>
      </c>
      <c r="R55" s="435">
        <v>0</v>
      </c>
      <c r="S55" s="435">
        <v>2</v>
      </c>
      <c r="T55" s="435">
        <v>0</v>
      </c>
      <c r="U55" s="435">
        <v>-1</v>
      </c>
      <c r="V55" s="393">
        <v>-1</v>
      </c>
      <c r="W55" s="462" t="s">
        <v>1173</v>
      </c>
    </row>
    <row r="56" spans="1:25" x14ac:dyDescent="0.25">
      <c r="A56" s="35" t="s">
        <v>35</v>
      </c>
      <c r="C56" s="251" t="s">
        <v>191</v>
      </c>
      <c r="D56" s="3"/>
      <c r="E56" s="3"/>
      <c r="G56" s="252" t="s">
        <v>197</v>
      </c>
      <c r="M56" s="57">
        <v>1</v>
      </c>
      <c r="O56" s="392" t="s">
        <v>1112</v>
      </c>
      <c r="P56" s="435"/>
      <c r="Q56" s="435">
        <v>1</v>
      </c>
      <c r="R56" s="435">
        <v>0</v>
      </c>
      <c r="S56" s="435">
        <v>-1</v>
      </c>
      <c r="T56" s="435">
        <v>-1</v>
      </c>
      <c r="U56" s="435">
        <v>0</v>
      </c>
      <c r="V56" s="393">
        <v>1</v>
      </c>
      <c r="W56" s="462" t="s">
        <v>1174</v>
      </c>
    </row>
    <row r="57" spans="1:25" ht="15.75" thickBot="1" x14ac:dyDescent="0.3">
      <c r="A57" s="35" t="s">
        <v>36</v>
      </c>
      <c r="C57" s="36" t="s">
        <v>485</v>
      </c>
      <c r="D57" s="3"/>
      <c r="E57" s="3"/>
      <c r="G57" s="252" t="s">
        <v>547</v>
      </c>
      <c r="M57" s="57">
        <v>2</v>
      </c>
      <c r="O57" s="392" t="s">
        <v>1113</v>
      </c>
      <c r="P57" s="435"/>
      <c r="Q57" s="435">
        <v>1</v>
      </c>
      <c r="R57" s="435">
        <v>-1</v>
      </c>
      <c r="S57" s="435">
        <v>0</v>
      </c>
      <c r="T57" s="435">
        <v>1</v>
      </c>
      <c r="U57" s="435">
        <v>0</v>
      </c>
      <c r="V57" s="393">
        <v>-1</v>
      </c>
      <c r="W57" s="462" t="s">
        <v>1175</v>
      </c>
    </row>
    <row r="58" spans="1:25" x14ac:dyDescent="0.25">
      <c r="A58" s="35" t="s">
        <v>37</v>
      </c>
      <c r="G58" s="252" t="s">
        <v>495</v>
      </c>
      <c r="M58" s="57">
        <v>3</v>
      </c>
      <c r="O58" s="392" t="s">
        <v>1114</v>
      </c>
      <c r="P58" s="435"/>
      <c r="Q58" s="435">
        <v>0</v>
      </c>
      <c r="R58" s="435">
        <v>-1</v>
      </c>
      <c r="S58" s="435">
        <v>0</v>
      </c>
      <c r="T58" s="435">
        <v>-1</v>
      </c>
      <c r="U58" s="435">
        <v>1</v>
      </c>
      <c r="V58" s="393">
        <v>1</v>
      </c>
      <c r="W58" s="462" t="s">
        <v>1176</v>
      </c>
    </row>
    <row r="59" spans="1:25" ht="16.5" thickBot="1" x14ac:dyDescent="0.3">
      <c r="A59" s="35" t="s">
        <v>38</v>
      </c>
      <c r="D59" s="369"/>
      <c r="E59" s="369"/>
      <c r="G59" s="252" t="s">
        <v>496</v>
      </c>
      <c r="M59" s="57">
        <v>4</v>
      </c>
      <c r="O59" s="392" t="s">
        <v>1115</v>
      </c>
      <c r="P59" s="435"/>
      <c r="Q59" s="435">
        <v>1</v>
      </c>
      <c r="R59" s="435">
        <v>1</v>
      </c>
      <c r="S59" s="435">
        <v>0</v>
      </c>
      <c r="T59" s="435">
        <v>-3</v>
      </c>
      <c r="U59" s="435">
        <v>1</v>
      </c>
      <c r="V59" s="393">
        <v>0</v>
      </c>
      <c r="W59" s="462" t="s">
        <v>1177</v>
      </c>
    </row>
    <row r="60" spans="1:25" ht="15.75" thickBot="1" x14ac:dyDescent="0.3">
      <c r="A60" s="35" t="s">
        <v>39</v>
      </c>
      <c r="C60" s="102" t="s">
        <v>487</v>
      </c>
      <c r="D60" s="373" t="s">
        <v>763</v>
      </c>
      <c r="E60" s="575"/>
      <c r="G60" s="252" t="s">
        <v>497</v>
      </c>
      <c r="M60" s="57">
        <v>5</v>
      </c>
      <c r="O60" s="394" t="s">
        <v>1116</v>
      </c>
      <c r="P60" s="436"/>
      <c r="Q60" s="436">
        <v>-1</v>
      </c>
      <c r="R60" s="436">
        <v>0</v>
      </c>
      <c r="S60" s="436">
        <v>1</v>
      </c>
      <c r="T60" s="436">
        <v>1</v>
      </c>
      <c r="U60" s="436">
        <v>0</v>
      </c>
      <c r="V60" s="395">
        <v>-1</v>
      </c>
      <c r="W60" s="462" t="s">
        <v>1178</v>
      </c>
    </row>
    <row r="61" spans="1:25" x14ac:dyDescent="0.25">
      <c r="A61" s="35" t="s">
        <v>40</v>
      </c>
      <c r="C61" s="370"/>
      <c r="D61" s="374"/>
      <c r="E61" s="8"/>
      <c r="G61" s="252" t="s">
        <v>548</v>
      </c>
      <c r="M61" s="57">
        <v>6</v>
      </c>
    </row>
    <row r="62" spans="1:25" x14ac:dyDescent="0.25">
      <c r="A62" s="35" t="s">
        <v>41</v>
      </c>
      <c r="C62" s="371" t="s">
        <v>194</v>
      </c>
      <c r="D62" s="50">
        <v>10</v>
      </c>
      <c r="E62" s="8"/>
      <c r="G62" s="252" t="s">
        <v>549</v>
      </c>
      <c r="M62" s="57">
        <v>7</v>
      </c>
    </row>
    <row r="63" spans="1:25" x14ac:dyDescent="0.25">
      <c r="A63" s="35" t="s">
        <v>42</v>
      </c>
      <c r="C63" s="371" t="s">
        <v>580</v>
      </c>
      <c r="D63" s="50">
        <v>3</v>
      </c>
      <c r="E63" s="8"/>
      <c r="G63" s="252" t="s">
        <v>550</v>
      </c>
      <c r="M63" s="57">
        <v>8</v>
      </c>
      <c r="O63" t="s">
        <v>1254</v>
      </c>
      <c r="P63" t="s">
        <v>1262</v>
      </c>
      <c r="Q63" t="s">
        <v>51</v>
      </c>
      <c r="R63" t="s">
        <v>50</v>
      </c>
      <c r="S63" t="s">
        <v>49</v>
      </c>
      <c r="T63" t="s">
        <v>61</v>
      </c>
      <c r="U63" t="s">
        <v>1269</v>
      </c>
    </row>
    <row r="64" spans="1:25" x14ac:dyDescent="0.25">
      <c r="A64" s="35" t="s">
        <v>234</v>
      </c>
      <c r="C64" s="371" t="s">
        <v>193</v>
      </c>
      <c r="D64" s="50">
        <v>15</v>
      </c>
      <c r="E64" s="8"/>
      <c r="G64" s="252" t="s">
        <v>498</v>
      </c>
      <c r="M64" s="57">
        <v>9</v>
      </c>
      <c r="O64" t="s">
        <v>1255</v>
      </c>
      <c r="P64">
        <v>-1</v>
      </c>
      <c r="Q64">
        <v>2</v>
      </c>
      <c r="R64">
        <v>1</v>
      </c>
      <c r="S64">
        <v>-2</v>
      </c>
      <c r="T64">
        <v>-1</v>
      </c>
      <c r="U64">
        <v>-1</v>
      </c>
      <c r="Y64" s="34" t="s">
        <v>327</v>
      </c>
    </row>
    <row r="65" spans="1:26" ht="15.75" thickBot="1" x14ac:dyDescent="0.3">
      <c r="A65" s="36" t="s">
        <v>235</v>
      </c>
      <c r="C65" s="371" t="s">
        <v>581</v>
      </c>
      <c r="D65" s="50">
        <v>5</v>
      </c>
      <c r="E65" s="8"/>
      <c r="G65" s="252" t="s">
        <v>551</v>
      </c>
      <c r="M65" s="58">
        <v>10</v>
      </c>
      <c r="O65" t="s">
        <v>1256</v>
      </c>
      <c r="P65">
        <v>0</v>
      </c>
      <c r="Q65">
        <v>1</v>
      </c>
      <c r="R65">
        <v>0</v>
      </c>
      <c r="S65">
        <v>-1</v>
      </c>
      <c r="T65">
        <v>0</v>
      </c>
      <c r="U65">
        <v>0</v>
      </c>
      <c r="Y65" t="s">
        <v>1520</v>
      </c>
      <c r="Z65">
        <v>20</v>
      </c>
    </row>
    <row r="66" spans="1:26" ht="15.75" thickBot="1" x14ac:dyDescent="0.3">
      <c r="C66" s="371" t="s">
        <v>192</v>
      </c>
      <c r="D66" s="50">
        <v>50</v>
      </c>
      <c r="E66" s="8"/>
      <c r="G66" s="252" t="s">
        <v>201</v>
      </c>
      <c r="O66" t="s">
        <v>98</v>
      </c>
      <c r="P66">
        <v>0</v>
      </c>
      <c r="Q66">
        <v>0</v>
      </c>
      <c r="R66">
        <v>0</v>
      </c>
      <c r="S66">
        <v>0</v>
      </c>
      <c r="T66">
        <v>0</v>
      </c>
      <c r="U66">
        <v>0</v>
      </c>
      <c r="Y66" t="s">
        <v>1522</v>
      </c>
      <c r="Z66">
        <v>5</v>
      </c>
    </row>
    <row r="67" spans="1:26" ht="15.75" thickBot="1" x14ac:dyDescent="0.3">
      <c r="C67" s="371" t="s">
        <v>486</v>
      </c>
      <c r="D67" s="50"/>
      <c r="E67" s="8"/>
      <c r="G67" s="252" t="s">
        <v>499</v>
      </c>
      <c r="M67" s="7" t="s">
        <v>160</v>
      </c>
      <c r="O67" t="s">
        <v>128</v>
      </c>
      <c r="P67">
        <v>1</v>
      </c>
      <c r="Q67">
        <v>-1</v>
      </c>
      <c r="R67">
        <v>-1</v>
      </c>
      <c r="S67">
        <v>1</v>
      </c>
      <c r="T67" t="s">
        <v>1263</v>
      </c>
      <c r="U67" t="s">
        <v>1270</v>
      </c>
      <c r="Y67" t="s">
        <v>1523</v>
      </c>
      <c r="Z67">
        <v>5</v>
      </c>
    </row>
    <row r="68" spans="1:26" x14ac:dyDescent="0.25">
      <c r="C68" s="371" t="s">
        <v>195</v>
      </c>
      <c r="D68" s="50">
        <v>2</v>
      </c>
      <c r="E68" s="8"/>
      <c r="G68" s="252" t="s">
        <v>500</v>
      </c>
      <c r="M68" s="294">
        <v>-4</v>
      </c>
      <c r="O68" t="s">
        <v>1257</v>
      </c>
      <c r="P68">
        <v>2</v>
      </c>
      <c r="Q68">
        <v>-2</v>
      </c>
      <c r="R68">
        <v>-2</v>
      </c>
      <c r="S68">
        <v>2</v>
      </c>
      <c r="T68" t="s">
        <v>1264</v>
      </c>
      <c r="U68" t="s">
        <v>1263</v>
      </c>
      <c r="Y68" t="s">
        <v>1525</v>
      </c>
      <c r="Z68">
        <v>0</v>
      </c>
    </row>
    <row r="69" spans="1:26" ht="15.75" thickBot="1" x14ac:dyDescent="0.3">
      <c r="C69" s="372" t="s">
        <v>196</v>
      </c>
      <c r="D69" s="51">
        <v>15</v>
      </c>
      <c r="E69" s="8"/>
      <c r="G69" s="252" t="s">
        <v>501</v>
      </c>
      <c r="M69" s="292">
        <v>-3</v>
      </c>
      <c r="Y69" t="s">
        <v>1524</v>
      </c>
      <c r="Z69">
        <v>15</v>
      </c>
    </row>
    <row r="70" spans="1:26" x14ac:dyDescent="0.25">
      <c r="G70" s="252" t="s">
        <v>502</v>
      </c>
      <c r="M70" s="292">
        <v>-2</v>
      </c>
      <c r="Y70" t="s">
        <v>1593</v>
      </c>
      <c r="Z70">
        <v>10</v>
      </c>
    </row>
    <row r="71" spans="1:26" ht="15.75" thickBot="1" x14ac:dyDescent="0.3">
      <c r="G71" s="252" t="s">
        <v>552</v>
      </c>
      <c r="M71" s="292">
        <v>-1</v>
      </c>
      <c r="O71" t="s">
        <v>1265</v>
      </c>
      <c r="P71" t="s">
        <v>49</v>
      </c>
      <c r="Q71" t="s">
        <v>50</v>
      </c>
      <c r="R71" t="s">
        <v>61</v>
      </c>
      <c r="W71" t="s">
        <v>1420</v>
      </c>
      <c r="Y71" t="s">
        <v>1526</v>
      </c>
      <c r="Z71">
        <v>10</v>
      </c>
    </row>
    <row r="72" spans="1:26" ht="15.75" thickBot="1" x14ac:dyDescent="0.3">
      <c r="C72" s="102" t="s">
        <v>465</v>
      </c>
      <c r="D72" s="13"/>
      <c r="E72" s="13"/>
      <c r="G72" s="252" t="s">
        <v>503</v>
      </c>
      <c r="M72" s="292" t="s">
        <v>601</v>
      </c>
      <c r="O72" t="s">
        <v>97</v>
      </c>
      <c r="P72">
        <v>-2</v>
      </c>
      <c r="Q72">
        <v>-4</v>
      </c>
      <c r="R72">
        <v>0</v>
      </c>
      <c r="W72" t="s">
        <v>1421</v>
      </c>
      <c r="Y72" t="s">
        <v>1527</v>
      </c>
      <c r="Z72">
        <v>0</v>
      </c>
    </row>
    <row r="73" spans="1:26" x14ac:dyDescent="0.25">
      <c r="C73" s="55"/>
      <c r="D73" s="3"/>
      <c r="E73" s="3"/>
      <c r="G73" s="252" t="s">
        <v>553</v>
      </c>
      <c r="M73" s="292" t="s">
        <v>602</v>
      </c>
      <c r="O73" t="s">
        <v>1258</v>
      </c>
      <c r="P73">
        <v>-1</v>
      </c>
      <c r="Q73">
        <v>-2</v>
      </c>
      <c r="R73">
        <v>1</v>
      </c>
      <c r="W73" t="s">
        <v>1422</v>
      </c>
      <c r="Y73" t="s">
        <v>1594</v>
      </c>
      <c r="Z73">
        <v>0</v>
      </c>
    </row>
    <row r="74" spans="1:26" x14ac:dyDescent="0.25">
      <c r="C74" s="35" t="s">
        <v>532</v>
      </c>
      <c r="D74" s="3"/>
      <c r="E74" s="3"/>
      <c r="G74" s="252" t="s">
        <v>504</v>
      </c>
      <c r="M74" s="292" t="s">
        <v>603</v>
      </c>
      <c r="O74" t="s">
        <v>1259</v>
      </c>
      <c r="P74">
        <v>0</v>
      </c>
      <c r="Q74">
        <v>0</v>
      </c>
      <c r="R74" t="s">
        <v>1266</v>
      </c>
      <c r="W74" t="s">
        <v>1423</v>
      </c>
      <c r="Y74" t="s">
        <v>1785</v>
      </c>
      <c r="Z74">
        <v>5</v>
      </c>
    </row>
    <row r="75" spans="1:26" x14ac:dyDescent="0.25">
      <c r="C75" s="35" t="s">
        <v>533</v>
      </c>
      <c r="D75" s="3"/>
      <c r="E75" s="3"/>
      <c r="G75" s="252" t="s">
        <v>554</v>
      </c>
      <c r="M75" s="292" t="s">
        <v>604</v>
      </c>
      <c r="O75" t="s">
        <v>1260</v>
      </c>
      <c r="P75">
        <v>1</v>
      </c>
      <c r="Q75">
        <v>2</v>
      </c>
      <c r="R75" t="s">
        <v>1267</v>
      </c>
      <c r="Y75" t="s">
        <v>320</v>
      </c>
      <c r="Z75">
        <v>2</v>
      </c>
    </row>
    <row r="76" spans="1:26" ht="15.75" thickBot="1" x14ac:dyDescent="0.3">
      <c r="C76" s="35" t="s">
        <v>534</v>
      </c>
      <c r="D76" s="3"/>
      <c r="E76" s="3"/>
      <c r="G76" s="252" t="s">
        <v>198</v>
      </c>
      <c r="M76" s="293" t="s">
        <v>605</v>
      </c>
      <c r="O76" t="s">
        <v>1261</v>
      </c>
      <c r="P76">
        <v>2</v>
      </c>
      <c r="Q76">
        <v>4</v>
      </c>
      <c r="R76" t="s">
        <v>1268</v>
      </c>
      <c r="Y76" t="s">
        <v>1634</v>
      </c>
      <c r="Z76">
        <v>2</v>
      </c>
    </row>
    <row r="77" spans="1:26" x14ac:dyDescent="0.25">
      <c r="C77" s="35" t="s">
        <v>535</v>
      </c>
      <c r="D77" s="3"/>
      <c r="E77" s="3"/>
      <c r="G77" s="252" t="s">
        <v>555</v>
      </c>
      <c r="Y77" t="s">
        <v>1635</v>
      </c>
      <c r="Z77">
        <v>3</v>
      </c>
    </row>
    <row r="78" spans="1:26" x14ac:dyDescent="0.25">
      <c r="C78" s="35" t="s">
        <v>536</v>
      </c>
      <c r="D78" s="3"/>
      <c r="E78" s="3"/>
      <c r="G78" s="252" t="s">
        <v>200</v>
      </c>
    </row>
    <row r="79" spans="1:26" x14ac:dyDescent="0.25">
      <c r="C79" s="35" t="s">
        <v>187</v>
      </c>
      <c r="D79" s="3"/>
      <c r="E79" s="3"/>
      <c r="G79" s="252" t="s">
        <v>556</v>
      </c>
      <c r="O79" t="s">
        <v>82</v>
      </c>
      <c r="P79" t="s">
        <v>49</v>
      </c>
      <c r="Q79" t="s">
        <v>50</v>
      </c>
      <c r="R79" t="s">
        <v>1271</v>
      </c>
      <c r="W79" t="s">
        <v>1598</v>
      </c>
      <c r="Z79" t="s">
        <v>1602</v>
      </c>
    </row>
    <row r="80" spans="1:26" x14ac:dyDescent="0.25">
      <c r="C80" s="35" t="s">
        <v>537</v>
      </c>
      <c r="D80" s="3"/>
      <c r="E80" s="3"/>
      <c r="G80" s="252" t="s">
        <v>557</v>
      </c>
      <c r="O80" t="s">
        <v>1252</v>
      </c>
      <c r="P80">
        <v>2</v>
      </c>
      <c r="Q80">
        <v>2</v>
      </c>
      <c r="R80">
        <v>5</v>
      </c>
      <c r="W80" t="s">
        <v>1599</v>
      </c>
      <c r="Z80" t="s">
        <v>1603</v>
      </c>
    </row>
    <row r="81" spans="3:30" x14ac:dyDescent="0.25">
      <c r="C81" s="35" t="s">
        <v>50</v>
      </c>
      <c r="D81" s="3"/>
      <c r="E81" s="3"/>
      <c r="G81" s="252" t="s">
        <v>204</v>
      </c>
      <c r="O81" t="s">
        <v>99</v>
      </c>
      <c r="P81">
        <v>1</v>
      </c>
      <c r="Q81">
        <v>1</v>
      </c>
      <c r="R81">
        <v>4</v>
      </c>
      <c r="W81" t="s">
        <v>1600</v>
      </c>
      <c r="Z81" t="s">
        <v>1604</v>
      </c>
    </row>
    <row r="82" spans="3:30" x14ac:dyDescent="0.25">
      <c r="C82" s="35" t="s">
        <v>538</v>
      </c>
      <c r="D82" s="3"/>
      <c r="E82" s="3"/>
      <c r="G82" s="252" t="s">
        <v>505</v>
      </c>
      <c r="O82" t="s">
        <v>100</v>
      </c>
      <c r="P82">
        <v>0</v>
      </c>
      <c r="Q82">
        <v>0</v>
      </c>
      <c r="R82">
        <v>3</v>
      </c>
      <c r="W82" t="s">
        <v>1601</v>
      </c>
      <c r="Z82" t="s">
        <v>1605</v>
      </c>
    </row>
    <row r="83" spans="3:30" x14ac:dyDescent="0.25">
      <c r="C83" s="35" t="s">
        <v>539</v>
      </c>
      <c r="D83" s="3"/>
      <c r="E83" s="3"/>
      <c r="G83" s="252" t="s">
        <v>506</v>
      </c>
      <c r="O83" t="s">
        <v>101</v>
      </c>
      <c r="P83">
        <v>-2</v>
      </c>
      <c r="Q83">
        <v>-4</v>
      </c>
      <c r="R83">
        <v>2.5</v>
      </c>
    </row>
    <row r="84" spans="3:30" ht="15.75" thickBot="1" x14ac:dyDescent="0.3">
      <c r="C84" s="36" t="s">
        <v>540</v>
      </c>
      <c r="D84" s="3"/>
      <c r="E84" s="3"/>
      <c r="G84" s="252" t="s">
        <v>558</v>
      </c>
      <c r="O84" t="s">
        <v>1253</v>
      </c>
      <c r="P84">
        <v>-4</v>
      </c>
      <c r="Q84">
        <v>-8</v>
      </c>
      <c r="R84">
        <v>2</v>
      </c>
    </row>
    <row r="85" spans="3:30" x14ac:dyDescent="0.25">
      <c r="G85" s="252" t="s">
        <v>507</v>
      </c>
    </row>
    <row r="86" spans="3:30" x14ac:dyDescent="0.25">
      <c r="G86" s="252" t="s">
        <v>559</v>
      </c>
    </row>
    <row r="87" spans="3:30" x14ac:dyDescent="0.25">
      <c r="C87" s="34" t="s">
        <v>1690</v>
      </c>
      <c r="G87" s="252" t="s">
        <v>560</v>
      </c>
    </row>
    <row r="88" spans="3:30" x14ac:dyDescent="0.25">
      <c r="C88">
        <v>1</v>
      </c>
      <c r="D88" s="608">
        <v>1</v>
      </c>
      <c r="G88" s="35" t="s">
        <v>586</v>
      </c>
      <c r="O88" t="s">
        <v>1582</v>
      </c>
    </row>
    <row r="89" spans="3:30" x14ac:dyDescent="0.25">
      <c r="C89">
        <v>0</v>
      </c>
      <c r="D89" s="608">
        <v>0.5</v>
      </c>
      <c r="G89" s="35" t="s">
        <v>587</v>
      </c>
      <c r="R89" t="s">
        <v>49</v>
      </c>
      <c r="S89" t="s">
        <v>50</v>
      </c>
      <c r="T89" t="s">
        <v>51</v>
      </c>
      <c r="U89" t="s">
        <v>85</v>
      </c>
    </row>
    <row r="90" spans="3:30" x14ac:dyDescent="0.25">
      <c r="C90">
        <v>-1</v>
      </c>
      <c r="D90" s="608">
        <v>0.33333333333333331</v>
      </c>
      <c r="G90" s="252" t="s">
        <v>508</v>
      </c>
      <c r="O90" t="s">
        <v>1583</v>
      </c>
      <c r="T90">
        <v>1</v>
      </c>
    </row>
    <row r="91" spans="3:30" x14ac:dyDescent="0.25">
      <c r="C91">
        <v>-2</v>
      </c>
      <c r="D91" s="608">
        <v>0.25</v>
      </c>
      <c r="G91" s="252" t="s">
        <v>509</v>
      </c>
      <c r="O91" t="s">
        <v>1584</v>
      </c>
      <c r="R91">
        <v>1</v>
      </c>
    </row>
    <row r="92" spans="3:30" x14ac:dyDescent="0.25">
      <c r="C92">
        <v>-3</v>
      </c>
      <c r="D92" s="608">
        <v>0.16666666666666666</v>
      </c>
      <c r="G92" s="252" t="s">
        <v>561</v>
      </c>
      <c r="O92" t="s">
        <v>1585</v>
      </c>
      <c r="U92">
        <v>1</v>
      </c>
    </row>
    <row r="93" spans="3:30" x14ac:dyDescent="0.25">
      <c r="C93">
        <v>-4</v>
      </c>
      <c r="D93" s="608">
        <v>0.125</v>
      </c>
      <c r="G93" s="252" t="s">
        <v>510</v>
      </c>
    </row>
    <row r="94" spans="3:30" x14ac:dyDescent="0.25">
      <c r="G94" s="252" t="s">
        <v>562</v>
      </c>
      <c r="O94" t="s">
        <v>1586</v>
      </c>
      <c r="R94" t="s">
        <v>49</v>
      </c>
      <c r="S94" t="s">
        <v>50</v>
      </c>
      <c r="T94" t="s">
        <v>51</v>
      </c>
      <c r="U94" t="s">
        <v>85</v>
      </c>
      <c r="V94" t="s">
        <v>640</v>
      </c>
      <c r="W94" t="s">
        <v>641</v>
      </c>
      <c r="X94" t="s">
        <v>643</v>
      </c>
      <c r="Y94" t="s">
        <v>644</v>
      </c>
      <c r="Z94" t="s">
        <v>642</v>
      </c>
      <c r="AA94" t="s">
        <v>645</v>
      </c>
      <c r="AB94" t="s">
        <v>660</v>
      </c>
      <c r="AC94" t="s">
        <v>629</v>
      </c>
      <c r="AD94" t="s">
        <v>630</v>
      </c>
    </row>
    <row r="95" spans="3:30" x14ac:dyDescent="0.25">
      <c r="G95" s="252" t="s">
        <v>563</v>
      </c>
      <c r="O95" t="s">
        <v>1587</v>
      </c>
      <c r="V95">
        <v>1</v>
      </c>
      <c r="W95">
        <v>1</v>
      </c>
      <c r="X95">
        <v>-1</v>
      </c>
      <c r="Z95">
        <v>-1</v>
      </c>
      <c r="AA95">
        <v>2</v>
      </c>
    </row>
    <row r="96" spans="3:30" x14ac:dyDescent="0.25">
      <c r="G96" s="252" t="s">
        <v>564</v>
      </c>
      <c r="O96" t="s">
        <v>1588</v>
      </c>
      <c r="X96">
        <v>1</v>
      </c>
      <c r="AA96">
        <v>1</v>
      </c>
    </row>
    <row r="97" spans="7:29" x14ac:dyDescent="0.25">
      <c r="G97" s="252" t="s">
        <v>511</v>
      </c>
      <c r="O97" t="s">
        <v>1589</v>
      </c>
      <c r="V97">
        <v>1</v>
      </c>
      <c r="AA97">
        <v>1</v>
      </c>
      <c r="AB97">
        <v>5</v>
      </c>
    </row>
    <row r="98" spans="7:29" x14ac:dyDescent="0.25">
      <c r="G98" s="252" t="s">
        <v>512</v>
      </c>
      <c r="O98" t="s">
        <v>1590</v>
      </c>
      <c r="U98">
        <v>2</v>
      </c>
      <c r="X98">
        <v>1</v>
      </c>
      <c r="AA98">
        <v>-1</v>
      </c>
    </row>
    <row r="99" spans="7:29" x14ac:dyDescent="0.25">
      <c r="G99" s="252" t="s">
        <v>513</v>
      </c>
      <c r="O99" t="s">
        <v>1591</v>
      </c>
      <c r="U99">
        <v>4</v>
      </c>
      <c r="X99">
        <v>1</v>
      </c>
      <c r="Y99">
        <v>1</v>
      </c>
      <c r="AA99">
        <v>-1</v>
      </c>
      <c r="AC99">
        <v>1</v>
      </c>
    </row>
    <row r="100" spans="7:29" x14ac:dyDescent="0.25">
      <c r="G100" s="252" t="s">
        <v>565</v>
      </c>
      <c r="O100" t="s">
        <v>1592</v>
      </c>
      <c r="V100">
        <v>1</v>
      </c>
      <c r="W100">
        <v>1</v>
      </c>
      <c r="X100">
        <v>-1</v>
      </c>
      <c r="Z100">
        <v>-1</v>
      </c>
      <c r="AA100">
        <v>2</v>
      </c>
    </row>
    <row r="101" spans="7:29" x14ac:dyDescent="0.25">
      <c r="G101" s="252" t="s">
        <v>514</v>
      </c>
    </row>
    <row r="102" spans="7:29" x14ac:dyDescent="0.25">
      <c r="G102" s="252" t="s">
        <v>515</v>
      </c>
    </row>
    <row r="103" spans="7:29" x14ac:dyDescent="0.25">
      <c r="G103" s="252" t="s">
        <v>566</v>
      </c>
    </row>
    <row r="104" spans="7:29" x14ac:dyDescent="0.25">
      <c r="G104" s="252" t="s">
        <v>567</v>
      </c>
      <c r="O104" t="s">
        <v>1650</v>
      </c>
    </row>
    <row r="105" spans="7:29" x14ac:dyDescent="0.25">
      <c r="G105" s="252" t="s">
        <v>205</v>
      </c>
    </row>
    <row r="106" spans="7:29" x14ac:dyDescent="0.25">
      <c r="G106" s="252" t="s">
        <v>516</v>
      </c>
      <c r="O106" t="s">
        <v>1646</v>
      </c>
      <c r="P106" t="s">
        <v>1647</v>
      </c>
      <c r="Q106" t="s">
        <v>1648</v>
      </c>
      <c r="R106" t="s">
        <v>629</v>
      </c>
      <c r="S106" t="s">
        <v>630</v>
      </c>
      <c r="T106" t="s">
        <v>85</v>
      </c>
      <c r="U106" t="s">
        <v>49</v>
      </c>
      <c r="V106" t="s">
        <v>645</v>
      </c>
    </row>
    <row r="107" spans="7:29" x14ac:dyDescent="0.25">
      <c r="G107" s="252" t="s">
        <v>202</v>
      </c>
      <c r="O107" t="s">
        <v>1651</v>
      </c>
      <c r="P107">
        <v>0.01</v>
      </c>
      <c r="Q107" s="576">
        <v>0</v>
      </c>
      <c r="R107">
        <v>2</v>
      </c>
      <c r="T107">
        <v>-1</v>
      </c>
      <c r="U107">
        <v>2</v>
      </c>
      <c r="V107">
        <v>2</v>
      </c>
    </row>
    <row r="108" spans="7:29" x14ac:dyDescent="0.25">
      <c r="G108" s="252" t="s">
        <v>568</v>
      </c>
      <c r="O108" t="s">
        <v>1652</v>
      </c>
      <c r="P108">
        <v>0.05</v>
      </c>
      <c r="Q108" s="576">
        <v>0</v>
      </c>
      <c r="R108">
        <v>1</v>
      </c>
      <c r="U108">
        <v>1</v>
      </c>
      <c r="V108">
        <v>1</v>
      </c>
    </row>
    <row r="109" spans="7:29" x14ac:dyDescent="0.25">
      <c r="G109" s="252" t="s">
        <v>206</v>
      </c>
      <c r="O109" t="s">
        <v>100</v>
      </c>
      <c r="P109">
        <v>0.1</v>
      </c>
      <c r="Q109" s="576">
        <v>0.01</v>
      </c>
    </row>
    <row r="110" spans="7:29" x14ac:dyDescent="0.25">
      <c r="G110" s="252" t="s">
        <v>517</v>
      </c>
      <c r="O110" t="s">
        <v>128</v>
      </c>
      <c r="P110">
        <v>0.15</v>
      </c>
      <c r="Q110" s="576">
        <v>0.03</v>
      </c>
      <c r="S110">
        <v>1</v>
      </c>
      <c r="U110">
        <v>-1</v>
      </c>
      <c r="V110">
        <v>-1</v>
      </c>
    </row>
    <row r="111" spans="7:29" x14ac:dyDescent="0.25">
      <c r="G111" s="252" t="s">
        <v>518</v>
      </c>
      <c r="O111" t="s">
        <v>1653</v>
      </c>
      <c r="P111">
        <v>0.2</v>
      </c>
      <c r="Q111" s="576">
        <v>0.05</v>
      </c>
      <c r="S111">
        <v>2</v>
      </c>
      <c r="T111">
        <v>1</v>
      </c>
      <c r="U111">
        <v>-2</v>
      </c>
      <c r="V111">
        <v>-2</v>
      </c>
    </row>
    <row r="112" spans="7:29" x14ac:dyDescent="0.25">
      <c r="G112" s="252" t="s">
        <v>569</v>
      </c>
    </row>
    <row r="113" spans="7:33" x14ac:dyDescent="0.25">
      <c r="G113" s="252" t="s">
        <v>519</v>
      </c>
    </row>
    <row r="114" spans="7:33" x14ac:dyDescent="0.25">
      <c r="G114" s="252" t="s">
        <v>199</v>
      </c>
      <c r="O114" t="s">
        <v>1703</v>
      </c>
    </row>
    <row r="115" spans="7:33" x14ac:dyDescent="0.25">
      <c r="G115" s="252" t="s">
        <v>520</v>
      </c>
      <c r="O115" s="435"/>
      <c r="P115" s="435" t="s">
        <v>49</v>
      </c>
      <c r="Q115" s="435" t="s">
        <v>50</v>
      </c>
      <c r="R115" s="435" t="s">
        <v>51</v>
      </c>
      <c r="S115" s="435" t="s">
        <v>629</v>
      </c>
      <c r="T115" s="435" t="s">
        <v>630</v>
      </c>
      <c r="U115" s="435" t="s">
        <v>640</v>
      </c>
      <c r="V115" s="435" t="s">
        <v>641</v>
      </c>
      <c r="W115" s="435" t="s">
        <v>644</v>
      </c>
      <c r="X115" s="435" t="s">
        <v>643</v>
      </c>
      <c r="Y115" s="435" t="s">
        <v>642</v>
      </c>
      <c r="Z115" s="435" t="s">
        <v>645</v>
      </c>
      <c r="AA115" s="435" t="s">
        <v>660</v>
      </c>
      <c r="AB115" s="615" t="s">
        <v>1749</v>
      </c>
      <c r="AC115" s="615" t="s">
        <v>1750</v>
      </c>
      <c r="AD115" s="615" t="s">
        <v>1753</v>
      </c>
      <c r="AE115" s="615" t="s">
        <v>1751</v>
      </c>
      <c r="AF115" s="615" t="s">
        <v>1752</v>
      </c>
      <c r="AG115" s="615" t="s">
        <v>916</v>
      </c>
    </row>
    <row r="116" spans="7:33" x14ac:dyDescent="0.25">
      <c r="G116" s="252" t="s">
        <v>521</v>
      </c>
      <c r="O116" s="435"/>
      <c r="P116" s="435">
        <v>0</v>
      </c>
      <c r="Q116" s="435">
        <v>0</v>
      </c>
      <c r="R116" s="435">
        <v>0</v>
      </c>
      <c r="S116" s="435">
        <v>0</v>
      </c>
      <c r="T116" s="435">
        <v>0</v>
      </c>
      <c r="U116" s="435">
        <v>0</v>
      </c>
      <c r="V116" s="435">
        <v>0</v>
      </c>
      <c r="W116" s="435">
        <v>0</v>
      </c>
      <c r="X116" s="435">
        <v>0</v>
      </c>
      <c r="Y116" s="435">
        <v>0</v>
      </c>
      <c r="Z116" s="435">
        <v>0</v>
      </c>
      <c r="AA116" s="435">
        <v>0</v>
      </c>
      <c r="AB116" s="435">
        <v>0</v>
      </c>
      <c r="AC116" s="615">
        <v>0</v>
      </c>
      <c r="AD116" s="435">
        <v>0</v>
      </c>
      <c r="AE116" s="435">
        <v>0</v>
      </c>
      <c r="AF116" s="435">
        <v>0</v>
      </c>
      <c r="AG116" s="435"/>
    </row>
    <row r="117" spans="7:33" x14ac:dyDescent="0.25">
      <c r="G117" s="252" t="s">
        <v>522</v>
      </c>
      <c r="O117" s="435" t="s">
        <v>1704</v>
      </c>
      <c r="P117" s="435">
        <v>0</v>
      </c>
      <c r="Q117" s="435">
        <v>0</v>
      </c>
      <c r="R117" s="435">
        <v>0</v>
      </c>
      <c r="S117" s="435">
        <v>0</v>
      </c>
      <c r="T117" s="435">
        <v>0</v>
      </c>
      <c r="U117" s="435">
        <v>0</v>
      </c>
      <c r="V117" s="435">
        <v>0</v>
      </c>
      <c r="W117" s="435">
        <v>0</v>
      </c>
      <c r="X117" s="435">
        <v>0</v>
      </c>
      <c r="Y117" s="435">
        <v>1</v>
      </c>
      <c r="Z117" s="435">
        <v>0</v>
      </c>
      <c r="AA117" s="435">
        <v>0</v>
      </c>
      <c r="AB117" s="435">
        <v>0</v>
      </c>
      <c r="AC117" s="615">
        <v>0</v>
      </c>
      <c r="AD117" s="435">
        <v>0</v>
      </c>
      <c r="AE117" s="435">
        <v>0</v>
      </c>
      <c r="AF117" s="435">
        <v>0</v>
      </c>
      <c r="AG117" s="435"/>
    </row>
    <row r="118" spans="7:33" x14ac:dyDescent="0.25">
      <c r="G118" s="252" t="s">
        <v>207</v>
      </c>
      <c r="O118" s="435" t="s">
        <v>1705</v>
      </c>
      <c r="P118" s="435">
        <v>0</v>
      </c>
      <c r="Q118" s="435">
        <v>0</v>
      </c>
      <c r="R118" s="435">
        <v>0</v>
      </c>
      <c r="S118" s="435">
        <v>0</v>
      </c>
      <c r="T118" s="435">
        <v>0</v>
      </c>
      <c r="U118" s="435">
        <v>0</v>
      </c>
      <c r="V118" s="435">
        <v>0</v>
      </c>
      <c r="W118" s="435">
        <v>2</v>
      </c>
      <c r="X118" s="435">
        <v>1</v>
      </c>
      <c r="Y118" s="435">
        <v>-2</v>
      </c>
      <c r="Z118" s="435">
        <v>0</v>
      </c>
      <c r="AA118" s="435">
        <v>0</v>
      </c>
      <c r="AB118" s="435">
        <v>0</v>
      </c>
      <c r="AC118" s="615">
        <v>0</v>
      </c>
      <c r="AD118" s="435">
        <v>0</v>
      </c>
      <c r="AE118" s="435">
        <v>0</v>
      </c>
      <c r="AF118" s="435">
        <v>0</v>
      </c>
      <c r="AG118" s="435"/>
    </row>
    <row r="119" spans="7:33" x14ac:dyDescent="0.25">
      <c r="G119" s="252" t="s">
        <v>570</v>
      </c>
      <c r="O119" s="435" t="s">
        <v>1706</v>
      </c>
      <c r="P119" s="435">
        <v>0</v>
      </c>
      <c r="Q119" s="435">
        <v>0</v>
      </c>
      <c r="R119" s="435">
        <v>0</v>
      </c>
      <c r="S119" s="435">
        <v>0</v>
      </c>
      <c r="T119" s="435">
        <v>0</v>
      </c>
      <c r="U119" s="435">
        <v>1</v>
      </c>
      <c r="V119" s="435">
        <v>1</v>
      </c>
      <c r="W119" s="435">
        <v>0</v>
      </c>
      <c r="X119" s="435">
        <v>0</v>
      </c>
      <c r="Y119" s="435">
        <v>2</v>
      </c>
      <c r="Z119" s="435">
        <v>-1</v>
      </c>
      <c r="AA119" s="435">
        <v>0</v>
      </c>
      <c r="AB119" s="435">
        <v>0</v>
      </c>
      <c r="AC119" s="615">
        <v>0</v>
      </c>
      <c r="AD119" s="435">
        <v>0</v>
      </c>
      <c r="AE119" s="435">
        <v>0</v>
      </c>
      <c r="AF119" s="435">
        <v>0</v>
      </c>
      <c r="AG119" s="435"/>
    </row>
    <row r="120" spans="7:33" x14ac:dyDescent="0.25">
      <c r="G120" s="252" t="s">
        <v>523</v>
      </c>
      <c r="O120" s="435" t="s">
        <v>1707</v>
      </c>
      <c r="P120" s="435">
        <v>0</v>
      </c>
      <c r="Q120" s="435">
        <v>0</v>
      </c>
      <c r="R120" s="435">
        <v>0</v>
      </c>
      <c r="S120" s="435">
        <v>0</v>
      </c>
      <c r="T120" s="435">
        <v>0</v>
      </c>
      <c r="U120" s="435">
        <v>0</v>
      </c>
      <c r="V120" s="435">
        <v>0</v>
      </c>
      <c r="W120" s="435">
        <v>0</v>
      </c>
      <c r="X120" s="435">
        <v>0</v>
      </c>
      <c r="Y120" s="435">
        <v>1</v>
      </c>
      <c r="Z120" s="435">
        <v>0</v>
      </c>
      <c r="AA120" s="435">
        <v>0</v>
      </c>
      <c r="AB120" s="435">
        <v>0</v>
      </c>
      <c r="AC120" s="615">
        <v>0</v>
      </c>
      <c r="AD120" s="435">
        <v>0</v>
      </c>
      <c r="AE120" s="435">
        <v>0</v>
      </c>
      <c r="AF120" s="435">
        <v>0</v>
      </c>
      <c r="AG120" s="435"/>
    </row>
    <row r="121" spans="7:33" x14ac:dyDescent="0.25">
      <c r="G121" s="252" t="s">
        <v>571</v>
      </c>
      <c r="O121" s="435" t="s">
        <v>1708</v>
      </c>
      <c r="P121" s="435">
        <v>0</v>
      </c>
      <c r="Q121" s="435">
        <v>0</v>
      </c>
      <c r="R121" s="435">
        <v>0</v>
      </c>
      <c r="S121" s="435">
        <v>0</v>
      </c>
      <c r="T121" s="435">
        <v>0</v>
      </c>
      <c r="U121" s="435">
        <v>0</v>
      </c>
      <c r="V121" s="435">
        <v>0</v>
      </c>
      <c r="W121" s="435">
        <v>0</v>
      </c>
      <c r="X121" s="435">
        <v>0</v>
      </c>
      <c r="Y121" s="435">
        <v>0</v>
      </c>
      <c r="Z121" s="435">
        <v>0</v>
      </c>
      <c r="AA121" s="435">
        <v>0</v>
      </c>
      <c r="AB121" s="435">
        <v>0</v>
      </c>
      <c r="AC121" s="615">
        <v>0</v>
      </c>
      <c r="AD121" s="435">
        <v>0</v>
      </c>
      <c r="AE121" s="435">
        <v>1</v>
      </c>
      <c r="AF121" s="435">
        <v>1</v>
      </c>
      <c r="AG121" s="435"/>
    </row>
    <row r="122" spans="7:33" x14ac:dyDescent="0.25">
      <c r="G122" s="252" t="s">
        <v>208</v>
      </c>
      <c r="O122" s="435" t="s">
        <v>1709</v>
      </c>
      <c r="P122" s="435">
        <v>0</v>
      </c>
      <c r="Q122" s="435">
        <v>0</v>
      </c>
      <c r="R122" s="435">
        <v>0</v>
      </c>
      <c r="S122" s="435">
        <v>0</v>
      </c>
      <c r="T122" s="435">
        <v>0</v>
      </c>
      <c r="U122" s="435">
        <v>0</v>
      </c>
      <c r="V122" s="435">
        <v>0</v>
      </c>
      <c r="W122" s="435">
        <v>0</v>
      </c>
      <c r="X122" s="435">
        <v>0</v>
      </c>
      <c r="Y122" s="435">
        <v>0</v>
      </c>
      <c r="Z122" s="435">
        <v>-1</v>
      </c>
      <c r="AA122" s="435">
        <v>0</v>
      </c>
      <c r="AB122" s="435">
        <v>0</v>
      </c>
      <c r="AC122" s="615">
        <v>0</v>
      </c>
      <c r="AD122" s="435">
        <v>0</v>
      </c>
      <c r="AE122" s="435">
        <v>0</v>
      </c>
      <c r="AF122" s="435">
        <v>0</v>
      </c>
      <c r="AG122" s="435"/>
    </row>
    <row r="123" spans="7:33" x14ac:dyDescent="0.25">
      <c r="G123" s="252" t="s">
        <v>572</v>
      </c>
      <c r="O123" s="435" t="s">
        <v>1710</v>
      </c>
      <c r="P123" s="435">
        <v>0</v>
      </c>
      <c r="Q123" s="435">
        <v>0</v>
      </c>
      <c r="R123" s="435">
        <v>0</v>
      </c>
      <c r="S123" s="435">
        <v>0</v>
      </c>
      <c r="T123" s="435">
        <v>0</v>
      </c>
      <c r="U123" s="435">
        <v>0</v>
      </c>
      <c r="V123" s="435">
        <v>0</v>
      </c>
      <c r="W123" s="435">
        <v>1</v>
      </c>
      <c r="X123" s="435">
        <v>0</v>
      </c>
      <c r="Y123" s="435">
        <v>1</v>
      </c>
      <c r="Z123" s="435">
        <v>0</v>
      </c>
      <c r="AA123" s="435">
        <v>0</v>
      </c>
      <c r="AB123" s="435">
        <v>0</v>
      </c>
      <c r="AC123" s="615">
        <v>0</v>
      </c>
      <c r="AD123" s="435">
        <v>0</v>
      </c>
      <c r="AE123" s="435">
        <v>0</v>
      </c>
      <c r="AF123" s="435">
        <v>0</v>
      </c>
      <c r="AG123" s="435"/>
    </row>
    <row r="124" spans="7:33" x14ac:dyDescent="0.25">
      <c r="G124" s="252" t="s">
        <v>573</v>
      </c>
      <c r="O124" s="435" t="s">
        <v>1711</v>
      </c>
      <c r="P124" s="435">
        <v>0</v>
      </c>
      <c r="Q124" s="435">
        <v>0</v>
      </c>
      <c r="R124" s="435">
        <v>0</v>
      </c>
      <c r="S124" s="435">
        <v>0</v>
      </c>
      <c r="T124" s="435">
        <v>0</v>
      </c>
      <c r="U124" s="435">
        <v>0</v>
      </c>
      <c r="V124" s="435">
        <v>0</v>
      </c>
      <c r="W124" s="435">
        <v>2</v>
      </c>
      <c r="X124" s="435">
        <v>0</v>
      </c>
      <c r="Y124" s="435">
        <v>0</v>
      </c>
      <c r="Z124" s="435">
        <v>1</v>
      </c>
      <c r="AA124" s="435">
        <v>0</v>
      </c>
      <c r="AB124" s="435">
        <v>0</v>
      </c>
      <c r="AC124" s="615">
        <v>0</v>
      </c>
      <c r="AD124" s="435">
        <v>0</v>
      </c>
      <c r="AE124" s="435">
        <v>2</v>
      </c>
      <c r="AF124" s="435">
        <v>2</v>
      </c>
      <c r="AG124" s="435"/>
    </row>
    <row r="125" spans="7:33" x14ac:dyDescent="0.25">
      <c r="G125" s="252" t="s">
        <v>209</v>
      </c>
      <c r="O125" s="435" t="s">
        <v>1712</v>
      </c>
      <c r="P125" s="435">
        <v>0</v>
      </c>
      <c r="Q125" s="435">
        <v>0</v>
      </c>
      <c r="R125" s="435">
        <v>0</v>
      </c>
      <c r="S125" s="435">
        <v>0</v>
      </c>
      <c r="T125" s="435">
        <v>0</v>
      </c>
      <c r="U125" s="435">
        <v>0</v>
      </c>
      <c r="V125" s="435">
        <v>0</v>
      </c>
      <c r="W125" s="435">
        <v>1</v>
      </c>
      <c r="X125" s="435">
        <v>1</v>
      </c>
      <c r="Y125" s="435">
        <v>0</v>
      </c>
      <c r="Z125" s="435">
        <v>0</v>
      </c>
      <c r="AA125" s="435">
        <v>0</v>
      </c>
      <c r="AB125" s="435">
        <v>0</v>
      </c>
      <c r="AC125" s="615">
        <v>0</v>
      </c>
      <c r="AD125" s="435">
        <v>0</v>
      </c>
      <c r="AE125" s="435">
        <v>0</v>
      </c>
      <c r="AF125" s="435">
        <v>0</v>
      </c>
      <c r="AG125" s="435"/>
    </row>
    <row r="126" spans="7:33" x14ac:dyDescent="0.25">
      <c r="G126" s="252" t="s">
        <v>210</v>
      </c>
      <c r="O126" s="435" t="s">
        <v>1713</v>
      </c>
      <c r="P126" s="435">
        <v>0</v>
      </c>
      <c r="Q126" s="435">
        <v>0</v>
      </c>
      <c r="R126" s="435">
        <v>0</v>
      </c>
      <c r="S126" s="435">
        <v>0</v>
      </c>
      <c r="T126" s="435">
        <v>0</v>
      </c>
      <c r="U126" s="435">
        <v>0</v>
      </c>
      <c r="V126" s="435">
        <v>0</v>
      </c>
      <c r="W126" s="435">
        <v>0</v>
      </c>
      <c r="X126" s="435">
        <v>0</v>
      </c>
      <c r="Y126" s="435">
        <v>1</v>
      </c>
      <c r="Z126" s="435">
        <v>0</v>
      </c>
      <c r="AA126" s="435">
        <v>0</v>
      </c>
      <c r="AB126" s="435">
        <v>0</v>
      </c>
      <c r="AC126" s="615">
        <v>0.1</v>
      </c>
      <c r="AD126" s="435">
        <v>0</v>
      </c>
      <c r="AE126" s="435">
        <v>0</v>
      </c>
      <c r="AF126" s="435">
        <v>0</v>
      </c>
      <c r="AG126" s="435"/>
    </row>
    <row r="127" spans="7:33" x14ac:dyDescent="0.25">
      <c r="G127" s="252" t="s">
        <v>574</v>
      </c>
      <c r="O127" s="435" t="s">
        <v>1714</v>
      </c>
      <c r="P127" s="435">
        <v>0</v>
      </c>
      <c r="Q127" s="435">
        <v>0</v>
      </c>
      <c r="R127" s="435">
        <v>0</v>
      </c>
      <c r="S127" s="435">
        <v>0</v>
      </c>
      <c r="T127" s="435">
        <v>0</v>
      </c>
      <c r="U127" s="435">
        <v>0</v>
      </c>
      <c r="V127" s="435">
        <v>0</v>
      </c>
      <c r="W127" s="435">
        <v>1</v>
      </c>
      <c r="X127" s="435">
        <v>0</v>
      </c>
      <c r="Y127" s="435">
        <v>0</v>
      </c>
      <c r="Z127" s="435">
        <v>0</v>
      </c>
      <c r="AA127" s="435">
        <v>20</v>
      </c>
      <c r="AB127" s="435">
        <v>0</v>
      </c>
      <c r="AC127" s="435">
        <v>0</v>
      </c>
      <c r="AD127" s="435">
        <v>0</v>
      </c>
      <c r="AE127" s="435">
        <v>0</v>
      </c>
      <c r="AF127" s="435">
        <v>0</v>
      </c>
      <c r="AG127" s="435"/>
    </row>
    <row r="128" spans="7:33" x14ac:dyDescent="0.25">
      <c r="G128" s="252" t="s">
        <v>524</v>
      </c>
      <c r="O128" s="435" t="s">
        <v>1715</v>
      </c>
      <c r="P128" s="435">
        <v>0</v>
      </c>
      <c r="Q128" s="435">
        <v>0</v>
      </c>
      <c r="R128" s="435">
        <v>0</v>
      </c>
      <c r="S128" s="435">
        <v>0</v>
      </c>
      <c r="T128" s="435">
        <v>0</v>
      </c>
      <c r="U128" s="435">
        <v>0</v>
      </c>
      <c r="V128" s="435">
        <v>0</v>
      </c>
      <c r="W128" s="435">
        <v>0</v>
      </c>
      <c r="X128" s="435">
        <v>0</v>
      </c>
      <c r="Y128" s="435">
        <v>0</v>
      </c>
      <c r="Z128" s="435">
        <v>0</v>
      </c>
      <c r="AA128" s="435">
        <v>0</v>
      </c>
      <c r="AB128" s="435">
        <v>0</v>
      </c>
      <c r="AC128" s="435">
        <v>0</v>
      </c>
      <c r="AD128" s="435">
        <v>0</v>
      </c>
      <c r="AE128" s="435">
        <v>0</v>
      </c>
      <c r="AF128" s="435">
        <v>0</v>
      </c>
      <c r="AG128" s="435"/>
    </row>
    <row r="129" spans="7:33" x14ac:dyDescent="0.25">
      <c r="G129" s="252" t="s">
        <v>575</v>
      </c>
      <c r="O129" s="435" t="s">
        <v>1716</v>
      </c>
      <c r="P129" s="435">
        <v>0</v>
      </c>
      <c r="Q129" s="435">
        <v>0</v>
      </c>
      <c r="R129" s="435">
        <v>0</v>
      </c>
      <c r="S129" s="435">
        <v>0</v>
      </c>
      <c r="T129" s="435">
        <v>0</v>
      </c>
      <c r="U129" s="435">
        <v>2</v>
      </c>
      <c r="V129" s="435">
        <v>0</v>
      </c>
      <c r="W129" s="435">
        <v>0</v>
      </c>
      <c r="X129" s="435">
        <v>1</v>
      </c>
      <c r="Y129" s="435">
        <v>0</v>
      </c>
      <c r="Z129" s="435">
        <v>-2</v>
      </c>
      <c r="AA129" s="435">
        <v>0</v>
      </c>
      <c r="AB129" s="435">
        <v>0</v>
      </c>
      <c r="AC129" s="435">
        <v>0</v>
      </c>
      <c r="AD129" s="435">
        <v>0</v>
      </c>
      <c r="AE129" s="435">
        <v>0</v>
      </c>
      <c r="AF129" s="435">
        <v>0</v>
      </c>
      <c r="AG129" s="435"/>
    </row>
    <row r="130" spans="7:33" x14ac:dyDescent="0.25">
      <c r="G130" s="252" t="s">
        <v>525</v>
      </c>
      <c r="O130" s="435" t="s">
        <v>1717</v>
      </c>
      <c r="P130" s="435">
        <v>0</v>
      </c>
      <c r="Q130" s="435">
        <v>0</v>
      </c>
      <c r="R130" s="435">
        <v>0</v>
      </c>
      <c r="S130" s="435">
        <v>0</v>
      </c>
      <c r="T130" s="435">
        <v>0</v>
      </c>
      <c r="U130" s="435">
        <v>1</v>
      </c>
      <c r="V130" s="435">
        <v>1</v>
      </c>
      <c r="W130" s="435">
        <v>0</v>
      </c>
      <c r="X130" s="435">
        <v>0</v>
      </c>
      <c r="Y130" s="435">
        <v>1</v>
      </c>
      <c r="Z130" s="435">
        <v>1</v>
      </c>
      <c r="AA130" s="435">
        <v>10</v>
      </c>
      <c r="AB130" s="435">
        <v>0</v>
      </c>
      <c r="AC130" s="435">
        <v>0</v>
      </c>
      <c r="AD130" s="435">
        <v>0.25</v>
      </c>
      <c r="AE130" s="435">
        <v>0</v>
      </c>
      <c r="AF130" s="435">
        <v>0</v>
      </c>
      <c r="AG130" s="435"/>
    </row>
    <row r="131" spans="7:33" x14ac:dyDescent="0.25">
      <c r="G131" s="252" t="s">
        <v>576</v>
      </c>
      <c r="O131" s="435" t="s">
        <v>1718</v>
      </c>
      <c r="P131" s="435">
        <v>0</v>
      </c>
      <c r="Q131" s="435">
        <v>0</v>
      </c>
      <c r="R131" s="435">
        <v>0</v>
      </c>
      <c r="S131" s="435">
        <v>0</v>
      </c>
      <c r="T131" s="435">
        <v>0</v>
      </c>
      <c r="U131" s="435">
        <v>0</v>
      </c>
      <c r="V131" s="435">
        <v>-1</v>
      </c>
      <c r="W131" s="435">
        <v>0</v>
      </c>
      <c r="X131" s="435">
        <v>1</v>
      </c>
      <c r="Y131" s="435">
        <v>0</v>
      </c>
      <c r="Z131" s="435">
        <v>0</v>
      </c>
      <c r="AA131" s="435">
        <v>0</v>
      </c>
      <c r="AB131" s="435">
        <v>0</v>
      </c>
      <c r="AC131" s="435">
        <v>0</v>
      </c>
      <c r="AD131" s="435">
        <v>0</v>
      </c>
      <c r="AE131" s="435">
        <v>0</v>
      </c>
      <c r="AF131" s="435">
        <v>0</v>
      </c>
      <c r="AG131" s="435"/>
    </row>
    <row r="132" spans="7:33" x14ac:dyDescent="0.25">
      <c r="G132" s="252" t="s">
        <v>526</v>
      </c>
      <c r="O132" s="435" t="s">
        <v>1719</v>
      </c>
      <c r="P132" s="435">
        <v>0</v>
      </c>
      <c r="Q132" s="435">
        <v>0</v>
      </c>
      <c r="R132" s="435">
        <v>0</v>
      </c>
      <c r="S132" s="435">
        <v>0</v>
      </c>
      <c r="T132" s="435">
        <v>0</v>
      </c>
      <c r="U132" s="435">
        <v>1</v>
      </c>
      <c r="V132" s="435">
        <v>0</v>
      </c>
      <c r="W132" s="435">
        <v>0</v>
      </c>
      <c r="X132" s="435">
        <v>0</v>
      </c>
      <c r="Y132" s="435">
        <v>1</v>
      </c>
      <c r="Z132" s="435">
        <v>0</v>
      </c>
      <c r="AA132" s="435">
        <v>0</v>
      </c>
      <c r="AB132" s="435">
        <v>0</v>
      </c>
      <c r="AC132" s="435">
        <v>0</v>
      </c>
      <c r="AD132" s="435">
        <v>0</v>
      </c>
      <c r="AE132" s="435">
        <v>0</v>
      </c>
      <c r="AF132" s="435">
        <v>-1</v>
      </c>
      <c r="AG132" s="435"/>
    </row>
    <row r="133" spans="7:33" x14ac:dyDescent="0.25">
      <c r="G133" s="252" t="s">
        <v>577</v>
      </c>
      <c r="O133" s="435" t="s">
        <v>1720</v>
      </c>
      <c r="P133" s="435">
        <v>0</v>
      </c>
      <c r="Q133" s="435">
        <v>0</v>
      </c>
      <c r="R133" s="435">
        <v>0</v>
      </c>
      <c r="S133" s="435">
        <v>0</v>
      </c>
      <c r="T133" s="435">
        <v>0</v>
      </c>
      <c r="U133" s="435">
        <v>0</v>
      </c>
      <c r="V133" s="435">
        <v>0</v>
      </c>
      <c r="W133" s="435">
        <v>0</v>
      </c>
      <c r="X133" s="435">
        <v>0</v>
      </c>
      <c r="Y133" s="435">
        <v>0</v>
      </c>
      <c r="Z133" s="435">
        <v>0</v>
      </c>
      <c r="AA133" s="435">
        <v>0</v>
      </c>
      <c r="AB133" s="435">
        <v>0</v>
      </c>
      <c r="AC133" s="435">
        <v>0</v>
      </c>
      <c r="AD133" s="435">
        <v>0</v>
      </c>
      <c r="AE133" s="435">
        <v>1</v>
      </c>
      <c r="AF133" s="435">
        <v>1</v>
      </c>
      <c r="AG133" s="435"/>
    </row>
    <row r="134" spans="7:33" x14ac:dyDescent="0.25">
      <c r="G134" s="252" t="s">
        <v>527</v>
      </c>
      <c r="O134" s="435" t="s">
        <v>1721</v>
      </c>
      <c r="P134" s="435">
        <v>0</v>
      </c>
      <c r="Q134" s="435">
        <v>0</v>
      </c>
      <c r="R134" s="435">
        <v>0</v>
      </c>
      <c r="S134" s="435">
        <v>0</v>
      </c>
      <c r="T134" s="435">
        <v>0</v>
      </c>
      <c r="U134" s="435">
        <v>0</v>
      </c>
      <c r="V134" s="435">
        <v>0</v>
      </c>
      <c r="W134" s="435">
        <v>0</v>
      </c>
      <c r="X134" s="435">
        <v>0</v>
      </c>
      <c r="Y134" s="435">
        <v>0</v>
      </c>
      <c r="Z134" s="435">
        <v>0</v>
      </c>
      <c r="AA134" s="435">
        <v>0</v>
      </c>
      <c r="AB134" s="435">
        <v>0</v>
      </c>
      <c r="AC134" s="435">
        <v>0</v>
      </c>
      <c r="AD134" s="435">
        <v>0</v>
      </c>
      <c r="AE134" s="435">
        <v>0</v>
      </c>
      <c r="AF134" s="435">
        <v>0</v>
      </c>
      <c r="AG134" s="435"/>
    </row>
    <row r="135" spans="7:33" x14ac:dyDescent="0.25">
      <c r="G135" s="252" t="s">
        <v>528</v>
      </c>
      <c r="O135" s="435" t="s">
        <v>1722</v>
      </c>
      <c r="P135" s="435">
        <v>0</v>
      </c>
      <c r="Q135" s="435">
        <v>0</v>
      </c>
      <c r="R135" s="435">
        <v>0</v>
      </c>
      <c r="S135" s="435">
        <v>0</v>
      </c>
      <c r="T135" s="435">
        <v>0</v>
      </c>
      <c r="U135" s="435">
        <v>0</v>
      </c>
      <c r="V135" s="435">
        <v>0</v>
      </c>
      <c r="W135" s="435">
        <v>1</v>
      </c>
      <c r="X135" s="435">
        <v>0</v>
      </c>
      <c r="Y135" s="435">
        <v>0</v>
      </c>
      <c r="Z135" s="435">
        <v>1</v>
      </c>
      <c r="AA135" s="435">
        <v>0</v>
      </c>
      <c r="AB135" s="435">
        <v>0</v>
      </c>
      <c r="AC135" s="435">
        <v>0</v>
      </c>
      <c r="AD135" s="435">
        <v>0</v>
      </c>
      <c r="AE135" s="435">
        <v>0</v>
      </c>
      <c r="AF135" s="435">
        <v>2</v>
      </c>
      <c r="AG135" s="435"/>
    </row>
    <row r="136" spans="7:33" x14ac:dyDescent="0.25">
      <c r="G136" s="252" t="s">
        <v>203</v>
      </c>
      <c r="O136" s="435" t="s">
        <v>1723</v>
      </c>
      <c r="P136" s="435">
        <v>0</v>
      </c>
      <c r="Q136" s="435">
        <v>0</v>
      </c>
      <c r="R136" s="435">
        <v>0</v>
      </c>
      <c r="S136" s="435">
        <v>0</v>
      </c>
      <c r="T136" s="435">
        <v>0</v>
      </c>
      <c r="U136" s="435">
        <v>0</v>
      </c>
      <c r="V136" s="435">
        <v>0</v>
      </c>
      <c r="W136" s="435">
        <v>0</v>
      </c>
      <c r="X136" s="435">
        <v>0</v>
      </c>
      <c r="Y136" s="435">
        <v>0</v>
      </c>
      <c r="Z136" s="435">
        <v>1</v>
      </c>
      <c r="AA136" s="435">
        <v>0</v>
      </c>
      <c r="AB136" s="435">
        <v>0</v>
      </c>
      <c r="AC136" s="435">
        <v>0</v>
      </c>
      <c r="AD136" s="435">
        <v>0</v>
      </c>
      <c r="AE136" s="435">
        <v>0</v>
      </c>
      <c r="AF136" s="435">
        <v>0</v>
      </c>
      <c r="AG136" s="435"/>
    </row>
    <row r="137" spans="7:33" x14ac:dyDescent="0.25">
      <c r="G137" s="252" t="s">
        <v>529</v>
      </c>
      <c r="O137" s="435" t="s">
        <v>1724</v>
      </c>
      <c r="P137" s="435">
        <v>0</v>
      </c>
      <c r="Q137" s="435">
        <v>0</v>
      </c>
      <c r="R137" s="435">
        <v>0</v>
      </c>
      <c r="S137" s="435">
        <v>0</v>
      </c>
      <c r="T137" s="435">
        <v>0</v>
      </c>
      <c r="U137" s="435">
        <v>0</v>
      </c>
      <c r="V137" s="435">
        <v>0</v>
      </c>
      <c r="W137" s="435">
        <v>0</v>
      </c>
      <c r="X137" s="435">
        <v>0</v>
      </c>
      <c r="Y137" s="435">
        <v>0</v>
      </c>
      <c r="Z137" s="435">
        <v>-2</v>
      </c>
      <c r="AA137" s="435">
        <v>0</v>
      </c>
      <c r="AB137" s="435">
        <v>0</v>
      </c>
      <c r="AC137" s="435">
        <v>0</v>
      </c>
      <c r="AD137" s="435">
        <v>0</v>
      </c>
      <c r="AE137" s="435">
        <v>0</v>
      </c>
      <c r="AF137" s="435">
        <v>0</v>
      </c>
      <c r="AG137" s="435"/>
    </row>
    <row r="138" spans="7:33" x14ac:dyDescent="0.25">
      <c r="G138" s="252" t="s">
        <v>530</v>
      </c>
      <c r="O138" s="435" t="s">
        <v>1725</v>
      </c>
      <c r="P138" s="435">
        <v>0</v>
      </c>
      <c r="Q138" s="435">
        <v>0</v>
      </c>
      <c r="R138" s="435">
        <v>0</v>
      </c>
      <c r="S138" s="435">
        <v>0</v>
      </c>
      <c r="T138" s="435">
        <v>0</v>
      </c>
      <c r="U138" s="435">
        <v>0</v>
      </c>
      <c r="V138" s="435">
        <v>-4</v>
      </c>
      <c r="W138" s="435">
        <v>0</v>
      </c>
      <c r="X138" s="435">
        <v>2</v>
      </c>
      <c r="Y138" s="435">
        <v>0</v>
      </c>
      <c r="Z138" s="435">
        <v>2</v>
      </c>
      <c r="AA138" s="435">
        <v>0</v>
      </c>
      <c r="AB138" s="435">
        <v>0</v>
      </c>
      <c r="AC138" s="435">
        <v>0</v>
      </c>
      <c r="AD138" s="435">
        <v>0</v>
      </c>
      <c r="AE138" s="435">
        <v>-2</v>
      </c>
      <c r="AF138" s="435">
        <v>-2</v>
      </c>
      <c r="AG138" s="435"/>
    </row>
    <row r="139" spans="7:33" x14ac:dyDescent="0.25">
      <c r="G139" s="252" t="s">
        <v>578</v>
      </c>
      <c r="O139" s="435" t="s">
        <v>1726</v>
      </c>
      <c r="P139" s="435">
        <v>0</v>
      </c>
      <c r="Q139" s="435">
        <v>0</v>
      </c>
      <c r="R139" s="435">
        <v>0</v>
      </c>
      <c r="S139" s="435">
        <v>0</v>
      </c>
      <c r="T139" s="435">
        <v>0</v>
      </c>
      <c r="U139" s="435">
        <v>0</v>
      </c>
      <c r="V139" s="435">
        <v>0</v>
      </c>
      <c r="W139" s="435">
        <v>1</v>
      </c>
      <c r="X139" s="435">
        <v>0</v>
      </c>
      <c r="Y139" s="435">
        <v>0</v>
      </c>
      <c r="Z139" s="435">
        <v>0</v>
      </c>
      <c r="AA139" s="435">
        <v>0</v>
      </c>
      <c r="AB139" s="435">
        <v>0</v>
      </c>
      <c r="AC139" s="435">
        <v>0</v>
      </c>
      <c r="AD139" s="435">
        <v>0</v>
      </c>
      <c r="AE139" s="435">
        <v>1</v>
      </c>
      <c r="AF139" s="435">
        <v>1</v>
      </c>
      <c r="AG139" s="435"/>
    </row>
    <row r="140" spans="7:33" x14ac:dyDescent="0.25">
      <c r="G140" s="252" t="s">
        <v>531</v>
      </c>
      <c r="O140" s="435" t="s">
        <v>1727</v>
      </c>
      <c r="P140" s="435">
        <v>0</v>
      </c>
      <c r="Q140" s="435">
        <v>0</v>
      </c>
      <c r="R140" s="435">
        <v>0</v>
      </c>
      <c r="S140" s="435">
        <v>0</v>
      </c>
      <c r="T140" s="435">
        <v>0</v>
      </c>
      <c r="U140" s="435">
        <v>0</v>
      </c>
      <c r="V140" s="435">
        <v>0</v>
      </c>
      <c r="W140" s="435">
        <v>0</v>
      </c>
      <c r="X140" s="435">
        <v>0</v>
      </c>
      <c r="Y140" s="435">
        <v>1</v>
      </c>
      <c r="Z140" s="435">
        <v>1</v>
      </c>
      <c r="AA140" s="435">
        <v>0</v>
      </c>
      <c r="AB140" s="435">
        <v>0</v>
      </c>
      <c r="AC140" s="435">
        <v>0</v>
      </c>
      <c r="AD140" s="435">
        <v>0</v>
      </c>
      <c r="AE140" s="435">
        <v>0</v>
      </c>
      <c r="AF140" s="435">
        <v>0</v>
      </c>
      <c r="AG140" s="435"/>
    </row>
    <row r="141" spans="7:33" ht="15.75" thickBot="1" x14ac:dyDescent="0.3">
      <c r="G141" s="253" t="s">
        <v>579</v>
      </c>
      <c r="O141" s="435" t="s">
        <v>1728</v>
      </c>
      <c r="P141" s="435">
        <v>0</v>
      </c>
      <c r="Q141" s="435">
        <v>0</v>
      </c>
      <c r="R141" s="435">
        <v>0</v>
      </c>
      <c r="S141" s="435">
        <v>0</v>
      </c>
      <c r="T141" s="435">
        <v>0</v>
      </c>
      <c r="U141" s="435">
        <v>0</v>
      </c>
      <c r="V141" s="435">
        <v>0</v>
      </c>
      <c r="W141" s="435">
        <v>1</v>
      </c>
      <c r="X141" s="435">
        <v>0</v>
      </c>
      <c r="Y141" s="435">
        <v>0</v>
      </c>
      <c r="Z141" s="435">
        <v>-2</v>
      </c>
      <c r="AA141" s="435">
        <v>0</v>
      </c>
      <c r="AB141" s="435">
        <v>0</v>
      </c>
      <c r="AC141" s="435">
        <v>0</v>
      </c>
      <c r="AD141" s="435">
        <v>0</v>
      </c>
      <c r="AE141" s="435">
        <v>0</v>
      </c>
      <c r="AF141" s="435">
        <v>0</v>
      </c>
      <c r="AG141" s="435"/>
    </row>
    <row r="142" spans="7:33" x14ac:dyDescent="0.25">
      <c r="O142" s="435" t="s">
        <v>1729</v>
      </c>
      <c r="P142" s="435">
        <v>0</v>
      </c>
      <c r="Q142" s="435">
        <v>0</v>
      </c>
      <c r="R142" s="435">
        <v>0</v>
      </c>
      <c r="S142" s="435">
        <v>0</v>
      </c>
      <c r="T142" s="435">
        <v>0</v>
      </c>
      <c r="U142" s="435">
        <v>1</v>
      </c>
      <c r="V142" s="435">
        <v>-3</v>
      </c>
      <c r="W142" s="435">
        <v>0</v>
      </c>
      <c r="X142" s="435">
        <v>2</v>
      </c>
      <c r="Y142" s="435">
        <v>0</v>
      </c>
      <c r="Z142" s="435">
        <v>-2</v>
      </c>
      <c r="AA142" s="435">
        <v>0</v>
      </c>
      <c r="AB142" s="435">
        <v>0</v>
      </c>
      <c r="AC142" s="435">
        <v>0</v>
      </c>
      <c r="AD142" s="435">
        <v>0</v>
      </c>
      <c r="AE142" s="435">
        <v>0</v>
      </c>
      <c r="AF142" s="435">
        <v>0</v>
      </c>
      <c r="AG142" s="435"/>
    </row>
    <row r="143" spans="7:33" x14ac:dyDescent="0.25">
      <c r="O143" s="435" t="s">
        <v>1730</v>
      </c>
      <c r="P143" s="435">
        <v>0</v>
      </c>
      <c r="Q143" s="435">
        <v>0</v>
      </c>
      <c r="R143" s="435">
        <v>0</v>
      </c>
      <c r="S143" s="435">
        <v>0</v>
      </c>
      <c r="T143" s="435">
        <v>0</v>
      </c>
      <c r="U143" s="435">
        <v>0</v>
      </c>
      <c r="V143" s="435">
        <v>0</v>
      </c>
      <c r="W143" s="435">
        <v>0</v>
      </c>
      <c r="X143" s="435">
        <v>1</v>
      </c>
      <c r="Y143" s="435">
        <v>2</v>
      </c>
      <c r="Z143" s="435">
        <v>0</v>
      </c>
      <c r="AA143" s="435">
        <v>0</v>
      </c>
      <c r="AB143" s="435">
        <v>0</v>
      </c>
      <c r="AC143" s="435">
        <v>0.4</v>
      </c>
      <c r="AD143" s="435">
        <v>0.4</v>
      </c>
      <c r="AE143" s="435">
        <v>0</v>
      </c>
      <c r="AF143" s="435">
        <v>0</v>
      </c>
      <c r="AG143" s="435"/>
    </row>
    <row r="144" spans="7:33" x14ac:dyDescent="0.25">
      <c r="O144" s="435" t="s">
        <v>1731</v>
      </c>
      <c r="P144" s="435">
        <v>0</v>
      </c>
      <c r="Q144" s="435">
        <v>0</v>
      </c>
      <c r="R144" s="435">
        <v>0</v>
      </c>
      <c r="S144" s="435">
        <v>0</v>
      </c>
      <c r="T144" s="435">
        <v>0</v>
      </c>
      <c r="U144" s="435">
        <v>0</v>
      </c>
      <c r="V144" s="435">
        <v>2</v>
      </c>
      <c r="W144" s="435">
        <v>0</v>
      </c>
      <c r="X144" s="435">
        <v>-2</v>
      </c>
      <c r="Y144" s="435">
        <v>0</v>
      </c>
      <c r="Z144" s="435">
        <v>0</v>
      </c>
      <c r="AA144" s="435">
        <v>5</v>
      </c>
      <c r="AB144" s="435">
        <v>0</v>
      </c>
      <c r="AC144" s="435">
        <v>0</v>
      </c>
      <c r="AD144" s="435">
        <v>0</v>
      </c>
      <c r="AE144" s="435">
        <v>0</v>
      </c>
      <c r="AF144" s="435">
        <v>0</v>
      </c>
      <c r="AG144" s="435"/>
    </row>
    <row r="145" spans="15:33" x14ac:dyDescent="0.25">
      <c r="O145" s="435" t="s">
        <v>1732</v>
      </c>
      <c r="P145" s="435">
        <v>0</v>
      </c>
      <c r="Q145" s="435">
        <v>0</v>
      </c>
      <c r="R145" s="435">
        <v>0</v>
      </c>
      <c r="S145" s="435">
        <v>0</v>
      </c>
      <c r="T145" s="435">
        <v>0</v>
      </c>
      <c r="U145" s="435">
        <v>2</v>
      </c>
      <c r="V145" s="435">
        <v>2</v>
      </c>
      <c r="W145" s="435">
        <v>0</v>
      </c>
      <c r="X145" s="435">
        <v>-1</v>
      </c>
      <c r="Y145" s="435">
        <v>2</v>
      </c>
      <c r="Z145" s="435">
        <v>0</v>
      </c>
      <c r="AA145" s="435">
        <v>0</v>
      </c>
      <c r="AB145" s="435">
        <v>0</v>
      </c>
      <c r="AC145" s="435">
        <v>0</v>
      </c>
      <c r="AD145" s="435">
        <v>0.1</v>
      </c>
      <c r="AE145" s="435">
        <v>0</v>
      </c>
      <c r="AF145" s="435">
        <v>0</v>
      </c>
      <c r="AG145" s="435"/>
    </row>
    <row r="146" spans="15:33" x14ac:dyDescent="0.25">
      <c r="O146" s="435" t="s">
        <v>1733</v>
      </c>
      <c r="P146" s="435">
        <v>0</v>
      </c>
      <c r="Q146" s="435">
        <v>0</v>
      </c>
      <c r="R146" s="435">
        <v>0</v>
      </c>
      <c r="S146" s="435">
        <v>0</v>
      </c>
      <c r="T146" s="435">
        <v>0</v>
      </c>
      <c r="U146" s="435">
        <v>0</v>
      </c>
      <c r="V146" s="435">
        <v>0</v>
      </c>
      <c r="W146" s="435">
        <v>0</v>
      </c>
      <c r="X146" s="435">
        <v>0</v>
      </c>
      <c r="Y146" s="435">
        <v>2</v>
      </c>
      <c r="Z146" s="435">
        <v>0</v>
      </c>
      <c r="AA146" s="435">
        <v>0</v>
      </c>
      <c r="AB146" s="435">
        <v>0</v>
      </c>
      <c r="AC146" s="435">
        <v>0</v>
      </c>
      <c r="AD146" s="435">
        <v>0</v>
      </c>
      <c r="AE146" s="435">
        <v>0</v>
      </c>
      <c r="AF146" s="435">
        <v>0</v>
      </c>
      <c r="AG146" s="435"/>
    </row>
    <row r="147" spans="15:33" x14ac:dyDescent="0.25">
      <c r="O147" s="435" t="s">
        <v>1734</v>
      </c>
      <c r="P147" s="435">
        <v>0</v>
      </c>
      <c r="Q147" s="435">
        <v>0</v>
      </c>
      <c r="R147" s="435">
        <v>0</v>
      </c>
      <c r="S147" s="435">
        <v>0</v>
      </c>
      <c r="T147" s="435">
        <v>0</v>
      </c>
      <c r="U147" s="435">
        <v>1</v>
      </c>
      <c r="V147" s="435">
        <v>0</v>
      </c>
      <c r="W147" s="435">
        <v>-1</v>
      </c>
      <c r="X147" s="435">
        <v>0</v>
      </c>
      <c r="Y147" s="435">
        <v>1</v>
      </c>
      <c r="Z147" s="435">
        <v>0</v>
      </c>
      <c r="AA147" s="435">
        <v>0</v>
      </c>
      <c r="AB147" s="435">
        <v>0</v>
      </c>
      <c r="AC147" s="435">
        <v>0</v>
      </c>
      <c r="AD147" s="435">
        <v>0</v>
      </c>
      <c r="AE147" s="435">
        <v>0</v>
      </c>
      <c r="AF147" s="435">
        <v>0</v>
      </c>
      <c r="AG147" s="435"/>
    </row>
    <row r="148" spans="15:33" x14ac:dyDescent="0.25">
      <c r="O148" s="435" t="s">
        <v>1735</v>
      </c>
      <c r="P148" s="435">
        <v>0</v>
      </c>
      <c r="Q148" s="435">
        <v>0</v>
      </c>
      <c r="R148" s="435">
        <v>0</v>
      </c>
      <c r="S148" s="435">
        <v>0</v>
      </c>
      <c r="T148" s="435">
        <v>0</v>
      </c>
      <c r="U148" s="435">
        <v>0</v>
      </c>
      <c r="V148" s="435">
        <v>2</v>
      </c>
      <c r="W148" s="435">
        <v>0</v>
      </c>
      <c r="X148" s="435">
        <v>0</v>
      </c>
      <c r="Y148" s="435">
        <v>2</v>
      </c>
      <c r="Z148" s="435">
        <v>0</v>
      </c>
      <c r="AA148" s="435">
        <v>0</v>
      </c>
      <c r="AB148" s="435">
        <v>0</v>
      </c>
      <c r="AC148" s="435">
        <v>0</v>
      </c>
      <c r="AD148" s="435">
        <v>0</v>
      </c>
      <c r="AE148" s="435">
        <v>0</v>
      </c>
      <c r="AF148" s="435">
        <v>0</v>
      </c>
      <c r="AG148" s="435"/>
    </row>
    <row r="149" spans="15:33" x14ac:dyDescent="0.25">
      <c r="O149" s="435" t="s">
        <v>1736</v>
      </c>
      <c r="P149" s="435">
        <v>0</v>
      </c>
      <c r="Q149" s="435">
        <v>0</v>
      </c>
      <c r="R149" s="435">
        <v>0</v>
      </c>
      <c r="S149" s="435">
        <v>0</v>
      </c>
      <c r="T149" s="435">
        <v>0</v>
      </c>
      <c r="U149" s="435">
        <v>0</v>
      </c>
      <c r="V149" s="435">
        <v>1</v>
      </c>
      <c r="W149" s="435">
        <v>-1</v>
      </c>
      <c r="X149" s="435">
        <v>0</v>
      </c>
      <c r="Y149" s="435">
        <v>0</v>
      </c>
      <c r="Z149" s="435">
        <v>0</v>
      </c>
      <c r="AA149" s="435">
        <v>10</v>
      </c>
      <c r="AB149" s="435">
        <v>0</v>
      </c>
      <c r="AC149" s="435">
        <v>0.3</v>
      </c>
      <c r="AD149" s="435">
        <v>0.5</v>
      </c>
      <c r="AE149" s="435">
        <v>0</v>
      </c>
      <c r="AF149" s="435">
        <v>0</v>
      </c>
      <c r="AG149" s="435"/>
    </row>
    <row r="150" spans="15:33" x14ac:dyDescent="0.25">
      <c r="O150" s="435" t="s">
        <v>1737</v>
      </c>
      <c r="P150" s="435">
        <v>0</v>
      </c>
      <c r="Q150" s="435">
        <v>0</v>
      </c>
      <c r="R150" s="435">
        <v>0</v>
      </c>
      <c r="S150" s="435">
        <v>0</v>
      </c>
      <c r="T150" s="435">
        <v>0</v>
      </c>
      <c r="U150" s="435">
        <v>0</v>
      </c>
      <c r="V150" s="435">
        <v>-1</v>
      </c>
      <c r="W150" s="435">
        <v>0</v>
      </c>
      <c r="X150" s="435">
        <v>1</v>
      </c>
      <c r="Y150" s="435">
        <v>0</v>
      </c>
      <c r="Z150" s="435">
        <v>0</v>
      </c>
      <c r="AA150" s="435">
        <v>0</v>
      </c>
      <c r="AB150" s="435">
        <v>0</v>
      </c>
      <c r="AC150" s="435">
        <v>0</v>
      </c>
      <c r="AD150" s="435">
        <v>0</v>
      </c>
      <c r="AE150" s="435">
        <v>0</v>
      </c>
      <c r="AF150" s="435">
        <v>0</v>
      </c>
      <c r="AG150" s="435"/>
    </row>
    <row r="151" spans="15:33" x14ac:dyDescent="0.25">
      <c r="O151" s="435" t="s">
        <v>1738</v>
      </c>
      <c r="P151" s="435">
        <v>0</v>
      </c>
      <c r="Q151" s="435">
        <v>0</v>
      </c>
      <c r="R151" s="435">
        <v>0</v>
      </c>
      <c r="S151" s="435">
        <v>0</v>
      </c>
      <c r="T151" s="435">
        <v>0</v>
      </c>
      <c r="U151" s="435">
        <v>0</v>
      </c>
      <c r="V151" s="435">
        <v>-1</v>
      </c>
      <c r="W151" s="435">
        <v>0</v>
      </c>
      <c r="X151" s="435">
        <v>0</v>
      </c>
      <c r="Y151" s="435">
        <v>1</v>
      </c>
      <c r="Z151" s="435">
        <v>-1</v>
      </c>
      <c r="AA151" s="435">
        <v>0</v>
      </c>
      <c r="AB151" s="435">
        <v>0</v>
      </c>
      <c r="AC151" s="435">
        <v>0</v>
      </c>
      <c r="AD151" s="435">
        <v>0</v>
      </c>
      <c r="AE151" s="435">
        <v>0</v>
      </c>
      <c r="AF151" s="435">
        <v>0</v>
      </c>
      <c r="AG151" s="435"/>
    </row>
    <row r="152" spans="15:33" x14ac:dyDescent="0.25">
      <c r="O152" s="435" t="s">
        <v>1739</v>
      </c>
      <c r="P152" s="435">
        <v>0</v>
      </c>
      <c r="Q152" s="435">
        <v>0</v>
      </c>
      <c r="R152" s="435">
        <v>0</v>
      </c>
      <c r="S152" s="435">
        <v>0</v>
      </c>
      <c r="T152" s="435">
        <v>0</v>
      </c>
      <c r="U152" s="435">
        <v>0</v>
      </c>
      <c r="V152" s="435">
        <v>1</v>
      </c>
      <c r="W152" s="435">
        <v>0</v>
      </c>
      <c r="X152" s="435">
        <v>0</v>
      </c>
      <c r="Y152" s="435">
        <v>0</v>
      </c>
      <c r="Z152" s="435">
        <v>2</v>
      </c>
      <c r="AA152" s="435">
        <v>0</v>
      </c>
      <c r="AB152" s="435">
        <v>0</v>
      </c>
      <c r="AC152" s="435">
        <v>0</v>
      </c>
      <c r="AD152" s="435">
        <v>0</v>
      </c>
      <c r="AE152" s="435">
        <v>0</v>
      </c>
      <c r="AF152" s="435">
        <v>0</v>
      </c>
      <c r="AG152" s="435"/>
    </row>
    <row r="153" spans="15:33" x14ac:dyDescent="0.25">
      <c r="O153" s="435" t="s">
        <v>1740</v>
      </c>
      <c r="P153" s="435">
        <v>0</v>
      </c>
      <c r="Q153" s="435">
        <v>0</v>
      </c>
      <c r="R153" s="435">
        <v>0</v>
      </c>
      <c r="S153" s="435">
        <v>0</v>
      </c>
      <c r="T153" s="435">
        <v>0</v>
      </c>
      <c r="U153" s="435">
        <v>0</v>
      </c>
      <c r="V153" s="435">
        <v>0</v>
      </c>
      <c r="W153" s="435">
        <v>0</v>
      </c>
      <c r="X153" s="435">
        <v>0</v>
      </c>
      <c r="Y153" s="435">
        <v>1</v>
      </c>
      <c r="Z153" s="435">
        <v>0</v>
      </c>
      <c r="AA153" s="435">
        <v>0</v>
      </c>
      <c r="AB153" s="435">
        <v>0</v>
      </c>
      <c r="AC153" s="435">
        <v>0.3</v>
      </c>
      <c r="AD153" s="435">
        <v>0.5</v>
      </c>
      <c r="AE153" s="435">
        <v>0</v>
      </c>
      <c r="AF153" s="435">
        <v>0</v>
      </c>
      <c r="AG153" s="435"/>
    </row>
    <row r="154" spans="15:33" x14ac:dyDescent="0.25">
      <c r="O154" s="435" t="s">
        <v>1741</v>
      </c>
      <c r="P154" s="435">
        <v>0</v>
      </c>
      <c r="Q154" s="435">
        <v>0</v>
      </c>
      <c r="R154" s="435">
        <v>0</v>
      </c>
      <c r="S154" s="435">
        <v>0</v>
      </c>
      <c r="T154" s="435">
        <v>0</v>
      </c>
      <c r="U154" s="435">
        <v>0</v>
      </c>
      <c r="V154" s="435">
        <v>0</v>
      </c>
      <c r="W154" s="435">
        <v>0</v>
      </c>
      <c r="X154" s="435">
        <v>2</v>
      </c>
      <c r="Y154" s="435">
        <v>1</v>
      </c>
      <c r="Z154" s="435">
        <v>-1</v>
      </c>
      <c r="AA154" s="435">
        <v>0</v>
      </c>
      <c r="AB154" s="435">
        <v>0</v>
      </c>
      <c r="AC154" s="435">
        <v>0</v>
      </c>
      <c r="AD154" s="435">
        <v>0</v>
      </c>
      <c r="AE154" s="435">
        <v>0</v>
      </c>
      <c r="AF154" s="435">
        <v>0</v>
      </c>
      <c r="AG154" s="435"/>
    </row>
    <row r="155" spans="15:33" x14ac:dyDescent="0.25">
      <c r="O155" s="435" t="s">
        <v>1742</v>
      </c>
      <c r="P155" s="435">
        <v>0</v>
      </c>
      <c r="Q155" s="435">
        <v>0</v>
      </c>
      <c r="R155" s="435">
        <v>0</v>
      </c>
      <c r="S155" s="435">
        <v>0</v>
      </c>
      <c r="T155" s="435">
        <v>0</v>
      </c>
      <c r="U155" s="435">
        <v>0</v>
      </c>
      <c r="V155" s="435">
        <v>0</v>
      </c>
      <c r="W155" s="435">
        <v>1</v>
      </c>
      <c r="X155" s="435">
        <v>0</v>
      </c>
      <c r="Y155" s="435">
        <v>0</v>
      </c>
      <c r="Z155" s="435">
        <v>-1</v>
      </c>
      <c r="AA155" s="435">
        <v>0</v>
      </c>
      <c r="AB155" s="435">
        <v>0</v>
      </c>
      <c r="AC155" s="435">
        <v>0</v>
      </c>
      <c r="AD155" s="435">
        <v>0</v>
      </c>
      <c r="AE155" s="435">
        <v>0</v>
      </c>
      <c r="AF155" s="435">
        <v>0</v>
      </c>
      <c r="AG155" s="435"/>
    </row>
    <row r="156" spans="15:33" x14ac:dyDescent="0.25">
      <c r="O156" s="435" t="s">
        <v>1743</v>
      </c>
      <c r="P156" s="435">
        <v>0</v>
      </c>
      <c r="Q156" s="435">
        <v>0</v>
      </c>
      <c r="R156" s="435">
        <v>0</v>
      </c>
      <c r="S156" s="435">
        <v>0</v>
      </c>
      <c r="T156" s="435">
        <v>0</v>
      </c>
      <c r="U156" s="435">
        <v>0</v>
      </c>
      <c r="V156" s="435">
        <v>-1</v>
      </c>
      <c r="W156" s="435">
        <v>0</v>
      </c>
      <c r="X156" s="435">
        <v>0</v>
      </c>
      <c r="Y156" s="435">
        <v>-1</v>
      </c>
      <c r="Z156" s="435">
        <v>0</v>
      </c>
      <c r="AA156" s="435">
        <v>-5</v>
      </c>
      <c r="AB156" s="435">
        <v>0</v>
      </c>
      <c r="AC156" s="435">
        <v>0</v>
      </c>
      <c r="AD156" s="435">
        <v>0</v>
      </c>
      <c r="AE156" s="435">
        <v>0</v>
      </c>
      <c r="AF156" s="435">
        <v>0</v>
      </c>
      <c r="AG156" s="435"/>
    </row>
    <row r="157" spans="15:33" x14ac:dyDescent="0.25">
      <c r="O157" s="435" t="s">
        <v>1744</v>
      </c>
      <c r="P157" s="435">
        <v>0</v>
      </c>
      <c r="Q157" s="435">
        <v>0</v>
      </c>
      <c r="R157" s="435">
        <v>0</v>
      </c>
      <c r="S157" s="435">
        <v>0</v>
      </c>
      <c r="T157" s="435">
        <v>0</v>
      </c>
      <c r="U157" s="435">
        <v>-1</v>
      </c>
      <c r="V157" s="435">
        <v>0</v>
      </c>
      <c r="W157" s="435">
        <v>1</v>
      </c>
      <c r="X157" s="435">
        <v>0</v>
      </c>
      <c r="Y157" s="435">
        <v>-1</v>
      </c>
      <c r="Z157" s="435">
        <v>0</v>
      </c>
      <c r="AA157" s="435">
        <v>0</v>
      </c>
      <c r="AB157" s="435">
        <v>0</v>
      </c>
      <c r="AC157" s="435">
        <v>0</v>
      </c>
      <c r="AD157" s="435">
        <v>0</v>
      </c>
      <c r="AE157" s="435">
        <v>0</v>
      </c>
      <c r="AF157" s="435">
        <v>0</v>
      </c>
      <c r="AG157" s="435"/>
    </row>
    <row r="158" spans="15:33" x14ac:dyDescent="0.25">
      <c r="O158" s="435" t="s">
        <v>1745</v>
      </c>
      <c r="P158" s="435">
        <v>0</v>
      </c>
      <c r="Q158" s="435">
        <v>0</v>
      </c>
      <c r="R158" s="435">
        <v>0</v>
      </c>
      <c r="S158" s="435">
        <v>0</v>
      </c>
      <c r="T158" s="435">
        <v>0</v>
      </c>
      <c r="U158" s="435">
        <v>0</v>
      </c>
      <c r="V158" s="435">
        <v>0</v>
      </c>
      <c r="W158" s="435">
        <v>1</v>
      </c>
      <c r="X158" s="435">
        <v>0</v>
      </c>
      <c r="Y158" s="435">
        <v>1</v>
      </c>
      <c r="Z158" s="435">
        <v>0</v>
      </c>
      <c r="AA158" s="435">
        <v>0</v>
      </c>
      <c r="AB158" s="435">
        <v>0</v>
      </c>
      <c r="AC158" s="435">
        <v>0</v>
      </c>
      <c r="AD158" s="435">
        <v>0</v>
      </c>
      <c r="AE158" s="435">
        <v>0</v>
      </c>
      <c r="AF158" s="435">
        <v>0</v>
      </c>
      <c r="AG158" s="435"/>
    </row>
    <row r="159" spans="15:33" x14ac:dyDescent="0.25">
      <c r="O159" s="435" t="s">
        <v>1746</v>
      </c>
      <c r="P159" s="435">
        <v>0</v>
      </c>
      <c r="Q159" s="435">
        <v>0</v>
      </c>
      <c r="R159" s="435">
        <v>0</v>
      </c>
      <c r="S159" s="435">
        <v>0</v>
      </c>
      <c r="T159" s="435">
        <v>0</v>
      </c>
      <c r="U159" s="435">
        <v>0</v>
      </c>
      <c r="V159" s="435">
        <v>0</v>
      </c>
      <c r="W159" s="435">
        <v>0</v>
      </c>
      <c r="X159" s="435">
        <v>0</v>
      </c>
      <c r="Y159" s="435">
        <v>1</v>
      </c>
      <c r="Z159" s="435">
        <v>0</v>
      </c>
      <c r="AA159" s="435">
        <v>0</v>
      </c>
      <c r="AB159" s="435">
        <v>0</v>
      </c>
      <c r="AC159" s="435">
        <v>0.2</v>
      </c>
      <c r="AD159" s="435">
        <v>0</v>
      </c>
      <c r="AE159" s="435">
        <v>0</v>
      </c>
      <c r="AF159" s="435">
        <v>0</v>
      </c>
      <c r="AG159" s="435"/>
    </row>
    <row r="160" spans="15:33" x14ac:dyDescent="0.25">
      <c r="O160" s="435" t="s">
        <v>1747</v>
      </c>
      <c r="P160" s="435">
        <v>0</v>
      </c>
      <c r="Q160" s="435">
        <v>0</v>
      </c>
      <c r="R160" s="435">
        <v>0</v>
      </c>
      <c r="S160" s="435">
        <v>0</v>
      </c>
      <c r="T160" s="435">
        <v>0</v>
      </c>
      <c r="U160" s="435">
        <v>0</v>
      </c>
      <c r="V160" s="435">
        <v>0</v>
      </c>
      <c r="W160" s="435">
        <v>0</v>
      </c>
      <c r="X160" s="435">
        <v>0</v>
      </c>
      <c r="Y160" s="435">
        <v>0</v>
      </c>
      <c r="Z160" s="435">
        <v>0</v>
      </c>
      <c r="AA160" s="435">
        <v>0</v>
      </c>
      <c r="AB160" s="435">
        <v>0</v>
      </c>
      <c r="AC160" s="435">
        <v>0</v>
      </c>
      <c r="AD160" s="435">
        <v>1</v>
      </c>
      <c r="AE160" s="435">
        <v>0</v>
      </c>
      <c r="AF160" s="435">
        <v>0</v>
      </c>
      <c r="AG160" s="435"/>
    </row>
    <row r="161" spans="15:33" x14ac:dyDescent="0.25">
      <c r="O161" s="435" t="s">
        <v>1748</v>
      </c>
      <c r="P161" s="435">
        <v>0</v>
      </c>
      <c r="Q161" s="435">
        <v>0</v>
      </c>
      <c r="R161" s="435">
        <v>0</v>
      </c>
      <c r="S161" s="435">
        <v>0</v>
      </c>
      <c r="T161" s="435">
        <v>0</v>
      </c>
      <c r="U161" s="435">
        <v>0</v>
      </c>
      <c r="V161" s="435">
        <v>0</v>
      </c>
      <c r="W161" s="435">
        <v>1</v>
      </c>
      <c r="X161" s="435">
        <v>0</v>
      </c>
      <c r="Y161" s="435">
        <v>0</v>
      </c>
      <c r="Z161" s="435">
        <v>1</v>
      </c>
      <c r="AA161" s="435">
        <v>0</v>
      </c>
      <c r="AB161" s="435">
        <v>0</v>
      </c>
      <c r="AC161" s="435">
        <v>0</v>
      </c>
      <c r="AD161" s="435">
        <v>0</v>
      </c>
      <c r="AE161" s="435">
        <v>0</v>
      </c>
      <c r="AF161" s="435">
        <v>0</v>
      </c>
      <c r="AG161" s="435"/>
    </row>
    <row r="162" spans="15:33" x14ac:dyDescent="0.25">
      <c r="O162" s="615" t="s">
        <v>1754</v>
      </c>
      <c r="P162" s="435">
        <v>0</v>
      </c>
      <c r="Q162" s="435">
        <v>0</v>
      </c>
      <c r="R162" s="435">
        <v>0</v>
      </c>
      <c r="S162" s="435">
        <v>0</v>
      </c>
      <c r="T162" s="435">
        <v>0</v>
      </c>
      <c r="U162" s="435">
        <v>0</v>
      </c>
      <c r="V162" s="435">
        <v>0</v>
      </c>
      <c r="W162" s="435">
        <v>1</v>
      </c>
      <c r="X162" s="435">
        <v>0</v>
      </c>
      <c r="Y162" s="435">
        <v>-1</v>
      </c>
      <c r="Z162" s="435">
        <v>0</v>
      </c>
      <c r="AA162" s="435">
        <v>0</v>
      </c>
      <c r="AB162" s="435">
        <v>0</v>
      </c>
      <c r="AC162" s="435">
        <v>0</v>
      </c>
      <c r="AD162" s="435">
        <v>0</v>
      </c>
      <c r="AE162" s="435">
        <v>0</v>
      </c>
      <c r="AF162" s="435">
        <v>0</v>
      </c>
      <c r="AG162" s="435"/>
    </row>
    <row r="163" spans="15:33" x14ac:dyDescent="0.25">
      <c r="O163" s="615" t="s">
        <v>1755</v>
      </c>
      <c r="P163" s="435">
        <v>0</v>
      </c>
      <c r="Q163" s="435">
        <v>0</v>
      </c>
      <c r="R163" s="435">
        <v>0</v>
      </c>
      <c r="S163" s="435">
        <v>0</v>
      </c>
      <c r="T163" s="435">
        <v>0</v>
      </c>
      <c r="U163" s="435">
        <v>0</v>
      </c>
      <c r="V163" s="435">
        <v>0</v>
      </c>
      <c r="W163" s="435">
        <v>1</v>
      </c>
      <c r="X163" s="435">
        <v>0</v>
      </c>
      <c r="Y163" s="435">
        <v>0</v>
      </c>
      <c r="Z163" s="435">
        <v>-1</v>
      </c>
      <c r="AA163" s="435">
        <v>0</v>
      </c>
      <c r="AB163" s="435">
        <v>0</v>
      </c>
      <c r="AC163" s="435">
        <v>0</v>
      </c>
      <c r="AD163" s="435">
        <v>0</v>
      </c>
      <c r="AE163" s="435">
        <v>0</v>
      </c>
      <c r="AF163" s="435">
        <v>0</v>
      </c>
      <c r="AG163" s="435"/>
    </row>
    <row r="164" spans="15:33" x14ac:dyDescent="0.25">
      <c r="O164" s="615" t="s">
        <v>1756</v>
      </c>
      <c r="P164" s="435">
        <v>0</v>
      </c>
      <c r="Q164" s="435">
        <v>0</v>
      </c>
      <c r="R164" s="435">
        <v>0</v>
      </c>
      <c r="S164" s="435">
        <v>0</v>
      </c>
      <c r="T164" s="435">
        <v>0</v>
      </c>
      <c r="U164" s="435">
        <v>0</v>
      </c>
      <c r="V164" s="435">
        <v>0</v>
      </c>
      <c r="W164" s="435">
        <v>2</v>
      </c>
      <c r="X164" s="435">
        <v>0</v>
      </c>
      <c r="Y164" s="435">
        <v>0</v>
      </c>
      <c r="Z164" s="435">
        <v>0</v>
      </c>
      <c r="AA164" s="435">
        <v>13</v>
      </c>
      <c r="AB164" s="435">
        <v>0</v>
      </c>
      <c r="AC164" s="435">
        <v>0</v>
      </c>
      <c r="AD164" s="435">
        <v>0</v>
      </c>
      <c r="AE164" s="435">
        <v>0</v>
      </c>
      <c r="AF164" s="435">
        <v>0</v>
      </c>
      <c r="AG164" s="435"/>
    </row>
    <row r="165" spans="15:33" x14ac:dyDescent="0.25">
      <c r="O165" s="615" t="s">
        <v>1757</v>
      </c>
      <c r="P165" s="435">
        <v>0</v>
      </c>
      <c r="Q165" s="435">
        <v>0</v>
      </c>
      <c r="R165" s="435">
        <v>0</v>
      </c>
      <c r="S165" s="435">
        <v>0</v>
      </c>
      <c r="T165" s="435">
        <v>0</v>
      </c>
      <c r="U165" s="435">
        <v>-2</v>
      </c>
      <c r="V165" s="435">
        <v>0</v>
      </c>
      <c r="W165" s="435">
        <v>0</v>
      </c>
      <c r="X165" s="435">
        <v>0</v>
      </c>
      <c r="Y165" s="435">
        <v>0</v>
      </c>
      <c r="Z165" s="435">
        <v>-2</v>
      </c>
      <c r="AA165" s="435">
        <v>0</v>
      </c>
      <c r="AB165" s="435">
        <v>0</v>
      </c>
      <c r="AC165" s="435">
        <v>0</v>
      </c>
      <c r="AD165" s="435">
        <v>0</v>
      </c>
      <c r="AE165" s="435">
        <v>0</v>
      </c>
      <c r="AF165" s="435">
        <v>0</v>
      </c>
      <c r="AG165" s="435"/>
    </row>
    <row r="166" spans="15:33" x14ac:dyDescent="0.25">
      <c r="O166" s="615" t="s">
        <v>1766</v>
      </c>
      <c r="P166" s="435">
        <v>0</v>
      </c>
      <c r="Q166" s="435">
        <v>0</v>
      </c>
      <c r="R166" s="435">
        <v>0</v>
      </c>
      <c r="S166" s="435">
        <v>0</v>
      </c>
      <c r="T166" s="435">
        <v>0</v>
      </c>
      <c r="U166" s="435">
        <v>0</v>
      </c>
      <c r="V166" s="435">
        <v>0</v>
      </c>
      <c r="W166" s="435">
        <v>0</v>
      </c>
      <c r="X166" s="435">
        <v>0</v>
      </c>
      <c r="Y166" s="435">
        <v>0</v>
      </c>
      <c r="Z166" s="435">
        <v>0</v>
      </c>
      <c r="AA166" s="435">
        <v>0</v>
      </c>
      <c r="AB166" s="435">
        <v>0</v>
      </c>
      <c r="AC166" s="435">
        <v>0</v>
      </c>
      <c r="AD166" s="435">
        <v>0</v>
      </c>
      <c r="AE166" s="435">
        <v>0</v>
      </c>
      <c r="AF166" s="435">
        <v>0</v>
      </c>
      <c r="AG166" s="435"/>
    </row>
    <row r="167" spans="15:33" x14ac:dyDescent="0.25">
      <c r="O167" s="615" t="s">
        <v>1138</v>
      </c>
      <c r="P167" s="435">
        <v>0</v>
      </c>
      <c r="Q167" s="435">
        <v>0</v>
      </c>
      <c r="R167" s="435">
        <v>0</v>
      </c>
      <c r="S167" s="435">
        <v>0</v>
      </c>
      <c r="T167" s="435">
        <v>0</v>
      </c>
      <c r="U167" s="435">
        <v>-2</v>
      </c>
      <c r="V167" s="435">
        <v>0</v>
      </c>
      <c r="W167" s="435">
        <v>0</v>
      </c>
      <c r="X167" s="435">
        <v>0</v>
      </c>
      <c r="Y167" s="435">
        <v>0</v>
      </c>
      <c r="Z167" s="435">
        <v>0</v>
      </c>
      <c r="AA167" s="435">
        <v>0</v>
      </c>
      <c r="AB167" s="435">
        <v>0</v>
      </c>
      <c r="AC167" s="435">
        <v>0</v>
      </c>
      <c r="AD167" s="435">
        <v>0</v>
      </c>
      <c r="AE167" s="435">
        <v>1</v>
      </c>
      <c r="AF167" s="435">
        <v>1</v>
      </c>
      <c r="AG167" s="435"/>
    </row>
    <row r="168" spans="15:33" x14ac:dyDescent="0.25">
      <c r="O168" s="615" t="s">
        <v>1758</v>
      </c>
      <c r="P168" s="435">
        <v>0</v>
      </c>
      <c r="Q168" s="435">
        <v>0</v>
      </c>
      <c r="R168" s="435">
        <v>0</v>
      </c>
      <c r="S168" s="435">
        <v>0</v>
      </c>
      <c r="T168" s="435">
        <v>0</v>
      </c>
      <c r="U168" s="435">
        <v>0</v>
      </c>
      <c r="V168" s="435">
        <v>-2</v>
      </c>
      <c r="W168" s="435">
        <v>1</v>
      </c>
      <c r="X168" s="435">
        <v>0</v>
      </c>
      <c r="Y168" s="435">
        <v>-4</v>
      </c>
      <c r="Z168" s="435">
        <v>2</v>
      </c>
      <c r="AA168" s="435">
        <v>0</v>
      </c>
      <c r="AB168" s="435">
        <v>0</v>
      </c>
      <c r="AC168" s="435">
        <v>0</v>
      </c>
      <c r="AD168" s="435">
        <v>0</v>
      </c>
      <c r="AE168" s="435">
        <v>0</v>
      </c>
      <c r="AF168" s="435">
        <v>0</v>
      </c>
      <c r="AG168" s="435"/>
    </row>
    <row r="169" spans="15:33" x14ac:dyDescent="0.25">
      <c r="O169" s="615" t="s">
        <v>1759</v>
      </c>
      <c r="P169" s="435">
        <v>0</v>
      </c>
      <c r="Q169" s="435">
        <v>0</v>
      </c>
      <c r="R169" s="435">
        <v>0</v>
      </c>
      <c r="S169" s="435">
        <v>0</v>
      </c>
      <c r="T169" s="435">
        <v>0</v>
      </c>
      <c r="U169" s="435">
        <v>0</v>
      </c>
      <c r="V169" s="435">
        <v>0</v>
      </c>
      <c r="W169" s="435">
        <v>0</v>
      </c>
      <c r="X169" s="435">
        <v>0</v>
      </c>
      <c r="Y169" s="435">
        <v>0</v>
      </c>
      <c r="Z169" s="435">
        <v>0</v>
      </c>
      <c r="AA169" s="435">
        <v>0</v>
      </c>
      <c r="AB169" s="435">
        <v>0</v>
      </c>
      <c r="AC169" s="435">
        <v>0.2</v>
      </c>
      <c r="AD169" s="435">
        <v>0.2</v>
      </c>
      <c r="AE169" s="435">
        <v>2</v>
      </c>
      <c r="AF169" s="435">
        <v>2</v>
      </c>
      <c r="AG169" s="435"/>
    </row>
    <row r="170" spans="15:33" x14ac:dyDescent="0.25">
      <c r="O170" s="615" t="s">
        <v>1760</v>
      </c>
      <c r="P170" s="435">
        <v>0</v>
      </c>
      <c r="Q170" s="435">
        <v>0</v>
      </c>
      <c r="R170" s="435">
        <v>0</v>
      </c>
      <c r="S170" s="435">
        <v>0</v>
      </c>
      <c r="T170" s="435">
        <v>0</v>
      </c>
      <c r="U170" s="435">
        <v>0</v>
      </c>
      <c r="V170" s="435">
        <v>0</v>
      </c>
      <c r="W170" s="435">
        <v>1</v>
      </c>
      <c r="X170" s="435">
        <v>0</v>
      </c>
      <c r="Y170" s="435">
        <v>1</v>
      </c>
      <c r="Z170" s="435">
        <v>1</v>
      </c>
      <c r="AA170" s="435">
        <v>0</v>
      </c>
      <c r="AB170" s="435">
        <v>0</v>
      </c>
      <c r="AC170" s="435">
        <v>0</v>
      </c>
      <c r="AD170" s="435">
        <v>0</v>
      </c>
      <c r="AE170" s="435">
        <v>0</v>
      </c>
      <c r="AF170" s="435">
        <v>0</v>
      </c>
      <c r="AG170" s="435"/>
    </row>
    <row r="171" spans="15:33" x14ac:dyDescent="0.25">
      <c r="O171" s="615" t="s">
        <v>1761</v>
      </c>
      <c r="P171" s="435">
        <v>0</v>
      </c>
      <c r="Q171" s="435">
        <v>0</v>
      </c>
      <c r="R171" s="435">
        <v>0</v>
      </c>
      <c r="S171" s="435">
        <v>0</v>
      </c>
      <c r="T171" s="435">
        <v>0</v>
      </c>
      <c r="U171" s="435">
        <v>0</v>
      </c>
      <c r="V171" s="435">
        <v>0</v>
      </c>
      <c r="W171" s="435">
        <v>0</v>
      </c>
      <c r="X171" s="435">
        <v>0</v>
      </c>
      <c r="Y171" s="435">
        <v>-2</v>
      </c>
      <c r="Z171" s="435">
        <v>-2</v>
      </c>
      <c r="AA171" s="435">
        <v>0</v>
      </c>
      <c r="AB171" s="435">
        <v>0</v>
      </c>
      <c r="AC171" s="435">
        <v>0</v>
      </c>
      <c r="AD171" s="435">
        <v>0</v>
      </c>
      <c r="AE171" s="435">
        <v>0</v>
      </c>
      <c r="AF171" s="435">
        <v>0</v>
      </c>
      <c r="AG171" s="435"/>
    </row>
    <row r="172" spans="15:33" x14ac:dyDescent="0.25">
      <c r="O172" s="615" t="s">
        <v>1762</v>
      </c>
      <c r="P172" s="435">
        <v>0</v>
      </c>
      <c r="Q172" s="435">
        <v>0</v>
      </c>
      <c r="R172" s="435">
        <v>0</v>
      </c>
      <c r="S172" s="435">
        <v>0</v>
      </c>
      <c r="T172" s="435">
        <v>0</v>
      </c>
      <c r="U172" s="435">
        <v>0</v>
      </c>
      <c r="V172" s="435">
        <v>3</v>
      </c>
      <c r="W172" s="435">
        <v>0</v>
      </c>
      <c r="X172" s="435">
        <v>0</v>
      </c>
      <c r="Y172" s="435">
        <v>2</v>
      </c>
      <c r="Z172" s="435">
        <v>0</v>
      </c>
      <c r="AA172" s="435">
        <v>20</v>
      </c>
      <c r="AB172" s="435">
        <v>0</v>
      </c>
      <c r="AC172" s="435">
        <v>0</v>
      </c>
      <c r="AD172" s="435">
        <v>0.25</v>
      </c>
      <c r="AE172" s="435">
        <v>2</v>
      </c>
      <c r="AF172" s="435">
        <v>2</v>
      </c>
      <c r="AG172" s="435"/>
    </row>
    <row r="173" spans="15:33" x14ac:dyDescent="0.25">
      <c r="O173" s="615" t="s">
        <v>1763</v>
      </c>
      <c r="P173" s="435">
        <v>0</v>
      </c>
      <c r="Q173" s="435">
        <v>0</v>
      </c>
      <c r="R173" s="435">
        <v>0</v>
      </c>
      <c r="S173" s="435">
        <v>0</v>
      </c>
      <c r="T173" s="435">
        <v>0</v>
      </c>
      <c r="U173" s="435">
        <v>0</v>
      </c>
      <c r="V173" s="435">
        <v>0</v>
      </c>
      <c r="W173" s="435">
        <v>0</v>
      </c>
      <c r="X173" s="435">
        <v>0</v>
      </c>
      <c r="Y173" s="435">
        <v>-2</v>
      </c>
      <c r="Z173" s="435">
        <v>0</v>
      </c>
      <c r="AA173" s="435">
        <v>0</v>
      </c>
      <c r="AB173" s="435">
        <v>0</v>
      </c>
      <c r="AC173" s="435">
        <v>0</v>
      </c>
      <c r="AD173" s="435">
        <v>0</v>
      </c>
      <c r="AE173" s="435">
        <v>2</v>
      </c>
      <c r="AF173" s="435">
        <v>2</v>
      </c>
      <c r="AG173" s="435"/>
    </row>
    <row r="174" spans="15:33" x14ac:dyDescent="0.25">
      <c r="O174" s="615" t="s">
        <v>1764</v>
      </c>
      <c r="P174" s="435">
        <v>0</v>
      </c>
      <c r="Q174" s="435">
        <v>0</v>
      </c>
      <c r="R174" s="435">
        <v>0</v>
      </c>
      <c r="S174" s="435">
        <v>0</v>
      </c>
      <c r="T174" s="435">
        <v>0</v>
      </c>
      <c r="U174" s="435">
        <v>0</v>
      </c>
      <c r="V174" s="435">
        <v>0</v>
      </c>
      <c r="W174" s="435">
        <v>4</v>
      </c>
      <c r="X174" s="435">
        <v>0</v>
      </c>
      <c r="Y174" s="435">
        <v>0</v>
      </c>
      <c r="Z174" s="435">
        <v>-3</v>
      </c>
      <c r="AA174" s="435">
        <v>0</v>
      </c>
      <c r="AB174" s="435">
        <v>0</v>
      </c>
      <c r="AC174" s="435">
        <v>0</v>
      </c>
      <c r="AD174" s="435">
        <v>0</v>
      </c>
      <c r="AE174" s="435">
        <v>0</v>
      </c>
      <c r="AF174" s="435">
        <v>0</v>
      </c>
      <c r="AG174" s="435"/>
    </row>
    <row r="175" spans="15:33" x14ac:dyDescent="0.25">
      <c r="O175" s="615" t="s">
        <v>1765</v>
      </c>
      <c r="P175" s="435">
        <v>0</v>
      </c>
      <c r="Q175" s="435">
        <v>0</v>
      </c>
      <c r="R175" s="435">
        <v>0</v>
      </c>
      <c r="S175" s="435">
        <v>0</v>
      </c>
      <c r="T175" s="435">
        <v>0</v>
      </c>
      <c r="U175" s="435">
        <v>2</v>
      </c>
      <c r="V175" s="435">
        <v>0</v>
      </c>
      <c r="W175" s="435">
        <v>0</v>
      </c>
      <c r="X175" s="435">
        <v>0</v>
      </c>
      <c r="Y175" s="435">
        <v>0</v>
      </c>
      <c r="Z175" s="435">
        <v>0</v>
      </c>
      <c r="AA175" s="435">
        <v>0</v>
      </c>
      <c r="AB175" s="435">
        <v>0</v>
      </c>
      <c r="AC175" s="435">
        <v>0</v>
      </c>
      <c r="AD175" s="435">
        <v>0</v>
      </c>
      <c r="AE175" s="435">
        <v>1</v>
      </c>
      <c r="AF175" s="435">
        <v>1</v>
      </c>
      <c r="AG175" s="435"/>
    </row>
  </sheetData>
  <sheetProtection sheet="1" objects="1" scenarios="1"/>
  <sortState ref="Y23:Y34">
    <sortCondition ref="Y23"/>
  </sortState>
  <mergeCells count="3">
    <mergeCell ref="O34:U34"/>
    <mergeCell ref="O1:U1"/>
    <mergeCell ref="O12:R12"/>
  </mergeCell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B1:B59"/>
  <sheetViews>
    <sheetView workbookViewId="0">
      <selection activeCell="B33" sqref="B33"/>
    </sheetView>
  </sheetViews>
  <sheetFormatPr defaultRowHeight="15" x14ac:dyDescent="0.25"/>
  <cols>
    <col min="1" max="1" width="0.85546875" customWidth="1"/>
    <col min="2" max="2" width="83.140625" style="107" customWidth="1"/>
  </cols>
  <sheetData>
    <row r="1" spans="2:2" ht="5.25" customHeight="1" thickBot="1" x14ac:dyDescent="0.3"/>
    <row r="2" spans="2:2" ht="29.25" thickBot="1" x14ac:dyDescent="0.5">
      <c r="B2" s="118" t="s">
        <v>292</v>
      </c>
    </row>
    <row r="3" spans="2:2" ht="15.75" hidden="1" thickBot="1" x14ac:dyDescent="0.3">
      <c r="B3" s="123" t="s">
        <v>256</v>
      </c>
    </row>
    <row r="4" spans="2:2" ht="30" hidden="1" x14ac:dyDescent="0.25">
      <c r="B4" s="113" t="s">
        <v>257</v>
      </c>
    </row>
    <row r="5" spans="2:2" ht="30" hidden="1" x14ac:dyDescent="0.25">
      <c r="B5" s="107" t="s">
        <v>294</v>
      </c>
    </row>
    <row r="6" spans="2:2" ht="45" hidden="1" x14ac:dyDescent="0.25">
      <c r="B6" s="113" t="s">
        <v>293</v>
      </c>
    </row>
    <row r="7" spans="2:2" ht="15.75" thickBot="1" x14ac:dyDescent="0.3">
      <c r="B7" s="113"/>
    </row>
    <row r="8" spans="2:2" ht="15.75" thickBot="1" x14ac:dyDescent="0.3">
      <c r="B8" s="123" t="s">
        <v>1086</v>
      </c>
    </row>
    <row r="9" spans="2:2" ht="30.75" thickBot="1" x14ac:dyDescent="0.3">
      <c r="B9" s="317" t="s">
        <v>1093</v>
      </c>
    </row>
    <row r="10" spans="2:2" ht="15.75" thickBot="1" x14ac:dyDescent="0.3">
      <c r="B10" s="123" t="s">
        <v>259</v>
      </c>
    </row>
    <row r="11" spans="2:2" ht="45" x14ac:dyDescent="0.25">
      <c r="B11" s="113" t="s">
        <v>1506</v>
      </c>
    </row>
    <row r="12" spans="2:2" ht="30" x14ac:dyDescent="0.25">
      <c r="B12" s="107" t="s">
        <v>295</v>
      </c>
    </row>
    <row r="13" spans="2:2" hidden="1" x14ac:dyDescent="0.25">
      <c r="B13" s="107" t="s">
        <v>296</v>
      </c>
    </row>
    <row r="14" spans="2:2" ht="45" hidden="1" x14ac:dyDescent="0.25">
      <c r="B14" s="107" t="s">
        <v>297</v>
      </c>
    </row>
    <row r="15" spans="2:2" x14ac:dyDescent="0.25">
      <c r="B15" s="107" t="s">
        <v>1094</v>
      </c>
    </row>
    <row r="16" spans="2:2" ht="15.75" thickBot="1" x14ac:dyDescent="0.3">
      <c r="B16" s="113"/>
    </row>
    <row r="17" spans="2:2" ht="15.75" thickBot="1" x14ac:dyDescent="0.3">
      <c r="B17" s="123" t="s">
        <v>260</v>
      </c>
    </row>
    <row r="18" spans="2:2" x14ac:dyDescent="0.25">
      <c r="B18" s="113" t="s">
        <v>1210</v>
      </c>
    </row>
    <row r="19" spans="2:2" ht="15.75" thickBot="1" x14ac:dyDescent="0.3">
      <c r="B19" s="107" t="s">
        <v>1666</v>
      </c>
    </row>
    <row r="20" spans="2:2" ht="15.75" hidden="1" thickBot="1" x14ac:dyDescent="0.3">
      <c r="B20" s="123" t="s">
        <v>306</v>
      </c>
    </row>
    <row r="21" spans="2:2" ht="30" hidden="1" x14ac:dyDescent="0.25">
      <c r="B21" s="107" t="s">
        <v>307</v>
      </c>
    </row>
    <row r="22" spans="2:2" ht="15.75" hidden="1" thickBot="1" x14ac:dyDescent="0.3"/>
    <row r="23" spans="2:2" ht="15.75" hidden="1" thickBot="1" x14ac:dyDescent="0.3">
      <c r="B23" s="123" t="s">
        <v>302</v>
      </c>
    </row>
    <row r="24" spans="2:2" ht="30" hidden="1" x14ac:dyDescent="0.25">
      <c r="B24" s="107" t="s">
        <v>303</v>
      </c>
    </row>
    <row r="25" spans="2:2" ht="15.75" hidden="1" thickBot="1" x14ac:dyDescent="0.3"/>
    <row r="26" spans="2:2" ht="15.75" hidden="1" thickBot="1" x14ac:dyDescent="0.3">
      <c r="B26" s="123" t="s">
        <v>304</v>
      </c>
    </row>
    <row r="27" spans="2:2" ht="30" hidden="1" x14ac:dyDescent="0.25">
      <c r="B27" s="107" t="s">
        <v>305</v>
      </c>
    </row>
    <row r="28" spans="2:2" ht="15.75" hidden="1" thickBot="1" x14ac:dyDescent="0.3"/>
    <row r="29" spans="2:2" ht="15.75" hidden="1" thickBot="1" x14ac:dyDescent="0.3">
      <c r="B29" s="123" t="s">
        <v>301</v>
      </c>
    </row>
    <row r="30" spans="2:2" ht="30" hidden="1" x14ac:dyDescent="0.25">
      <c r="B30" s="107" t="s">
        <v>298</v>
      </c>
    </row>
    <row r="31" spans="2:2" hidden="1" x14ac:dyDescent="0.25">
      <c r="B31" s="107" t="s">
        <v>299</v>
      </c>
    </row>
    <row r="32" spans="2:2" ht="15.75" thickBot="1" x14ac:dyDescent="0.3">
      <c r="B32" s="123" t="s">
        <v>131</v>
      </c>
    </row>
    <row r="33" spans="2:2" ht="45.75" thickBot="1" x14ac:dyDescent="0.3">
      <c r="B33" s="107" t="s">
        <v>766</v>
      </c>
    </row>
    <row r="34" spans="2:2" ht="15.75" thickBot="1" x14ac:dyDescent="0.3">
      <c r="B34" s="123" t="s">
        <v>804</v>
      </c>
    </row>
    <row r="35" spans="2:2" s="314" customFormat="1" ht="60.75" thickBot="1" x14ac:dyDescent="0.3">
      <c r="B35" s="317" t="s">
        <v>805</v>
      </c>
    </row>
    <row r="36" spans="2:2" ht="15.75" thickBot="1" x14ac:dyDescent="0.3">
      <c r="B36" s="123" t="s">
        <v>809</v>
      </c>
    </row>
    <row r="37" spans="2:2" ht="60" x14ac:dyDescent="0.25">
      <c r="B37" s="317" t="s">
        <v>1095</v>
      </c>
    </row>
    <row r="38" spans="2:2" ht="15.75" thickBot="1" x14ac:dyDescent="0.3"/>
    <row r="39" spans="2:2" ht="15.75" thickBot="1" x14ac:dyDescent="0.3">
      <c r="B39" s="123" t="s">
        <v>855</v>
      </c>
    </row>
    <row r="40" spans="2:2" ht="60" x14ac:dyDescent="0.25">
      <c r="B40" s="317" t="s">
        <v>856</v>
      </c>
    </row>
    <row r="41" spans="2:2" ht="15.75" thickBot="1" x14ac:dyDescent="0.3"/>
    <row r="42" spans="2:2" ht="15.75" thickBot="1" x14ac:dyDescent="0.3">
      <c r="B42" s="123" t="s">
        <v>1065</v>
      </c>
    </row>
    <row r="43" spans="2:2" ht="45" x14ac:dyDescent="0.25">
      <c r="B43" s="317" t="s">
        <v>1124</v>
      </c>
    </row>
    <row r="44" spans="2:2" ht="45" x14ac:dyDescent="0.25">
      <c r="B44" s="107" t="s">
        <v>1125</v>
      </c>
    </row>
    <row r="45" spans="2:2" ht="15.75" thickBot="1" x14ac:dyDescent="0.3"/>
    <row r="46" spans="2:2" ht="15.75" thickBot="1" x14ac:dyDescent="0.3">
      <c r="B46" s="123" t="s">
        <v>1148</v>
      </c>
    </row>
    <row r="47" spans="2:2" ht="60.75" thickBot="1" x14ac:dyDescent="0.3">
      <c r="B47" s="317" t="s">
        <v>1149</v>
      </c>
    </row>
    <row r="48" spans="2:2" ht="15.75" thickBot="1" x14ac:dyDescent="0.3">
      <c r="B48" s="123" t="s">
        <v>1191</v>
      </c>
    </row>
    <row r="49" spans="2:2" ht="45.75" thickBot="1" x14ac:dyDescent="0.3">
      <c r="B49" s="317" t="s">
        <v>1194</v>
      </c>
    </row>
    <row r="50" spans="2:2" ht="15.75" thickBot="1" x14ac:dyDescent="0.3">
      <c r="B50" s="123" t="s">
        <v>1195</v>
      </c>
    </row>
    <row r="51" spans="2:2" ht="45.75" thickBot="1" x14ac:dyDescent="0.3">
      <c r="B51" s="317" t="s">
        <v>1209</v>
      </c>
    </row>
    <row r="52" spans="2:2" ht="15.75" thickBot="1" x14ac:dyDescent="0.3">
      <c r="B52" s="123" t="s">
        <v>1504</v>
      </c>
    </row>
    <row r="53" spans="2:2" ht="150.75" thickBot="1" x14ac:dyDescent="0.3">
      <c r="B53" s="317" t="s">
        <v>1505</v>
      </c>
    </row>
    <row r="54" spans="2:2" ht="15.75" thickBot="1" x14ac:dyDescent="0.3">
      <c r="B54" s="123" t="s">
        <v>1561</v>
      </c>
    </row>
    <row r="55" spans="2:2" ht="105" x14ac:dyDescent="0.25">
      <c r="B55" s="317" t="s">
        <v>1562</v>
      </c>
    </row>
    <row r="56" spans="2:2" ht="60.75" thickBot="1" x14ac:dyDescent="0.3">
      <c r="B56" s="107" t="s">
        <v>1568</v>
      </c>
    </row>
    <row r="57" spans="2:2" ht="15.75" thickBot="1" x14ac:dyDescent="0.3">
      <c r="B57" s="123" t="s">
        <v>1650</v>
      </c>
    </row>
    <row r="58" spans="2:2" ht="75" x14ac:dyDescent="0.25">
      <c r="B58" s="317" t="s">
        <v>1664</v>
      </c>
    </row>
    <row r="59" spans="2:2" ht="30" x14ac:dyDescent="0.25">
      <c r="B59" s="580" t="s">
        <v>1665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B1:D356"/>
  <sheetViews>
    <sheetView topLeftCell="A339" workbookViewId="0">
      <selection activeCell="C343" sqref="C343"/>
    </sheetView>
  </sheetViews>
  <sheetFormatPr defaultRowHeight="15" x14ac:dyDescent="0.25"/>
  <cols>
    <col min="1" max="1" width="0.85546875" customWidth="1"/>
    <col min="2" max="2" width="82" style="113" customWidth="1"/>
    <col min="3" max="3" width="76.42578125" style="3" bestFit="1" customWidth="1"/>
    <col min="4" max="4" width="9.140625" style="3" customWidth="1"/>
  </cols>
  <sheetData>
    <row r="1" spans="2:2" ht="5.25" customHeight="1" thickBot="1" x14ac:dyDescent="0.3"/>
    <row r="2" spans="2:2" ht="29.25" thickBot="1" x14ac:dyDescent="0.5">
      <c r="B2" s="124" t="s">
        <v>274</v>
      </c>
    </row>
    <row r="3" spans="2:2" ht="32.25" thickBot="1" x14ac:dyDescent="0.3">
      <c r="B3" s="120" t="s">
        <v>383</v>
      </c>
    </row>
    <row r="4" spans="2:2" ht="4.5" customHeight="1" thickBot="1" x14ac:dyDescent="0.3">
      <c r="B4" s="119"/>
    </row>
    <row r="5" spans="2:2" ht="32.25" thickBot="1" x14ac:dyDescent="0.3">
      <c r="B5" s="194" t="s">
        <v>275</v>
      </c>
    </row>
    <row r="6" spans="2:2" ht="4.5" customHeight="1" thickBot="1" x14ac:dyDescent="0.3">
      <c r="B6" s="119"/>
    </row>
    <row r="7" spans="2:2" ht="32.25" thickBot="1" x14ac:dyDescent="0.3">
      <c r="B7" s="194" t="s">
        <v>276</v>
      </c>
    </row>
    <row r="8" spans="2:2" ht="15.75" thickBot="1" x14ac:dyDescent="0.3">
      <c r="B8"/>
    </row>
    <row r="9" spans="2:2" ht="17.25" customHeight="1" thickBot="1" x14ac:dyDescent="0.3">
      <c r="B9" s="357" t="s">
        <v>773</v>
      </c>
    </row>
    <row r="10" spans="2:2" ht="30" x14ac:dyDescent="0.25">
      <c r="B10" s="359" t="s">
        <v>774</v>
      </c>
    </row>
    <row r="11" spans="2:2" x14ac:dyDescent="0.25">
      <c r="B11" s="360" t="s">
        <v>775</v>
      </c>
    </row>
    <row r="12" spans="2:2" ht="15" customHeight="1" x14ac:dyDescent="0.25">
      <c r="B12" s="360" t="s">
        <v>776</v>
      </c>
    </row>
    <row r="13" spans="2:2" ht="30" x14ac:dyDescent="0.25">
      <c r="B13" s="360" t="s">
        <v>777</v>
      </c>
    </row>
    <row r="14" spans="2:2" ht="15.75" thickBot="1" x14ac:dyDescent="0.3">
      <c r="B14" s="361" t="s">
        <v>778</v>
      </c>
    </row>
    <row r="15" spans="2:2" ht="15.75" thickBot="1" x14ac:dyDescent="0.3">
      <c r="B15" s="358"/>
    </row>
    <row r="16" spans="2:2" ht="30.75" thickBot="1" x14ac:dyDescent="0.3">
      <c r="B16" s="357" t="s">
        <v>782</v>
      </c>
    </row>
    <row r="17" spans="2:4" ht="30" x14ac:dyDescent="0.25">
      <c r="B17" s="362" t="s">
        <v>779</v>
      </c>
    </row>
    <row r="18" spans="2:4" ht="45" x14ac:dyDescent="0.25">
      <c r="B18" s="363" t="s">
        <v>780</v>
      </c>
    </row>
    <row r="19" spans="2:4" ht="45.75" thickBot="1" x14ac:dyDescent="0.3">
      <c r="B19" s="364" t="s">
        <v>781</v>
      </c>
    </row>
    <row r="20" spans="2:4" ht="15.75" thickBot="1" x14ac:dyDescent="0.3">
      <c r="B20"/>
    </row>
    <row r="21" spans="2:4" ht="16.5" thickBot="1" x14ac:dyDescent="0.3">
      <c r="B21" s="116" t="s">
        <v>136</v>
      </c>
      <c r="C21" s="106"/>
      <c r="D21" s="106"/>
    </row>
    <row r="22" spans="2:4" ht="15.75" thickBot="1" x14ac:dyDescent="0.3">
      <c r="B22" s="115" t="s">
        <v>137</v>
      </c>
      <c r="C22" s="106"/>
      <c r="D22" s="106"/>
    </row>
    <row r="23" spans="2:4" ht="16.5" thickBot="1" x14ac:dyDescent="0.3">
      <c r="B23" s="116" t="s">
        <v>138</v>
      </c>
      <c r="C23" s="106"/>
      <c r="D23" s="106"/>
    </row>
    <row r="24" spans="2:4" ht="15.75" thickBot="1" x14ac:dyDescent="0.3">
      <c r="B24" s="114" t="s">
        <v>143</v>
      </c>
      <c r="C24" s="108"/>
      <c r="D24" s="108"/>
    </row>
    <row r="25" spans="2:4" ht="15.75" thickBot="1" x14ac:dyDescent="0.3">
      <c r="B25" s="115" t="s">
        <v>139</v>
      </c>
      <c r="C25" s="101"/>
      <c r="D25" s="101"/>
    </row>
    <row r="26" spans="2:4" ht="15.75" thickBot="1" x14ac:dyDescent="0.3">
      <c r="B26" s="115" t="s">
        <v>141</v>
      </c>
      <c r="C26" s="101"/>
      <c r="D26" s="101"/>
    </row>
    <row r="27" spans="2:4" s="48" customFormat="1" ht="15.75" thickBot="1" x14ac:dyDescent="0.3">
      <c r="B27" s="115" t="s">
        <v>146</v>
      </c>
      <c r="C27" s="101"/>
      <c r="D27" s="101"/>
    </row>
    <row r="28" spans="2:4" ht="15.75" thickBot="1" x14ac:dyDescent="0.3">
      <c r="B28" s="115" t="s">
        <v>140</v>
      </c>
      <c r="C28" s="101"/>
      <c r="D28" s="101"/>
    </row>
    <row r="29" spans="2:4" ht="15.75" thickBot="1" x14ac:dyDescent="0.3">
      <c r="B29" s="114" t="s">
        <v>277</v>
      </c>
      <c r="C29" s="108"/>
      <c r="D29" s="108"/>
    </row>
    <row r="30" spans="2:4" ht="15.75" thickBot="1" x14ac:dyDescent="0.3">
      <c r="B30" s="114" t="s">
        <v>145</v>
      </c>
      <c r="C30" s="101"/>
      <c r="D30" s="101"/>
    </row>
    <row r="31" spans="2:4" ht="15.75" thickBot="1" x14ac:dyDescent="0.3">
      <c r="B31" s="115" t="s">
        <v>142</v>
      </c>
      <c r="C31" s="101"/>
      <c r="D31" s="101"/>
    </row>
    <row r="32" spans="2:4" ht="15.75" thickBot="1" x14ac:dyDescent="0.3">
      <c r="B32" s="115" t="s">
        <v>144</v>
      </c>
      <c r="C32" s="101"/>
      <c r="D32" s="101"/>
    </row>
    <row r="33" spans="2:4" ht="16.5" thickBot="1" x14ac:dyDescent="0.3">
      <c r="B33" s="116" t="s">
        <v>147</v>
      </c>
      <c r="C33" s="109"/>
      <c r="D33" s="109"/>
    </row>
    <row r="34" spans="2:4" ht="15.75" thickBot="1" x14ac:dyDescent="0.3">
      <c r="B34" s="114" t="s">
        <v>143</v>
      </c>
      <c r="C34" s="110"/>
      <c r="D34" s="110"/>
    </row>
    <row r="35" spans="2:4" ht="15.75" thickBot="1" x14ac:dyDescent="0.3">
      <c r="B35" s="117" t="s">
        <v>148</v>
      </c>
      <c r="C35" s="111"/>
      <c r="D35" s="111"/>
    </row>
    <row r="36" spans="2:4" ht="16.5" thickBot="1" x14ac:dyDescent="0.3">
      <c r="B36" s="116" t="s">
        <v>149</v>
      </c>
      <c r="C36" s="109"/>
      <c r="D36" s="109"/>
    </row>
    <row r="37" spans="2:4" ht="15.75" thickBot="1" x14ac:dyDescent="0.3">
      <c r="B37" s="114" t="s">
        <v>143</v>
      </c>
      <c r="C37" s="110"/>
      <c r="D37" s="110"/>
    </row>
    <row r="38" spans="2:4" s="74" customFormat="1" ht="15.75" thickBot="1" x14ac:dyDescent="0.3">
      <c r="B38" s="117" t="s">
        <v>150</v>
      </c>
      <c r="C38" s="112"/>
      <c r="D38" s="112"/>
    </row>
    <row r="39" spans="2:4" ht="15.75" thickBot="1" x14ac:dyDescent="0.3">
      <c r="B39" s="114" t="s">
        <v>277</v>
      </c>
      <c r="C39" s="108"/>
      <c r="D39" s="108"/>
    </row>
    <row r="40" spans="2:4" ht="15.75" thickBot="1" x14ac:dyDescent="0.3">
      <c r="B40" s="117" t="s">
        <v>291</v>
      </c>
      <c r="C40" s="101"/>
      <c r="D40" s="101"/>
    </row>
    <row r="41" spans="2:4" ht="16.5" thickBot="1" x14ac:dyDescent="0.3">
      <c r="B41" s="116" t="s">
        <v>151</v>
      </c>
      <c r="C41" s="109"/>
      <c r="D41" s="109"/>
    </row>
    <row r="42" spans="2:4" ht="15.75" thickBot="1" x14ac:dyDescent="0.3">
      <c r="B42" s="114" t="s">
        <v>143</v>
      </c>
      <c r="C42" s="110"/>
      <c r="D42" s="110"/>
    </row>
    <row r="43" spans="2:4" ht="15.75" thickBot="1" x14ac:dyDescent="0.3">
      <c r="B43" s="117" t="s">
        <v>152</v>
      </c>
      <c r="C43" s="112"/>
      <c r="D43" s="112"/>
    </row>
    <row r="44" spans="2:4" ht="16.5" thickBot="1" x14ac:dyDescent="0.3">
      <c r="B44" s="116" t="s">
        <v>154</v>
      </c>
      <c r="C44" s="109"/>
      <c r="D44" s="109"/>
    </row>
    <row r="45" spans="2:4" ht="15.75" thickBot="1" x14ac:dyDescent="0.3">
      <c r="B45" s="114" t="s">
        <v>143</v>
      </c>
      <c r="C45" s="110"/>
      <c r="D45" s="110"/>
    </row>
    <row r="46" spans="2:4" ht="15.75" thickBot="1" x14ac:dyDescent="0.3">
      <c r="B46" s="117" t="s">
        <v>155</v>
      </c>
      <c r="C46" s="112"/>
      <c r="D46" s="112"/>
    </row>
    <row r="47" spans="2:4" ht="16.5" thickBot="1" x14ac:dyDescent="0.3">
      <c r="B47" s="116" t="s">
        <v>153</v>
      </c>
      <c r="C47" s="109"/>
      <c r="D47" s="109"/>
    </row>
    <row r="48" spans="2:4" ht="15.75" thickBot="1" x14ac:dyDescent="0.3">
      <c r="B48" s="114" t="s">
        <v>143</v>
      </c>
      <c r="C48" s="110"/>
      <c r="D48" s="110"/>
    </row>
    <row r="49" spans="2:4" ht="15.75" thickBot="1" x14ac:dyDescent="0.3">
      <c r="B49" s="117" t="s">
        <v>211</v>
      </c>
      <c r="C49" s="100"/>
      <c r="D49" s="100"/>
    </row>
    <row r="50" spans="2:4" ht="15.75" thickBot="1" x14ac:dyDescent="0.3">
      <c r="B50" s="114" t="s">
        <v>277</v>
      </c>
      <c r="C50" s="108"/>
      <c r="D50" s="108"/>
    </row>
    <row r="51" spans="2:4" ht="15.75" thickBot="1" x14ac:dyDescent="0.3">
      <c r="B51" s="117" t="s">
        <v>156</v>
      </c>
      <c r="C51" s="75"/>
      <c r="D51" s="75"/>
    </row>
    <row r="52" spans="2:4" ht="15.75" thickBot="1" x14ac:dyDescent="0.3">
      <c r="B52" s="195"/>
      <c r="C52" s="75"/>
      <c r="D52" s="75"/>
    </row>
    <row r="53" spans="2:4" ht="16.5" thickBot="1" x14ac:dyDescent="0.3">
      <c r="B53" s="116" t="s">
        <v>300</v>
      </c>
    </row>
    <row r="54" spans="2:4" ht="15.75" thickBot="1" x14ac:dyDescent="0.3">
      <c r="B54" s="114" t="s">
        <v>277</v>
      </c>
    </row>
    <row r="55" spans="2:4" x14ac:dyDescent="0.25">
      <c r="B55" s="121" t="s">
        <v>284</v>
      </c>
    </row>
    <row r="56" spans="2:4" x14ac:dyDescent="0.25">
      <c r="B56" s="117" t="s">
        <v>285</v>
      </c>
    </row>
    <row r="57" spans="2:4" ht="30" x14ac:dyDescent="0.25">
      <c r="B57" s="117" t="s">
        <v>286</v>
      </c>
    </row>
    <row r="58" spans="2:4" x14ac:dyDescent="0.25">
      <c r="B58" s="117" t="s">
        <v>278</v>
      </c>
    </row>
    <row r="59" spans="2:4" ht="15.75" thickBot="1" x14ac:dyDescent="0.3">
      <c r="B59" s="122" t="s">
        <v>288</v>
      </c>
    </row>
    <row r="60" spans="2:4" ht="15.75" thickBot="1" x14ac:dyDescent="0.3">
      <c r="B60" s="114" t="s">
        <v>279</v>
      </c>
    </row>
    <row r="61" spans="2:4" x14ac:dyDescent="0.25">
      <c r="B61" s="121" t="s">
        <v>280</v>
      </c>
    </row>
    <row r="62" spans="2:4" ht="15.75" thickBot="1" x14ac:dyDescent="0.3">
      <c r="B62" s="122" t="s">
        <v>281</v>
      </c>
    </row>
    <row r="63" spans="2:4" ht="15.75" thickBot="1" x14ac:dyDescent="0.3">
      <c r="B63" s="114" t="s">
        <v>282</v>
      </c>
    </row>
    <row r="64" spans="2:4" x14ac:dyDescent="0.25">
      <c r="B64" s="121" t="s">
        <v>283</v>
      </c>
    </row>
    <row r="65" spans="2:2" x14ac:dyDescent="0.25">
      <c r="B65" s="117" t="s">
        <v>289</v>
      </c>
    </row>
    <row r="66" spans="2:2" x14ac:dyDescent="0.25">
      <c r="B66" s="117" t="s">
        <v>287</v>
      </c>
    </row>
    <row r="67" spans="2:2" ht="15.75" thickBot="1" x14ac:dyDescent="0.3">
      <c r="B67" s="122" t="s">
        <v>290</v>
      </c>
    </row>
    <row r="68" spans="2:2" ht="15.75" thickBot="1" x14ac:dyDescent="0.3"/>
    <row r="69" spans="2:2" ht="16.5" thickBot="1" x14ac:dyDescent="0.3">
      <c r="B69" s="197" t="s">
        <v>384</v>
      </c>
    </row>
    <row r="70" spans="2:2" ht="15.75" thickBot="1" x14ac:dyDescent="0.3">
      <c r="B70" s="114" t="s">
        <v>385</v>
      </c>
    </row>
    <row r="71" spans="2:2" x14ac:dyDescent="0.25">
      <c r="B71" s="196" t="s">
        <v>394</v>
      </c>
    </row>
    <row r="72" spans="2:2" x14ac:dyDescent="0.25">
      <c r="B72" s="196" t="s">
        <v>395</v>
      </c>
    </row>
    <row r="73" spans="2:2" x14ac:dyDescent="0.25">
      <c r="B73" s="196" t="s">
        <v>396</v>
      </c>
    </row>
    <row r="74" spans="2:2" x14ac:dyDescent="0.25">
      <c r="B74" s="196" t="s">
        <v>397</v>
      </c>
    </row>
    <row r="75" spans="2:2" x14ac:dyDescent="0.25">
      <c r="B75" s="196" t="s">
        <v>398</v>
      </c>
    </row>
    <row r="76" spans="2:2" x14ac:dyDescent="0.25">
      <c r="B76" s="196" t="s">
        <v>399</v>
      </c>
    </row>
    <row r="77" spans="2:2" x14ac:dyDescent="0.25">
      <c r="B77" s="196" t="s">
        <v>400</v>
      </c>
    </row>
    <row r="78" spans="2:2" x14ac:dyDescent="0.25">
      <c r="B78" s="196" t="s">
        <v>401</v>
      </c>
    </row>
    <row r="79" spans="2:2" x14ac:dyDescent="0.25">
      <c r="B79" s="196" t="s">
        <v>402</v>
      </c>
    </row>
    <row r="80" spans="2:2" ht="15" customHeight="1" x14ac:dyDescent="0.25">
      <c r="B80" s="117" t="s">
        <v>403</v>
      </c>
    </row>
    <row r="81" spans="2:2" x14ac:dyDescent="0.25">
      <c r="B81" s="196" t="s">
        <v>404</v>
      </c>
    </row>
    <row r="82" spans="2:2" x14ac:dyDescent="0.25">
      <c r="B82" s="196" t="s">
        <v>405</v>
      </c>
    </row>
    <row r="83" spans="2:2" x14ac:dyDescent="0.25">
      <c r="B83" s="196" t="s">
        <v>406</v>
      </c>
    </row>
    <row r="84" spans="2:2" ht="15.75" thickBot="1" x14ac:dyDescent="0.3">
      <c r="B84" s="196" t="s">
        <v>407</v>
      </c>
    </row>
    <row r="85" spans="2:2" ht="15.75" thickBot="1" x14ac:dyDescent="0.3">
      <c r="B85" s="114" t="s">
        <v>282</v>
      </c>
    </row>
    <row r="86" spans="2:2" x14ac:dyDescent="0.25">
      <c r="B86" s="121" t="s">
        <v>389</v>
      </c>
    </row>
    <row r="87" spans="2:2" x14ac:dyDescent="0.25">
      <c r="B87" s="117" t="s">
        <v>390</v>
      </c>
    </row>
    <row r="88" spans="2:2" x14ac:dyDescent="0.25">
      <c r="B88" s="117" t="s">
        <v>391</v>
      </c>
    </row>
    <row r="89" spans="2:2" x14ac:dyDescent="0.25">
      <c r="B89" s="117" t="s">
        <v>392</v>
      </c>
    </row>
    <row r="90" spans="2:2" ht="15.75" thickBot="1" x14ac:dyDescent="0.3">
      <c r="B90" s="122" t="s">
        <v>393</v>
      </c>
    </row>
    <row r="91" spans="2:2" ht="15.75" thickBot="1" x14ac:dyDescent="0.3">
      <c r="B91" s="114" t="s">
        <v>279</v>
      </c>
    </row>
    <row r="92" spans="2:2" x14ac:dyDescent="0.25">
      <c r="B92" s="121" t="s">
        <v>386</v>
      </c>
    </row>
    <row r="93" spans="2:2" x14ac:dyDescent="0.25">
      <c r="B93" s="117" t="s">
        <v>387</v>
      </c>
    </row>
    <row r="94" spans="2:2" ht="15.75" thickBot="1" x14ac:dyDescent="0.3">
      <c r="B94" s="122" t="s">
        <v>388</v>
      </c>
    </row>
    <row r="95" spans="2:2" ht="16.5" thickBot="1" x14ac:dyDescent="0.3">
      <c r="B95" s="197" t="s">
        <v>445</v>
      </c>
    </row>
    <row r="96" spans="2:2" ht="15.75" thickBot="1" x14ac:dyDescent="0.3">
      <c r="B96" s="114" t="s">
        <v>385</v>
      </c>
    </row>
    <row r="97" spans="2:3" ht="15.75" thickBot="1" x14ac:dyDescent="0.3">
      <c r="B97" s="117" t="s">
        <v>446</v>
      </c>
    </row>
    <row r="98" spans="2:3" ht="15.75" thickBot="1" x14ac:dyDescent="0.3">
      <c r="B98" s="114" t="s">
        <v>456</v>
      </c>
    </row>
    <row r="99" spans="2:3" ht="15.75" thickBot="1" x14ac:dyDescent="0.3">
      <c r="B99" s="122" t="s">
        <v>444</v>
      </c>
      <c r="C99" s="3" t="s">
        <v>450</v>
      </c>
    </row>
    <row r="100" spans="2:3" ht="15.75" thickBot="1" x14ac:dyDescent="0.3">
      <c r="B100" s="114" t="s">
        <v>279</v>
      </c>
    </row>
    <row r="101" spans="2:3" x14ac:dyDescent="0.25">
      <c r="B101" s="121" t="s">
        <v>448</v>
      </c>
    </row>
    <row r="102" spans="2:3" ht="15.75" thickBot="1" x14ac:dyDescent="0.3">
      <c r="B102" s="231" t="s">
        <v>449</v>
      </c>
    </row>
    <row r="103" spans="2:3" ht="15.75" thickBot="1" x14ac:dyDescent="0.3">
      <c r="B103" s="232" t="s">
        <v>451</v>
      </c>
    </row>
    <row r="104" spans="2:3" ht="15.75" thickBot="1" x14ac:dyDescent="0.3">
      <c r="B104" s="114" t="s">
        <v>456</v>
      </c>
    </row>
    <row r="105" spans="2:3" ht="15.75" thickBot="1" x14ac:dyDescent="0.3">
      <c r="B105" s="122" t="s">
        <v>452</v>
      </c>
      <c r="C105" s="3" t="s">
        <v>453</v>
      </c>
    </row>
    <row r="106" spans="2:3" ht="15.75" thickBot="1" x14ac:dyDescent="0.3">
      <c r="B106" s="232" t="s">
        <v>454</v>
      </c>
    </row>
    <row r="107" spans="2:3" ht="15.75" thickBot="1" x14ac:dyDescent="0.3">
      <c r="B107" s="114" t="s">
        <v>455</v>
      </c>
    </row>
    <row r="108" spans="2:3" ht="15.75" thickBot="1" x14ac:dyDescent="0.3">
      <c r="B108" s="115" t="s">
        <v>458</v>
      </c>
      <c r="C108" s="3" t="s">
        <v>457</v>
      </c>
    </row>
    <row r="109" spans="2:3" ht="15.75" thickBot="1" x14ac:dyDescent="0.3">
      <c r="B109" s="232" t="s">
        <v>598</v>
      </c>
    </row>
    <row r="110" spans="2:3" ht="15.75" thickBot="1" x14ac:dyDescent="0.3">
      <c r="B110" s="114" t="s">
        <v>599</v>
      </c>
    </row>
    <row r="111" spans="2:3" ht="15.75" thickBot="1" x14ac:dyDescent="0.3">
      <c r="B111" s="115" t="s">
        <v>600</v>
      </c>
    </row>
    <row r="112" spans="2:3" ht="15.75" thickBot="1" x14ac:dyDescent="0.3">
      <c r="B112" s="232" t="s">
        <v>607</v>
      </c>
      <c r="C112" s="3" t="s">
        <v>611</v>
      </c>
    </row>
    <row r="113" spans="2:3" ht="15.75" thickBot="1" x14ac:dyDescent="0.3">
      <c r="B113" s="114" t="s">
        <v>456</v>
      </c>
    </row>
    <row r="114" spans="2:3" ht="15.75" thickBot="1" x14ac:dyDescent="0.3">
      <c r="B114" s="115" t="s">
        <v>608</v>
      </c>
    </row>
    <row r="115" spans="2:3" ht="15.75" thickBot="1" x14ac:dyDescent="0.3">
      <c r="B115" s="114" t="s">
        <v>282</v>
      </c>
    </row>
    <row r="116" spans="2:3" ht="15.75" thickBot="1" x14ac:dyDescent="0.3">
      <c r="B116" s="115" t="s">
        <v>609</v>
      </c>
    </row>
    <row r="117" spans="2:3" ht="15.75" thickBot="1" x14ac:dyDescent="0.3">
      <c r="B117" s="114" t="s">
        <v>279</v>
      </c>
    </row>
    <row r="118" spans="2:3" ht="15.75" thickBot="1" x14ac:dyDescent="0.3">
      <c r="B118" s="115" t="s">
        <v>610</v>
      </c>
    </row>
    <row r="119" spans="2:3" ht="15.75" thickBot="1" x14ac:dyDescent="0.3">
      <c r="B119" s="232" t="s">
        <v>615</v>
      </c>
      <c r="C119" s="3" t="s">
        <v>621</v>
      </c>
    </row>
    <row r="120" spans="2:3" ht="15.75" thickBot="1" x14ac:dyDescent="0.3">
      <c r="B120" s="114" t="s">
        <v>456</v>
      </c>
    </row>
    <row r="121" spans="2:3" ht="15.75" thickBot="1" x14ac:dyDescent="0.3">
      <c r="B121" s="115" t="s">
        <v>616</v>
      </c>
    </row>
    <row r="122" spans="2:3" ht="16.5" customHeight="1" thickBot="1" x14ac:dyDescent="0.3">
      <c r="B122" s="115" t="s">
        <v>617</v>
      </c>
    </row>
    <row r="123" spans="2:3" ht="15.75" thickBot="1" x14ac:dyDescent="0.3">
      <c r="B123" s="115" t="s">
        <v>618</v>
      </c>
    </row>
    <row r="124" spans="2:3" ht="15.75" thickBot="1" x14ac:dyDescent="0.3">
      <c r="B124" s="115" t="s">
        <v>619</v>
      </c>
    </row>
    <row r="125" spans="2:3" ht="15.75" thickBot="1" x14ac:dyDescent="0.3">
      <c r="B125" s="115" t="s">
        <v>620</v>
      </c>
    </row>
    <row r="126" spans="2:3" ht="15.75" thickBot="1" x14ac:dyDescent="0.3">
      <c r="B126" s="232" t="s">
        <v>622</v>
      </c>
    </row>
    <row r="127" spans="2:3" ht="15.75" thickBot="1" x14ac:dyDescent="0.3">
      <c r="B127" s="114" t="s">
        <v>456</v>
      </c>
    </row>
    <row r="128" spans="2:3" ht="15.75" thickBot="1" x14ac:dyDescent="0.3">
      <c r="B128" s="115" t="s">
        <v>623</v>
      </c>
    </row>
    <row r="129" spans="2:3" ht="15.75" thickBot="1" x14ac:dyDescent="0.3">
      <c r="B129" s="115" t="s">
        <v>624</v>
      </c>
      <c r="C129" s="3" t="s">
        <v>625</v>
      </c>
    </row>
    <row r="130" spans="2:3" ht="15.75" thickBot="1" x14ac:dyDescent="0.3">
      <c r="B130" s="232" t="s">
        <v>626</v>
      </c>
    </row>
    <row r="131" spans="2:3" ht="15.75" thickBot="1" x14ac:dyDescent="0.3">
      <c r="B131" s="114" t="s">
        <v>456</v>
      </c>
    </row>
    <row r="132" spans="2:3" ht="30.75" thickBot="1" x14ac:dyDescent="0.3">
      <c r="B132" s="115" t="s">
        <v>628</v>
      </c>
      <c r="C132" s="3" t="s">
        <v>627</v>
      </c>
    </row>
    <row r="133" spans="2:3" ht="15.75" thickBot="1" x14ac:dyDescent="0.3">
      <c r="B133" s="232" t="s">
        <v>631</v>
      </c>
    </row>
    <row r="134" spans="2:3" ht="15.75" thickBot="1" x14ac:dyDescent="0.3">
      <c r="B134" s="114" t="s">
        <v>632</v>
      </c>
    </row>
    <row r="135" spans="2:3" ht="45.75" thickBot="1" x14ac:dyDescent="0.3">
      <c r="B135" s="115" t="s">
        <v>634</v>
      </c>
    </row>
    <row r="136" spans="2:3" ht="45.75" thickBot="1" x14ac:dyDescent="0.3">
      <c r="B136" s="115" t="s">
        <v>633</v>
      </c>
    </row>
    <row r="137" spans="2:3" ht="15.75" thickBot="1" x14ac:dyDescent="0.3">
      <c r="B137" s="232" t="s">
        <v>635</v>
      </c>
    </row>
    <row r="138" spans="2:3" ht="15.75" thickBot="1" x14ac:dyDescent="0.3">
      <c r="B138" s="114" t="s">
        <v>632</v>
      </c>
    </row>
    <row r="139" spans="2:3" ht="15.75" thickBot="1" x14ac:dyDescent="0.3">
      <c r="B139" s="115" t="s">
        <v>636</v>
      </c>
      <c r="C139" s="3" t="s">
        <v>637</v>
      </c>
    </row>
    <row r="140" spans="2:3" ht="15.75" thickBot="1" x14ac:dyDescent="0.3">
      <c r="B140" s="115" t="s">
        <v>638</v>
      </c>
    </row>
    <row r="141" spans="2:3" ht="15.75" thickBot="1" x14ac:dyDescent="0.3">
      <c r="B141" s="115" t="s">
        <v>639</v>
      </c>
    </row>
    <row r="142" spans="2:3" ht="15.75" thickBot="1" x14ac:dyDescent="0.3">
      <c r="B142" s="232" t="s">
        <v>661</v>
      </c>
      <c r="C142" s="3" t="s">
        <v>662</v>
      </c>
    </row>
    <row r="143" spans="2:3" ht="15.75" thickBot="1" x14ac:dyDescent="0.3">
      <c r="B143" s="114" t="s">
        <v>632</v>
      </c>
    </row>
    <row r="144" spans="2:3" ht="45.75" thickBot="1" x14ac:dyDescent="0.3">
      <c r="B144" s="115" t="s">
        <v>663</v>
      </c>
    </row>
    <row r="145" spans="2:3" ht="45.75" thickBot="1" x14ac:dyDescent="0.3">
      <c r="B145" s="312" t="s">
        <v>664</v>
      </c>
    </row>
    <row r="146" spans="2:3" ht="15.75" thickBot="1" x14ac:dyDescent="0.3">
      <c r="B146" s="232" t="s">
        <v>665</v>
      </c>
    </row>
    <row r="147" spans="2:3" ht="15.75" thickBot="1" x14ac:dyDescent="0.3">
      <c r="B147" s="114" t="s">
        <v>632</v>
      </c>
    </row>
    <row r="148" spans="2:3" ht="15.75" thickBot="1" x14ac:dyDescent="0.3">
      <c r="B148" s="115" t="s">
        <v>666</v>
      </c>
      <c r="C148" s="3" t="s">
        <v>667</v>
      </c>
    </row>
    <row r="149" spans="2:3" ht="15.75" thickBot="1" x14ac:dyDescent="0.3">
      <c r="B149" s="232" t="s">
        <v>767</v>
      </c>
    </row>
    <row r="150" spans="2:3" ht="15.75" thickBot="1" x14ac:dyDescent="0.3">
      <c r="B150" s="114" t="s">
        <v>632</v>
      </c>
    </row>
    <row r="151" spans="2:3" ht="15.75" thickBot="1" x14ac:dyDescent="0.3">
      <c r="B151" s="115" t="s">
        <v>768</v>
      </c>
      <c r="C151" s="3" t="s">
        <v>765</v>
      </c>
    </row>
    <row r="152" spans="2:3" ht="15.75" thickBot="1" x14ac:dyDescent="0.3">
      <c r="B152" s="115" t="s">
        <v>769</v>
      </c>
    </row>
    <row r="153" spans="2:3" ht="15.75" thickBot="1" x14ac:dyDescent="0.3">
      <c r="B153" s="115" t="s">
        <v>770</v>
      </c>
    </row>
    <row r="154" spans="2:3" ht="30.75" thickBot="1" x14ac:dyDescent="0.3">
      <c r="B154" s="115" t="s">
        <v>771</v>
      </c>
    </row>
    <row r="155" spans="2:3" ht="15.75" thickBot="1" x14ac:dyDescent="0.3">
      <c r="B155" s="115" t="s">
        <v>772</v>
      </c>
    </row>
    <row r="156" spans="2:3" ht="15.75" thickBot="1" x14ac:dyDescent="0.3">
      <c r="B156" s="115" t="s">
        <v>783</v>
      </c>
    </row>
    <row r="157" spans="2:3" ht="15.75" thickBot="1" x14ac:dyDescent="0.3">
      <c r="B157" s="115" t="s">
        <v>806</v>
      </c>
    </row>
    <row r="158" spans="2:3" ht="15.75" thickBot="1" x14ac:dyDescent="0.3">
      <c r="B158" s="232" t="s">
        <v>810</v>
      </c>
    </row>
    <row r="159" spans="2:3" ht="15.75" thickBot="1" x14ac:dyDescent="0.3">
      <c r="B159" s="114" t="s">
        <v>632</v>
      </c>
    </row>
    <row r="160" spans="2:3" ht="15.75" thickBot="1" x14ac:dyDescent="0.3">
      <c r="B160" s="115" t="s">
        <v>807</v>
      </c>
      <c r="C160" s="3" t="s">
        <v>1097</v>
      </c>
    </row>
    <row r="161" spans="2:3" ht="15.75" thickBot="1" x14ac:dyDescent="0.3">
      <c r="B161" s="115" t="s">
        <v>808</v>
      </c>
    </row>
    <row r="162" spans="2:3" ht="15.75" thickBot="1" x14ac:dyDescent="0.3">
      <c r="B162" s="232" t="s">
        <v>1091</v>
      </c>
    </row>
    <row r="163" spans="2:3" ht="15.75" thickBot="1" x14ac:dyDescent="0.3">
      <c r="B163" s="114" t="s">
        <v>632</v>
      </c>
    </row>
    <row r="164" spans="2:3" ht="15.75" thickBot="1" x14ac:dyDescent="0.3">
      <c r="B164" s="115" t="s">
        <v>843</v>
      </c>
    </row>
    <row r="165" spans="2:3" ht="15.75" thickBot="1" x14ac:dyDescent="0.3">
      <c r="B165" s="115" t="s">
        <v>844</v>
      </c>
    </row>
    <row r="166" spans="2:3" ht="15.75" thickBot="1" x14ac:dyDescent="0.3">
      <c r="B166" s="115" t="s">
        <v>854</v>
      </c>
    </row>
    <row r="167" spans="2:3" ht="15.75" thickBot="1" x14ac:dyDescent="0.3">
      <c r="B167" s="115" t="s">
        <v>1092</v>
      </c>
    </row>
    <row r="168" spans="2:3" ht="30.75" thickBot="1" x14ac:dyDescent="0.3">
      <c r="B168" s="115" t="s">
        <v>1088</v>
      </c>
      <c r="C168" s="3" t="s">
        <v>1098</v>
      </c>
    </row>
    <row r="169" spans="2:3" ht="30.75" thickBot="1" x14ac:dyDescent="0.3">
      <c r="B169" s="115" t="s">
        <v>1089</v>
      </c>
    </row>
    <row r="170" spans="2:3" ht="30.75" thickBot="1" x14ac:dyDescent="0.3">
      <c r="B170" s="115" t="s">
        <v>1096</v>
      </c>
    </row>
    <row r="171" spans="2:3" ht="15.75" thickBot="1" x14ac:dyDescent="0.3">
      <c r="B171" s="232" t="s">
        <v>1101</v>
      </c>
    </row>
    <row r="172" spans="2:3" ht="15.75" thickBot="1" x14ac:dyDescent="0.3">
      <c r="B172" s="114" t="s">
        <v>632</v>
      </c>
    </row>
    <row r="173" spans="2:3" ht="15.75" thickBot="1" x14ac:dyDescent="0.3">
      <c r="B173" s="115" t="s">
        <v>1102</v>
      </c>
    </row>
    <row r="174" spans="2:3" ht="45.75" thickBot="1" x14ac:dyDescent="0.3">
      <c r="B174" s="115" t="s">
        <v>1103</v>
      </c>
    </row>
    <row r="175" spans="2:3" ht="30.75" thickBot="1" x14ac:dyDescent="0.3">
      <c r="B175" s="115" t="s">
        <v>1104</v>
      </c>
    </row>
    <row r="176" spans="2:3" ht="15.75" thickBot="1" x14ac:dyDescent="0.3">
      <c r="B176" s="232" t="s">
        <v>1119</v>
      </c>
    </row>
    <row r="177" spans="2:3" ht="15.75" thickBot="1" x14ac:dyDescent="0.3">
      <c r="B177" s="114" t="s">
        <v>632</v>
      </c>
    </row>
    <row r="178" spans="2:3" ht="30.75" thickBot="1" x14ac:dyDescent="0.3">
      <c r="B178" s="115" t="s">
        <v>1126</v>
      </c>
    </row>
    <row r="179" spans="2:3" ht="15.75" thickBot="1" x14ac:dyDescent="0.3">
      <c r="B179" s="115" t="s">
        <v>1120</v>
      </c>
    </row>
    <row r="180" spans="2:3" ht="30.75" thickBot="1" x14ac:dyDescent="0.3">
      <c r="B180" s="115" t="s">
        <v>1121</v>
      </c>
    </row>
    <row r="181" spans="2:3" ht="15.75" thickBot="1" x14ac:dyDescent="0.3">
      <c r="B181" s="114" t="s">
        <v>1122</v>
      </c>
    </row>
    <row r="182" spans="2:3" ht="15.75" thickBot="1" x14ac:dyDescent="0.3">
      <c r="B182" s="115" t="s">
        <v>1123</v>
      </c>
    </row>
    <row r="183" spans="2:3" ht="15.75" thickBot="1" x14ac:dyDescent="0.3">
      <c r="B183" s="232" t="s">
        <v>1127</v>
      </c>
    </row>
    <row r="184" spans="2:3" ht="15.75" thickBot="1" x14ac:dyDescent="0.3">
      <c r="B184" s="114" t="s">
        <v>1122</v>
      </c>
    </row>
    <row r="185" spans="2:3" ht="15.75" thickBot="1" x14ac:dyDescent="0.3">
      <c r="B185" s="115" t="s">
        <v>1128</v>
      </c>
    </row>
    <row r="186" spans="2:3" ht="15.75" thickBot="1" x14ac:dyDescent="0.3">
      <c r="B186" s="232" t="s">
        <v>1129</v>
      </c>
    </row>
    <row r="187" spans="2:3" ht="15.75" thickBot="1" x14ac:dyDescent="0.3">
      <c r="B187" s="114" t="s">
        <v>1122</v>
      </c>
    </row>
    <row r="188" spans="2:3" ht="15.75" thickBot="1" x14ac:dyDescent="0.3">
      <c r="B188" s="115" t="s">
        <v>1130</v>
      </c>
      <c r="C188" s="3" t="s">
        <v>1131</v>
      </c>
    </row>
    <row r="189" spans="2:3" ht="15.75" thickBot="1" x14ac:dyDescent="0.3">
      <c r="B189" s="232" t="s">
        <v>1133</v>
      </c>
    </row>
    <row r="190" spans="2:3" ht="15.75" thickBot="1" x14ac:dyDescent="0.3">
      <c r="B190" s="114" t="s">
        <v>1122</v>
      </c>
    </row>
    <row r="191" spans="2:3" ht="30.75" thickBot="1" x14ac:dyDescent="0.3">
      <c r="B191" s="115" t="s">
        <v>1134</v>
      </c>
    </row>
    <row r="192" spans="2:3" ht="15.75" thickBot="1" x14ac:dyDescent="0.3">
      <c r="B192" s="114" t="s">
        <v>1122</v>
      </c>
    </row>
    <row r="193" spans="2:2" ht="30.75" thickBot="1" x14ac:dyDescent="0.3">
      <c r="B193" s="115" t="s">
        <v>1135</v>
      </c>
    </row>
    <row r="194" spans="2:2" ht="15.75" thickBot="1" x14ac:dyDescent="0.3">
      <c r="B194" s="114" t="s">
        <v>1136</v>
      </c>
    </row>
    <row r="195" spans="2:2" ht="30.75" thickBot="1" x14ac:dyDescent="0.3">
      <c r="B195" s="115" t="s">
        <v>1137</v>
      </c>
    </row>
    <row r="196" spans="2:2" ht="15.75" thickBot="1" x14ac:dyDescent="0.3">
      <c r="B196" s="232" t="s">
        <v>1146</v>
      </c>
    </row>
    <row r="197" spans="2:2" ht="15.75" thickBot="1" x14ac:dyDescent="0.3">
      <c r="B197" s="114" t="s">
        <v>1122</v>
      </c>
    </row>
    <row r="198" spans="2:2" ht="15.75" thickBot="1" x14ac:dyDescent="0.3">
      <c r="B198" s="115" t="s">
        <v>1151</v>
      </c>
    </row>
    <row r="199" spans="2:2" ht="15.75" thickBot="1" x14ac:dyDescent="0.3">
      <c r="B199" s="114" t="s">
        <v>1122</v>
      </c>
    </row>
    <row r="200" spans="2:2" ht="15.75" thickBot="1" x14ac:dyDescent="0.3">
      <c r="B200" s="115" t="s">
        <v>1152</v>
      </c>
    </row>
    <row r="201" spans="2:2" ht="15.75" thickBot="1" x14ac:dyDescent="0.3">
      <c r="B201" s="114" t="s">
        <v>1136</v>
      </c>
    </row>
    <row r="202" spans="2:2" ht="30.75" thickBot="1" x14ac:dyDescent="0.3">
      <c r="B202" s="115" t="s">
        <v>1147</v>
      </c>
    </row>
    <row r="203" spans="2:2" ht="15.75" thickBot="1" x14ac:dyDescent="0.3">
      <c r="B203" s="114" t="s">
        <v>1136</v>
      </c>
    </row>
    <row r="204" spans="2:2" ht="30.75" thickBot="1" x14ac:dyDescent="0.3">
      <c r="B204" s="115" t="s">
        <v>1150</v>
      </c>
    </row>
    <row r="205" spans="2:2" ht="15.75" thickBot="1" x14ac:dyDescent="0.3">
      <c r="B205" s="232" t="s">
        <v>1154</v>
      </c>
    </row>
    <row r="206" spans="2:2" ht="15.75" thickBot="1" x14ac:dyDescent="0.3">
      <c r="B206" s="114" t="s">
        <v>1122</v>
      </c>
    </row>
    <row r="207" spans="2:2" ht="30.75" thickBot="1" x14ac:dyDescent="0.3">
      <c r="B207" s="115" t="s">
        <v>1155</v>
      </c>
    </row>
    <row r="208" spans="2:2" ht="15.75" thickBot="1" x14ac:dyDescent="0.3">
      <c r="B208" s="114" t="s">
        <v>1136</v>
      </c>
    </row>
    <row r="209" spans="2:3" ht="15.75" customHeight="1" thickBot="1" x14ac:dyDescent="0.3">
      <c r="B209" s="115" t="s">
        <v>1153</v>
      </c>
    </row>
    <row r="210" spans="2:3" ht="15.75" thickBot="1" x14ac:dyDescent="0.3">
      <c r="B210" s="232" t="s">
        <v>1156</v>
      </c>
    </row>
    <row r="211" spans="2:3" ht="15.75" thickBot="1" x14ac:dyDescent="0.3">
      <c r="B211" s="114" t="s">
        <v>1122</v>
      </c>
    </row>
    <row r="212" spans="2:3" ht="30.75" thickBot="1" x14ac:dyDescent="0.3">
      <c r="B212" s="115" t="s">
        <v>1157</v>
      </c>
      <c r="C212" s="3" t="s">
        <v>1158</v>
      </c>
    </row>
    <row r="213" spans="2:3" ht="15.75" thickBot="1" x14ac:dyDescent="0.3">
      <c r="B213" s="232" t="s">
        <v>1159</v>
      </c>
    </row>
    <row r="214" spans="2:3" ht="15.75" thickBot="1" x14ac:dyDescent="0.3">
      <c r="B214" s="114" t="s">
        <v>1122</v>
      </c>
    </row>
    <row r="215" spans="2:3" ht="15.75" thickBot="1" x14ac:dyDescent="0.3">
      <c r="B215" s="115" t="s">
        <v>1160</v>
      </c>
    </row>
    <row r="216" spans="2:3" ht="15.75" thickBot="1" x14ac:dyDescent="0.3">
      <c r="B216" s="232" t="s">
        <v>1161</v>
      </c>
    </row>
    <row r="217" spans="2:3" ht="15.75" thickBot="1" x14ac:dyDescent="0.3">
      <c r="B217" s="114" t="s">
        <v>1136</v>
      </c>
    </row>
    <row r="218" spans="2:3" ht="15.75" thickBot="1" x14ac:dyDescent="0.3">
      <c r="B218" s="115" t="s">
        <v>1162</v>
      </c>
    </row>
    <row r="219" spans="2:3" ht="15.75" thickBot="1" x14ac:dyDescent="0.3">
      <c r="B219" s="232" t="s">
        <v>1166</v>
      </c>
    </row>
    <row r="220" spans="2:3" ht="15.75" thickBot="1" x14ac:dyDescent="0.3">
      <c r="B220" s="114" t="s">
        <v>1122</v>
      </c>
    </row>
    <row r="221" spans="2:3" ht="15.75" thickBot="1" x14ac:dyDescent="0.3">
      <c r="B221" s="115" t="s">
        <v>1163</v>
      </c>
      <c r="C221" s="3" t="s">
        <v>1164</v>
      </c>
    </row>
    <row r="222" spans="2:3" ht="30.75" thickBot="1" x14ac:dyDescent="0.3">
      <c r="B222" s="115" t="s">
        <v>1169</v>
      </c>
      <c r="C222" s="3" t="s">
        <v>1170</v>
      </c>
    </row>
    <row r="223" spans="2:3" ht="15.75" thickBot="1" x14ac:dyDescent="0.3">
      <c r="B223" s="114" t="s">
        <v>1136</v>
      </c>
    </row>
    <row r="224" spans="2:3" ht="15.75" thickBot="1" x14ac:dyDescent="0.3">
      <c r="B224" s="115" t="s">
        <v>1167</v>
      </c>
      <c r="C224" s="3" t="s">
        <v>1168</v>
      </c>
    </row>
    <row r="225" spans="2:3" ht="15.75" thickBot="1" x14ac:dyDescent="0.3">
      <c r="B225" s="232" t="s">
        <v>1179</v>
      </c>
    </row>
    <row r="226" spans="2:3" ht="15.75" thickBot="1" x14ac:dyDescent="0.3">
      <c r="B226" s="114" t="s">
        <v>1122</v>
      </c>
    </row>
    <row r="227" spans="2:3" ht="45.75" thickBot="1" x14ac:dyDescent="0.3">
      <c r="B227" s="115" t="s">
        <v>1180</v>
      </c>
      <c r="C227" s="3" t="s">
        <v>1181</v>
      </c>
    </row>
    <row r="228" spans="2:3" ht="15.75" thickBot="1" x14ac:dyDescent="0.3">
      <c r="B228" s="232" t="s">
        <v>1185</v>
      </c>
    </row>
    <row r="229" spans="2:3" ht="15.75" thickBot="1" x14ac:dyDescent="0.3">
      <c r="B229" s="114" t="s">
        <v>1136</v>
      </c>
    </row>
    <row r="230" spans="2:3" ht="75.75" thickBot="1" x14ac:dyDescent="0.3">
      <c r="B230" s="115" t="s">
        <v>1186</v>
      </c>
      <c r="C230" s="101" t="s">
        <v>1187</v>
      </c>
    </row>
    <row r="231" spans="2:3" ht="15.75" thickBot="1" x14ac:dyDescent="0.3">
      <c r="B231" s="232" t="s">
        <v>1188</v>
      </c>
    </row>
    <row r="232" spans="2:3" ht="15.75" thickBot="1" x14ac:dyDescent="0.3">
      <c r="B232" s="114" t="s">
        <v>1122</v>
      </c>
    </row>
    <row r="233" spans="2:3" ht="15.75" thickBot="1" x14ac:dyDescent="0.3">
      <c r="B233" s="115" t="s">
        <v>1189</v>
      </c>
      <c r="C233" s="3" t="s">
        <v>1190</v>
      </c>
    </row>
    <row r="234" spans="2:3" ht="15.75" thickBot="1" x14ac:dyDescent="0.3">
      <c r="B234" s="114" t="s">
        <v>1192</v>
      </c>
    </row>
    <row r="235" spans="2:3" ht="30.75" thickBot="1" x14ac:dyDescent="0.3">
      <c r="B235" s="115" t="s">
        <v>1193</v>
      </c>
    </row>
    <row r="236" spans="2:3" ht="15.75" thickBot="1" x14ac:dyDescent="0.3">
      <c r="B236" s="232" t="s">
        <v>1196</v>
      </c>
    </row>
    <row r="237" spans="2:3" ht="15.75" thickBot="1" x14ac:dyDescent="0.3">
      <c r="B237" s="114" t="s">
        <v>1136</v>
      </c>
    </row>
    <row r="238" spans="2:3" ht="45.75" thickBot="1" x14ac:dyDescent="0.3">
      <c r="B238" s="115" t="s">
        <v>1197</v>
      </c>
      <c r="C238" s="3" t="s">
        <v>1198</v>
      </c>
    </row>
    <row r="239" spans="2:3" ht="30.75" thickBot="1" x14ac:dyDescent="0.3">
      <c r="B239" s="115" t="s">
        <v>1199</v>
      </c>
      <c r="C239" s="3" t="s">
        <v>1200</v>
      </c>
    </row>
    <row r="240" spans="2:3" ht="30.75" thickBot="1" x14ac:dyDescent="0.3">
      <c r="B240" s="115" t="s">
        <v>1201</v>
      </c>
    </row>
    <row r="241" spans="2:3" ht="30.75" thickBot="1" x14ac:dyDescent="0.3">
      <c r="B241" s="115" t="s">
        <v>1202</v>
      </c>
    </row>
    <row r="242" spans="2:3" ht="60.75" thickBot="1" x14ac:dyDescent="0.3">
      <c r="B242" s="115" t="s">
        <v>1207</v>
      </c>
      <c r="C242" s="3" t="s">
        <v>1208</v>
      </c>
    </row>
    <row r="243" spans="2:3" ht="15.75" thickBot="1" x14ac:dyDescent="0.3">
      <c r="B243" s="232" t="s">
        <v>1211</v>
      </c>
    </row>
    <row r="244" spans="2:3" ht="15.75" thickBot="1" x14ac:dyDescent="0.3">
      <c r="B244" s="114" t="s">
        <v>1122</v>
      </c>
    </row>
    <row r="245" spans="2:3" ht="45.75" thickBot="1" x14ac:dyDescent="0.3">
      <c r="B245" s="115" t="s">
        <v>1197</v>
      </c>
    </row>
    <row r="246" spans="2:3" ht="15.75" thickBot="1" x14ac:dyDescent="0.3">
      <c r="B246" s="232" t="s">
        <v>1273</v>
      </c>
    </row>
    <row r="247" spans="2:3" ht="15.75" thickBot="1" x14ac:dyDescent="0.3">
      <c r="B247" s="114" t="s">
        <v>1122</v>
      </c>
    </row>
    <row r="248" spans="2:3" ht="30.75" thickBot="1" x14ac:dyDescent="0.3">
      <c r="B248" s="115" t="s">
        <v>1274</v>
      </c>
    </row>
    <row r="249" spans="2:3" ht="15.75" thickBot="1" x14ac:dyDescent="0.3">
      <c r="B249" s="232" t="s">
        <v>1511</v>
      </c>
    </row>
    <row r="250" spans="2:3" ht="15.75" thickBot="1" x14ac:dyDescent="0.3">
      <c r="B250" s="114" t="s">
        <v>1122</v>
      </c>
    </row>
    <row r="251" spans="2:3" ht="15.75" thickBot="1" x14ac:dyDescent="0.3">
      <c r="B251" s="115" t="s">
        <v>1512</v>
      </c>
    </row>
    <row r="252" spans="2:3" ht="15.75" thickBot="1" x14ac:dyDescent="0.3">
      <c r="B252" s="538" t="s">
        <v>1513</v>
      </c>
      <c r="C252" s="541" t="s">
        <v>1514</v>
      </c>
    </row>
    <row r="253" spans="2:3" ht="15.75" thickBot="1" x14ac:dyDescent="0.3">
      <c r="B253" s="114" t="s">
        <v>1136</v>
      </c>
    </row>
    <row r="254" spans="2:3" ht="30.75" thickBot="1" x14ac:dyDescent="0.3">
      <c r="B254" s="115" t="s">
        <v>1509</v>
      </c>
    </row>
    <row r="255" spans="2:3" ht="30.75" thickBot="1" x14ac:dyDescent="0.3">
      <c r="B255" s="115" t="s">
        <v>1275</v>
      </c>
    </row>
    <row r="256" spans="2:3" ht="45.75" thickBot="1" x14ac:dyDescent="0.3">
      <c r="B256" s="115" t="s">
        <v>1507</v>
      </c>
      <c r="C256" s="3" t="s">
        <v>1508</v>
      </c>
    </row>
    <row r="257" spans="2:3" ht="15.75" thickBot="1" x14ac:dyDescent="0.3">
      <c r="B257" s="115" t="s">
        <v>1503</v>
      </c>
    </row>
    <row r="258" spans="2:3" ht="30.75" thickBot="1" x14ac:dyDescent="0.3">
      <c r="B258" s="115" t="s">
        <v>1510</v>
      </c>
    </row>
    <row r="259" spans="2:3" ht="15.75" thickBot="1" x14ac:dyDescent="0.3">
      <c r="B259" s="538" t="s">
        <v>1515</v>
      </c>
    </row>
    <row r="260" spans="2:3" ht="15.75" thickBot="1" x14ac:dyDescent="0.3">
      <c r="B260" s="114" t="s">
        <v>1136</v>
      </c>
    </row>
    <row r="261" spans="2:3" ht="15.75" thickBot="1" x14ac:dyDescent="0.3">
      <c r="B261" s="115" t="s">
        <v>1516</v>
      </c>
      <c r="C261" s="3" t="s">
        <v>1517</v>
      </c>
    </row>
    <row r="262" spans="2:3" ht="15.75" thickBot="1" x14ac:dyDescent="0.3">
      <c r="B262" s="114" t="s">
        <v>1122</v>
      </c>
    </row>
    <row r="263" spans="2:3" ht="30.75" thickBot="1" x14ac:dyDescent="0.3">
      <c r="B263" s="115" t="s">
        <v>1518</v>
      </c>
      <c r="C263" s="3" t="s">
        <v>1519</v>
      </c>
    </row>
    <row r="264" spans="2:3" ht="15.75" thickBot="1" x14ac:dyDescent="0.3">
      <c r="B264" s="538" t="s">
        <v>1558</v>
      </c>
    </row>
    <row r="265" spans="2:3" ht="15.75" thickBot="1" x14ac:dyDescent="0.3">
      <c r="B265" s="114" t="s">
        <v>1136</v>
      </c>
    </row>
    <row r="266" spans="2:3" ht="15.75" thickBot="1" x14ac:dyDescent="0.3">
      <c r="B266" s="115" t="s">
        <v>1559</v>
      </c>
    </row>
    <row r="267" spans="2:3" ht="15.75" thickBot="1" x14ac:dyDescent="0.3">
      <c r="B267" s="115" t="s">
        <v>1555</v>
      </c>
    </row>
    <row r="268" spans="2:3" ht="15.75" thickBot="1" x14ac:dyDescent="0.3">
      <c r="B268" s="115" t="s">
        <v>1556</v>
      </c>
    </row>
    <row r="269" spans="2:3" ht="15.75" thickBot="1" x14ac:dyDescent="0.3">
      <c r="B269" s="115" t="s">
        <v>1557</v>
      </c>
    </row>
    <row r="270" spans="2:3" ht="30.75" thickBot="1" x14ac:dyDescent="0.3">
      <c r="B270" s="115" t="s">
        <v>1560</v>
      </c>
    </row>
    <row r="271" spans="2:3" ht="15.75" thickBot="1" x14ac:dyDescent="0.3">
      <c r="B271" s="114" t="s">
        <v>1122</v>
      </c>
    </row>
    <row r="272" spans="2:3" ht="30.75" thickBot="1" x14ac:dyDescent="0.3">
      <c r="B272" s="115" t="s">
        <v>1563</v>
      </c>
    </row>
    <row r="273" spans="2:3" ht="15.75" thickBot="1" x14ac:dyDescent="0.3">
      <c r="B273" s="538" t="s">
        <v>1567</v>
      </c>
    </row>
    <row r="274" spans="2:3" ht="15.75" thickBot="1" x14ac:dyDescent="0.3">
      <c r="B274" s="114" t="s">
        <v>1122</v>
      </c>
    </row>
    <row r="275" spans="2:3" ht="30.75" thickBot="1" x14ac:dyDescent="0.3">
      <c r="B275" s="115" t="s">
        <v>1564</v>
      </c>
    </row>
    <row r="276" spans="2:3" ht="15.75" thickBot="1" x14ac:dyDescent="0.3">
      <c r="B276" s="115" t="s">
        <v>1565</v>
      </c>
    </row>
    <row r="277" spans="2:3" ht="30.75" thickBot="1" x14ac:dyDescent="0.3">
      <c r="B277" s="115" t="s">
        <v>1566</v>
      </c>
    </row>
    <row r="278" spans="2:3" ht="15.75" thickBot="1" x14ac:dyDescent="0.3">
      <c r="B278" s="538" t="s">
        <v>1569</v>
      </c>
    </row>
    <row r="279" spans="2:3" ht="15.75" thickBot="1" x14ac:dyDescent="0.3">
      <c r="B279" s="114" t="s">
        <v>1122</v>
      </c>
    </row>
    <row r="280" spans="2:3" ht="30.75" thickBot="1" x14ac:dyDescent="0.3">
      <c r="B280" s="115" t="s">
        <v>1570</v>
      </c>
    </row>
    <row r="281" spans="2:3" ht="15.75" thickBot="1" x14ac:dyDescent="0.3">
      <c r="B281" s="538" t="s">
        <v>1572</v>
      </c>
    </row>
    <row r="282" spans="2:3" ht="15.75" thickBot="1" x14ac:dyDescent="0.3">
      <c r="B282" s="114" t="s">
        <v>1122</v>
      </c>
    </row>
    <row r="283" spans="2:3" ht="30.75" thickBot="1" x14ac:dyDescent="0.3">
      <c r="B283" s="115" t="s">
        <v>1571</v>
      </c>
    </row>
    <row r="284" spans="2:3" ht="15.75" thickBot="1" x14ac:dyDescent="0.3">
      <c r="B284" s="114" t="s">
        <v>1136</v>
      </c>
    </row>
    <row r="285" spans="2:3" ht="30.75" thickBot="1" x14ac:dyDescent="0.3">
      <c r="B285" s="115" t="s">
        <v>1573</v>
      </c>
    </row>
    <row r="286" spans="2:3" ht="15.75" thickBot="1" x14ac:dyDescent="0.3">
      <c r="B286" s="538" t="s">
        <v>1578</v>
      </c>
    </row>
    <row r="287" spans="2:3" ht="15.75" thickBot="1" x14ac:dyDescent="0.3">
      <c r="B287" s="114" t="s">
        <v>1122</v>
      </c>
    </row>
    <row r="288" spans="2:3" ht="15.75" thickBot="1" x14ac:dyDescent="0.3">
      <c r="B288" s="115" t="s">
        <v>1574</v>
      </c>
      <c r="C288" s="3" t="s">
        <v>1575</v>
      </c>
    </row>
    <row r="289" spans="2:3" ht="15.75" thickBot="1" x14ac:dyDescent="0.3">
      <c r="B289" s="114" t="s">
        <v>1136</v>
      </c>
    </row>
    <row r="290" spans="2:3" ht="15.75" thickBot="1" x14ac:dyDescent="0.3">
      <c r="B290" s="115" t="s">
        <v>1579</v>
      </c>
      <c r="C290" s="3" t="s">
        <v>1580</v>
      </c>
    </row>
    <row r="291" spans="2:3" ht="15.75" thickBot="1" x14ac:dyDescent="0.3">
      <c r="B291" s="114" t="s">
        <v>1192</v>
      </c>
    </row>
    <row r="292" spans="2:3" ht="30.75" thickBot="1" x14ac:dyDescent="0.3">
      <c r="B292" s="115" t="s">
        <v>1581</v>
      </c>
    </row>
    <row r="293" spans="2:3" ht="15.75" thickBot="1" x14ac:dyDescent="0.3">
      <c r="B293" s="538" t="s">
        <v>1595</v>
      </c>
    </row>
    <row r="294" spans="2:3" ht="15.75" thickBot="1" x14ac:dyDescent="0.3">
      <c r="B294" s="114" t="s">
        <v>1122</v>
      </c>
    </row>
    <row r="295" spans="2:3" ht="15.75" thickBot="1" x14ac:dyDescent="0.3">
      <c r="B295" s="115" t="s">
        <v>1596</v>
      </c>
      <c r="C295" s="3" t="s">
        <v>1597</v>
      </c>
    </row>
    <row r="296" spans="2:3" ht="15.75" thickBot="1" x14ac:dyDescent="0.3">
      <c r="B296" s="538" t="s">
        <v>1617</v>
      </c>
    </row>
    <row r="297" spans="2:3" ht="15.75" thickBot="1" x14ac:dyDescent="0.3">
      <c r="B297" s="114" t="s">
        <v>1136</v>
      </c>
    </row>
    <row r="298" spans="2:3" ht="75.75" thickBot="1" x14ac:dyDescent="0.3">
      <c r="B298" s="115" t="s">
        <v>1618</v>
      </c>
      <c r="C298" s="3" t="s">
        <v>1619</v>
      </c>
    </row>
    <row r="299" spans="2:3" ht="15.75" thickBot="1" x14ac:dyDescent="0.3">
      <c r="B299" s="538" t="s">
        <v>1620</v>
      </c>
    </row>
    <row r="300" spans="2:3" ht="15.75" thickBot="1" x14ac:dyDescent="0.3">
      <c r="B300" s="114" t="s">
        <v>1122</v>
      </c>
    </row>
    <row r="301" spans="2:3" ht="30.75" thickBot="1" x14ac:dyDescent="0.3">
      <c r="B301" s="115" t="s">
        <v>1621</v>
      </c>
      <c r="C301" s="3" t="s">
        <v>1622</v>
      </c>
    </row>
    <row r="302" spans="2:3" ht="15.75" thickBot="1" x14ac:dyDescent="0.3">
      <c r="B302" s="538" t="s">
        <v>1624</v>
      </c>
    </row>
    <row r="303" spans="2:3" ht="15.75" thickBot="1" x14ac:dyDescent="0.3">
      <c r="B303" s="114" t="s">
        <v>1136</v>
      </c>
    </row>
    <row r="304" spans="2:3" ht="30.75" thickBot="1" x14ac:dyDescent="0.3">
      <c r="B304" s="115" t="s">
        <v>1625</v>
      </c>
      <c r="C304" s="3" t="s">
        <v>1626</v>
      </c>
    </row>
    <row r="305" spans="2:3" ht="15.75" thickBot="1" x14ac:dyDescent="0.3">
      <c r="B305" s="538" t="s">
        <v>1627</v>
      </c>
    </row>
    <row r="306" spans="2:3" ht="15.75" thickBot="1" x14ac:dyDescent="0.3">
      <c r="B306" s="114" t="s">
        <v>1122</v>
      </c>
    </row>
    <row r="307" spans="2:3" ht="30.75" thickBot="1" x14ac:dyDescent="0.3">
      <c r="B307" s="115" t="s">
        <v>1628</v>
      </c>
      <c r="C307" s="3" t="s">
        <v>1629</v>
      </c>
    </row>
    <row r="308" spans="2:3" ht="15.75" thickBot="1" x14ac:dyDescent="0.3">
      <c r="B308" s="538" t="s">
        <v>1640</v>
      </c>
    </row>
    <row r="309" spans="2:3" ht="15.75" thickBot="1" x14ac:dyDescent="0.3">
      <c r="B309" s="114" t="s">
        <v>1136</v>
      </c>
    </row>
    <row r="310" spans="2:3" ht="60.75" thickBot="1" x14ac:dyDescent="0.3">
      <c r="B310" s="115" t="s">
        <v>1641</v>
      </c>
      <c r="C310" s="3" t="s">
        <v>1642</v>
      </c>
    </row>
    <row r="311" spans="2:3" ht="15.75" thickBot="1" x14ac:dyDescent="0.3">
      <c r="B311" s="538" t="s">
        <v>1644</v>
      </c>
    </row>
    <row r="312" spans="2:3" ht="15.75" thickBot="1" x14ac:dyDescent="0.3">
      <c r="B312" s="114" t="s">
        <v>1136</v>
      </c>
    </row>
    <row r="313" spans="2:3" ht="45.75" thickBot="1" x14ac:dyDescent="0.3">
      <c r="B313" s="115" t="s">
        <v>1645</v>
      </c>
    </row>
    <row r="314" spans="2:3" ht="15.75" thickBot="1" x14ac:dyDescent="0.3">
      <c r="B314" s="538" t="s">
        <v>1660</v>
      </c>
    </row>
    <row r="315" spans="2:3" ht="15.75" thickBot="1" x14ac:dyDescent="0.3">
      <c r="B315" s="114" t="s">
        <v>1122</v>
      </c>
    </row>
    <row r="316" spans="2:3" ht="30.75" thickBot="1" x14ac:dyDescent="0.3">
      <c r="B316" s="115" t="s">
        <v>1661</v>
      </c>
      <c r="C316" s="3" t="s">
        <v>1663</v>
      </c>
    </row>
    <row r="317" spans="2:3" ht="15.75" thickBot="1" x14ac:dyDescent="0.3">
      <c r="B317" s="114" t="s">
        <v>1136</v>
      </c>
    </row>
    <row r="318" spans="2:3" ht="15.75" thickBot="1" x14ac:dyDescent="0.3">
      <c r="B318" s="115" t="s">
        <v>1662</v>
      </c>
    </row>
    <row r="319" spans="2:3" ht="15.75" thickBot="1" x14ac:dyDescent="0.3">
      <c r="B319" s="538" t="s">
        <v>1673</v>
      </c>
    </row>
    <row r="320" spans="2:3" ht="15.75" thickBot="1" x14ac:dyDescent="0.3">
      <c r="B320" s="114" t="s">
        <v>1122</v>
      </c>
    </row>
    <row r="321" spans="2:3" ht="30.75" thickBot="1" x14ac:dyDescent="0.3">
      <c r="B321" s="115" t="s">
        <v>1667</v>
      </c>
      <c r="C321" s="3" t="s">
        <v>1668</v>
      </c>
    </row>
    <row r="322" spans="2:3" ht="15.75" thickBot="1" x14ac:dyDescent="0.3">
      <c r="B322" s="114" t="s">
        <v>1136</v>
      </c>
    </row>
    <row r="323" spans="2:3" ht="15.75" thickBot="1" x14ac:dyDescent="0.3">
      <c r="B323" s="115" t="s">
        <v>1671</v>
      </c>
      <c r="C323" s="3" t="s">
        <v>1672</v>
      </c>
    </row>
    <row r="324" spans="2:3" ht="15.75" thickBot="1" x14ac:dyDescent="0.3">
      <c r="B324" s="114" t="s">
        <v>1674</v>
      </c>
    </row>
    <row r="325" spans="2:3" ht="30.75" thickBot="1" x14ac:dyDescent="0.3">
      <c r="B325" s="115" t="s">
        <v>1675</v>
      </c>
      <c r="C325" s="3" t="s">
        <v>1677</v>
      </c>
    </row>
    <row r="326" spans="2:3" ht="15.75" thickBot="1" x14ac:dyDescent="0.3">
      <c r="B326" s="115" t="s">
        <v>1676</v>
      </c>
    </row>
    <row r="327" spans="2:3" ht="15.75" thickBot="1" x14ac:dyDescent="0.3">
      <c r="B327" s="538" t="s">
        <v>1687</v>
      </c>
    </row>
    <row r="328" spans="2:3" ht="15.75" thickBot="1" x14ac:dyDescent="0.3">
      <c r="B328" s="114" t="s">
        <v>1122</v>
      </c>
    </row>
    <row r="329" spans="2:3" ht="45.75" thickBot="1" x14ac:dyDescent="0.3">
      <c r="B329" s="115" t="s">
        <v>1688</v>
      </c>
      <c r="C329" s="3" t="s">
        <v>1689</v>
      </c>
    </row>
    <row r="330" spans="2:3" ht="15.75" thickBot="1" x14ac:dyDescent="0.3">
      <c r="B330" s="538" t="s">
        <v>1692</v>
      </c>
    </row>
    <row r="331" spans="2:3" ht="15.75" thickBot="1" x14ac:dyDescent="0.3">
      <c r="B331" s="114" t="s">
        <v>1122</v>
      </c>
    </row>
    <row r="332" spans="2:3" ht="15.75" thickBot="1" x14ac:dyDescent="0.3">
      <c r="B332" s="115" t="s">
        <v>1693</v>
      </c>
      <c r="C332" s="3" t="s">
        <v>1694</v>
      </c>
    </row>
    <row r="333" spans="2:3" ht="15.75" thickBot="1" x14ac:dyDescent="0.3">
      <c r="B333" s="538" t="s">
        <v>1695</v>
      </c>
    </row>
    <row r="334" spans="2:3" ht="15.75" thickBot="1" x14ac:dyDescent="0.3">
      <c r="B334" s="114" t="s">
        <v>1122</v>
      </c>
    </row>
    <row r="335" spans="2:3" ht="15.75" thickBot="1" x14ac:dyDescent="0.3">
      <c r="B335" s="115" t="s">
        <v>1696</v>
      </c>
    </row>
    <row r="336" spans="2:3" ht="30.75" thickBot="1" x14ac:dyDescent="0.3">
      <c r="B336" s="115" t="s">
        <v>1697</v>
      </c>
      <c r="C336" s="3" t="s">
        <v>1698</v>
      </c>
    </row>
    <row r="337" spans="2:3" ht="15.75" thickBot="1" x14ac:dyDescent="0.3">
      <c r="B337" s="115" t="s">
        <v>1700</v>
      </c>
    </row>
    <row r="338" spans="2:3" ht="15.75" thickBot="1" x14ac:dyDescent="0.3">
      <c r="B338" s="114" t="s">
        <v>1699</v>
      </c>
    </row>
    <row r="339" spans="2:3" ht="45.75" thickBot="1" x14ac:dyDescent="0.3">
      <c r="B339" s="115" t="s">
        <v>1701</v>
      </c>
      <c r="C339" s="101" t="s">
        <v>1702</v>
      </c>
    </row>
    <row r="340" spans="2:3" ht="15.75" thickBot="1" x14ac:dyDescent="0.3">
      <c r="B340" s="538" t="s">
        <v>1843</v>
      </c>
    </row>
    <row r="341" spans="2:3" ht="15.75" thickBot="1" x14ac:dyDescent="0.3">
      <c r="B341" s="114" t="s">
        <v>1136</v>
      </c>
    </row>
    <row r="342" spans="2:3" ht="15.75" thickBot="1" x14ac:dyDescent="0.3">
      <c r="B342" s="115" t="s">
        <v>1844</v>
      </c>
    </row>
    <row r="343" spans="2:3" ht="15.75" thickBot="1" x14ac:dyDescent="0.3">
      <c r="B343" s="121" t="s">
        <v>1845</v>
      </c>
    </row>
    <row r="344" spans="2:3" ht="15.75" thickBot="1" x14ac:dyDescent="0.3">
      <c r="B344" s="115" t="s">
        <v>1846</v>
      </c>
    </row>
    <row r="345" spans="2:3" ht="15.75" thickBot="1" x14ac:dyDescent="0.3">
      <c r="B345" s="114" t="s">
        <v>1847</v>
      </c>
    </row>
    <row r="346" spans="2:3" ht="15.75" thickBot="1" x14ac:dyDescent="0.3">
      <c r="B346" s="115" t="s">
        <v>1848</v>
      </c>
    </row>
    <row r="347" spans="2:3" ht="15.75" thickBot="1" x14ac:dyDescent="0.3">
      <c r="B347" s="115" t="s">
        <v>1849</v>
      </c>
    </row>
    <row r="348" spans="2:3" ht="15.75" thickBot="1" x14ac:dyDescent="0.3">
      <c r="B348" s="538" t="s">
        <v>1850</v>
      </c>
    </row>
    <row r="349" spans="2:3" ht="15.75" thickBot="1" x14ac:dyDescent="0.3">
      <c r="B349" s="114" t="s">
        <v>1122</v>
      </c>
    </row>
    <row r="350" spans="2:3" ht="30.75" thickBot="1" x14ac:dyDescent="0.3">
      <c r="B350" s="115" t="s">
        <v>1851</v>
      </c>
    </row>
    <row r="351" spans="2:3" ht="15.75" thickBot="1" x14ac:dyDescent="0.3">
      <c r="B351" s="538" t="s">
        <v>1852</v>
      </c>
    </row>
    <row r="352" spans="2:3" ht="15.75" thickBot="1" x14ac:dyDescent="0.3">
      <c r="B352" s="114" t="s">
        <v>1122</v>
      </c>
    </row>
    <row r="353" spans="2:3" ht="30.75" thickBot="1" x14ac:dyDescent="0.3">
      <c r="B353" s="115" t="s">
        <v>1851</v>
      </c>
      <c r="C353" s="3" t="s">
        <v>1853</v>
      </c>
    </row>
    <row r="354" spans="2:3" ht="15.75" thickBot="1" x14ac:dyDescent="0.3">
      <c r="B354" s="538" t="s">
        <v>1854</v>
      </c>
    </row>
    <row r="355" spans="2:3" ht="15.75" thickBot="1" x14ac:dyDescent="0.3">
      <c r="B355" s="114" t="s">
        <v>1122</v>
      </c>
    </row>
    <row r="356" spans="2:3" ht="45.75" thickBot="1" x14ac:dyDescent="0.3">
      <c r="B356" s="115" t="s">
        <v>1855</v>
      </c>
      <c r="C356" s="101" t="s">
        <v>1856</v>
      </c>
    </row>
  </sheetData>
  <hyperlinks>
    <hyperlink ref="C252" r:id="rId1"/>
  </hyperlinks>
  <pageMargins left="0.7" right="0.7" top="0.75" bottom="0.75" header="0.3" footer="0.3"/>
  <pageSetup paperSize="9" orientation="portrait"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15"/>
  <sheetViews>
    <sheetView workbookViewId="0">
      <selection activeCell="M5" sqref="M5"/>
    </sheetView>
  </sheetViews>
  <sheetFormatPr defaultRowHeight="15" x14ac:dyDescent="0.25"/>
  <sheetData>
    <row r="2" spans="2:13" x14ac:dyDescent="0.25">
      <c r="B2" t="s">
        <v>1654</v>
      </c>
      <c r="I2" t="s">
        <v>1646</v>
      </c>
    </row>
    <row r="3" spans="2:13" x14ac:dyDescent="0.25">
      <c r="K3" t="s">
        <v>85</v>
      </c>
      <c r="M3" t="s">
        <v>645</v>
      </c>
    </row>
    <row r="4" spans="2:13" x14ac:dyDescent="0.25">
      <c r="B4" t="s">
        <v>596</v>
      </c>
      <c r="D4" t="s">
        <v>43</v>
      </c>
      <c r="F4" t="s">
        <v>1655</v>
      </c>
      <c r="I4" t="str">
        <f>Overall!R64</f>
        <v>Normal</v>
      </c>
      <c r="K4">
        <f>VLOOKUP(I4,'Drop Down'!O107:V111,6,FALSE)</f>
        <v>0</v>
      </c>
      <c r="M4">
        <f>VLOOKUP(I4,'Drop Down'!O107:V111,8,FALSE)</f>
        <v>0</v>
      </c>
    </row>
    <row r="5" spans="2:13" x14ac:dyDescent="0.25">
      <c r="B5">
        <v>1</v>
      </c>
      <c r="D5">
        <f>'Army 1'!$F$4</f>
        <v>0</v>
      </c>
      <c r="F5">
        <f>IF(D5&lt;&gt;0,VLOOKUP($D5,'Drop Down'!$C$30:$E$39,3,FALSE),0)</f>
        <v>0</v>
      </c>
    </row>
    <row r="6" spans="2:13" x14ac:dyDescent="0.25">
      <c r="B6">
        <v>2</v>
      </c>
      <c r="D6">
        <f>'Army 2'!$F$4</f>
        <v>0</v>
      </c>
      <c r="F6">
        <f>IF(D6&lt;&gt;0,VLOOKUP($D6,'Drop Down'!$C$30:$E$39,3,FALSE),0)</f>
        <v>0</v>
      </c>
    </row>
    <row r="7" spans="2:13" x14ac:dyDescent="0.25">
      <c r="B7">
        <v>3</v>
      </c>
      <c r="D7">
        <f>'Army 3'!$F$4</f>
        <v>0</v>
      </c>
      <c r="F7">
        <f>IF(D7&lt;&gt;0,VLOOKUP($D7,'Drop Down'!$C$30:$E$39,3,FALSE),0)</f>
        <v>0</v>
      </c>
    </row>
    <row r="8" spans="2:13" x14ac:dyDescent="0.25">
      <c r="B8">
        <v>4</v>
      </c>
      <c r="D8">
        <f>'Army 4'!$F$4</f>
        <v>0</v>
      </c>
      <c r="F8">
        <f>IF(D8&lt;&gt;0,VLOOKUP($D8,'Drop Down'!$C$30:$E$39,3,FALSE),0)</f>
        <v>0</v>
      </c>
    </row>
    <row r="9" spans="2:13" x14ac:dyDescent="0.25">
      <c r="B9">
        <v>5</v>
      </c>
      <c r="D9">
        <f>'Army 5'!$F$4</f>
        <v>0</v>
      </c>
      <c r="F9">
        <f>IF(D9&lt;&gt;0,VLOOKUP($D9,'Drop Down'!$C$30:$E$39,3,FALSE),0)</f>
        <v>0</v>
      </c>
    </row>
    <row r="10" spans="2:13" x14ac:dyDescent="0.25">
      <c r="B10">
        <v>6</v>
      </c>
      <c r="D10">
        <f>'Army 6'!$F$4</f>
        <v>0</v>
      </c>
      <c r="F10">
        <f>IF(D10&lt;&gt;0,VLOOKUP($D10,'Drop Down'!$C$30:$E$39,3,FALSE),0)</f>
        <v>0</v>
      </c>
    </row>
    <row r="11" spans="2:13" x14ac:dyDescent="0.25">
      <c r="B11">
        <v>7</v>
      </c>
      <c r="D11">
        <f>'Army 7'!$F$4</f>
        <v>0</v>
      </c>
      <c r="F11">
        <f>IF(D11&lt;&gt;0,VLOOKUP($D11,'Drop Down'!$C$30:$E$39,3,FALSE),0)</f>
        <v>0</v>
      </c>
    </row>
    <row r="12" spans="2:13" x14ac:dyDescent="0.25">
      <c r="B12">
        <v>8</v>
      </c>
      <c r="D12">
        <f>'Army 8'!$F$4</f>
        <v>0</v>
      </c>
      <c r="F12">
        <f>IF(D12&lt;&gt;0,VLOOKUP($D12,'Drop Down'!$C$30:$E$39,3,FALSE),0)</f>
        <v>0</v>
      </c>
    </row>
    <row r="13" spans="2:13" x14ac:dyDescent="0.25">
      <c r="B13">
        <v>9</v>
      </c>
      <c r="D13">
        <f>'Army 9'!$F$4</f>
        <v>0</v>
      </c>
      <c r="F13">
        <f>IF(D13&lt;&gt;0,VLOOKUP($D13,'Drop Down'!$C$30:$E$39,3,FALSE),0)</f>
        <v>0</v>
      </c>
    </row>
    <row r="15" spans="2:13" x14ac:dyDescent="0.25">
      <c r="F15">
        <f>SUM(F5:F13)</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60</vt:i4>
      </vt:variant>
      <vt:variant>
        <vt:lpstr>Именованные диапазоны</vt:lpstr>
      </vt:variant>
      <vt:variant>
        <vt:i4>42</vt:i4>
      </vt:variant>
    </vt:vector>
  </HeadingPairs>
  <TitlesOfParts>
    <vt:vector size="102" baseType="lpstr">
      <vt:lpstr>Characters_Data</vt:lpstr>
      <vt:lpstr>Rulers</vt:lpstr>
      <vt:lpstr>Overall</vt:lpstr>
      <vt:lpstr>Kingdom</vt:lpstr>
      <vt:lpstr>City Summary</vt:lpstr>
      <vt:lpstr>Turn Sequence</vt:lpstr>
      <vt:lpstr>Events</vt:lpstr>
      <vt:lpstr>Charts</vt:lpstr>
      <vt:lpstr>Buildings</vt:lpstr>
      <vt:lpstr>Terrain Improvements</vt:lpstr>
      <vt:lpstr>Building Images</vt:lpstr>
      <vt:lpstr>City 1</vt:lpstr>
      <vt:lpstr>City 1 Map</vt:lpstr>
      <vt:lpstr>City 2</vt:lpstr>
      <vt:lpstr>City 2 Map</vt:lpstr>
      <vt:lpstr>City 3</vt:lpstr>
      <vt:lpstr>City 4</vt:lpstr>
      <vt:lpstr>City 5</vt:lpstr>
      <vt:lpstr>City 6</vt:lpstr>
      <vt:lpstr>City 7</vt:lpstr>
      <vt:lpstr>City 8</vt:lpstr>
      <vt:lpstr>City 9</vt:lpstr>
      <vt:lpstr>City 10</vt:lpstr>
      <vt:lpstr>City 11</vt:lpstr>
      <vt:lpstr>City 12</vt:lpstr>
      <vt:lpstr>City 13</vt:lpstr>
      <vt:lpstr>City 14</vt:lpstr>
      <vt:lpstr>City 15</vt:lpstr>
      <vt:lpstr>City 16</vt:lpstr>
      <vt:lpstr>City 17</vt:lpstr>
      <vt:lpstr>City 18</vt:lpstr>
      <vt:lpstr>City 19</vt:lpstr>
      <vt:lpstr>City 20</vt:lpstr>
      <vt:lpstr>City 21</vt:lpstr>
      <vt:lpstr>City 22</vt:lpstr>
      <vt:lpstr>City 23</vt:lpstr>
      <vt:lpstr>City 24</vt:lpstr>
      <vt:lpstr>City 25</vt:lpstr>
      <vt:lpstr>City Overview</vt:lpstr>
      <vt:lpstr>Diplomacy</vt:lpstr>
      <vt:lpstr>Trade Routes</vt:lpstr>
      <vt:lpstr>Endowment</vt:lpstr>
      <vt:lpstr>Festival</vt:lpstr>
      <vt:lpstr>Recruitment</vt:lpstr>
      <vt:lpstr>Army Summary</vt:lpstr>
      <vt:lpstr>Army 1</vt:lpstr>
      <vt:lpstr>Army 2</vt:lpstr>
      <vt:lpstr>Army 3</vt:lpstr>
      <vt:lpstr>Army 4</vt:lpstr>
      <vt:lpstr>Army 5</vt:lpstr>
      <vt:lpstr>Army 6</vt:lpstr>
      <vt:lpstr>Army 7</vt:lpstr>
      <vt:lpstr>Army 8</vt:lpstr>
      <vt:lpstr>Army 9</vt:lpstr>
      <vt:lpstr>City Map Master</vt:lpstr>
      <vt:lpstr>Titles</vt:lpstr>
      <vt:lpstr>Drop Down</vt:lpstr>
      <vt:lpstr>Instructions (Draft)</vt:lpstr>
      <vt:lpstr>Credits and Version</vt:lpstr>
      <vt:lpstr>Military Overview</vt:lpstr>
      <vt:lpstr>AlignGE</vt:lpstr>
      <vt:lpstr>AlignLC</vt:lpstr>
      <vt:lpstr>ArmySA</vt:lpstr>
      <vt:lpstr>ArmySize</vt:lpstr>
      <vt:lpstr>Attitude</vt:lpstr>
      <vt:lpstr>Attributes</vt:lpstr>
      <vt:lpstr>Boons</vt:lpstr>
      <vt:lpstr>ChaMod</vt:lpstr>
      <vt:lpstr>CityNames</vt:lpstr>
      <vt:lpstr>CR</vt:lpstr>
      <vt:lpstr>DipLevel</vt:lpstr>
      <vt:lpstr>DipRelation</vt:lpstr>
      <vt:lpstr>Events</vt:lpstr>
      <vt:lpstr>Expansion</vt:lpstr>
      <vt:lpstr>ExSettlements</vt:lpstr>
      <vt:lpstr>FoG</vt:lpstr>
      <vt:lpstr>Gender</vt:lpstr>
      <vt:lpstr>HD</vt:lpstr>
      <vt:lpstr>Holiday</vt:lpstr>
      <vt:lpstr>HolySite</vt:lpstr>
      <vt:lpstr>LeadSkills</vt:lpstr>
      <vt:lpstr>Morale</vt:lpstr>
      <vt:lpstr>NatAdv</vt:lpstr>
      <vt:lpstr>Recruitment</vt:lpstr>
      <vt:lpstr>Resources</vt:lpstr>
      <vt:lpstr>RiverCoast</vt:lpstr>
      <vt:lpstr>Rulers</vt:lpstr>
      <vt:lpstr>Ruleset</vt:lpstr>
      <vt:lpstr>SettlementAttributes</vt:lpstr>
      <vt:lpstr>Tactics</vt:lpstr>
      <vt:lpstr>Tax</vt:lpstr>
      <vt:lpstr>Terrain</vt:lpstr>
      <vt:lpstr>Titles</vt:lpstr>
      <vt:lpstr>TradeRouteType</vt:lpstr>
      <vt:lpstr>UCamSettlements</vt:lpstr>
      <vt:lpstr>URuleSettlements</vt:lpstr>
      <vt:lpstr>YN</vt:lpstr>
      <vt:lpstr>'Army Summary'!Область_печати</vt:lpstr>
      <vt:lpstr>'City 1'!Область_печати</vt:lpstr>
      <vt:lpstr>'City 7'!Область_печати</vt:lpstr>
      <vt:lpstr>Overall!Область_печати</vt:lpstr>
      <vt:lpstr>Персонажи</vt:lpstr>
    </vt:vector>
  </TitlesOfParts>
  <Company>Johnson &amp; Johnson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Ultimate Campaign Kingdom Tracking Spreadsheet</dc:title>
  <dc:subject>Kingdom Management</dc:subject>
  <dc:creator>Chemlak;Brad Turner;Zoetrope;Berhagen</dc:creator>
  <dc:description>Based on the original spreadsheet by Berhagen.</dc:description>
  <cp:lastModifiedBy>Palikhov Anton</cp:lastModifiedBy>
  <cp:lastPrinted>2014-05-05T19:01:23Z</cp:lastPrinted>
  <dcterms:created xsi:type="dcterms:W3CDTF">2010-04-20T07:35:56Z</dcterms:created>
  <dcterms:modified xsi:type="dcterms:W3CDTF">2015-11-17T07:45:34Z</dcterms:modified>
  <cp:contentStatus>Version 5.0</cp:contentStatus>
</cp:coreProperties>
</file>