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hopGenerator" sheetId="2" r:id="rId5"/>
    <sheet state="visible" name="Stores" sheetId="3" r:id="rId6"/>
    <sheet state="visible" name="SpellPrices" sheetId="4" r:id="rId7"/>
    <sheet state="visible" name="ReferenceTables" sheetId="5" r:id="rId8"/>
    <sheet state="visible" name="Pricebook" sheetId="6" r:id="rId9"/>
    <sheet state="visible" name="SpellDetails" sheetId="7" r:id="rId10"/>
  </sheets>
  <definedNames>
    <definedName hidden="1" localSheetId="5" name="_xlnm._FilterDatabase">Pricebook!$A$1:$AC$1049</definedName>
  </definedNames>
  <calcPr/>
</workbook>
</file>

<file path=xl/sharedStrings.xml><?xml version="1.0" encoding="utf-8"?>
<sst xmlns="http://schemas.openxmlformats.org/spreadsheetml/2006/main" count="1211" uniqueCount="570">
  <si>
    <t>Title</t>
  </si>
  <si>
    <t>5th Edition Pricing Assistant Tool</t>
  </si>
  <si>
    <t>Version History</t>
  </si>
  <si>
    <t>Version</t>
  </si>
  <si>
    <t>Date</t>
  </si>
  <si>
    <t>Author</t>
  </si>
  <si>
    <t>Description</t>
  </si>
  <si>
    <t>23.08.2022</t>
  </si>
  <si>
    <t>MJB</t>
  </si>
  <si>
    <t>Initial draft, added instructions and title page for use by others.</t>
  </si>
  <si>
    <t>Instructions for Use</t>
  </si>
  <si>
    <r>
      <rPr>
        <rFont val="Arial"/>
        <color theme="1"/>
      </rPr>
      <t xml:space="preserve">For privacy reasons, this Sheet is set to read-only. In order to use it, first click 'File -&gt; Make a copy' and save a copy of it to your own Sheets account to use.
Use the </t>
    </r>
    <r>
      <rPr>
        <rFont val="Arial"/>
        <b/>
        <color rgb="FF26A69A"/>
      </rPr>
      <t>'ShopGenerator'</t>
    </r>
    <r>
      <rPr>
        <rFont val="Arial"/>
        <color theme="1"/>
      </rPr>
      <t xml:space="preserve"> tab to create a randomly-generated shop inventory. You can select a shop type here, and also select a world event that will apply modifiers to the price of certain items.
The tab named </t>
    </r>
    <r>
      <rPr>
        <rFont val="Arial"/>
        <b/>
        <color rgb="FF26A69A"/>
      </rPr>
      <t>'Stores'</t>
    </r>
    <r>
      <rPr>
        <rFont val="Arial"/>
        <b/>
        <color theme="1"/>
      </rPr>
      <t xml:space="preserve"> </t>
    </r>
    <r>
      <rPr>
        <rFont val="Arial"/>
        <color theme="1"/>
      </rPr>
      <t xml:space="preserve">will display a list of </t>
    </r>
    <r>
      <rPr>
        <rFont val="Arial"/>
        <b/>
        <color theme="1"/>
      </rPr>
      <t>all</t>
    </r>
    <r>
      <rPr>
        <rFont val="Arial"/>
        <color theme="1"/>
      </rPr>
      <t xml:space="preserve"> potential items the selected shop type </t>
    </r>
    <r>
      <rPr>
        <rFont val="Arial"/>
        <i/>
        <color theme="1"/>
      </rPr>
      <t>can</t>
    </r>
    <r>
      <rPr>
        <rFont val="Arial"/>
        <color theme="1"/>
      </rPr>
      <t xml:space="preserve"> have in its stores. This is based on the selections made in the ShopGenerator tab.
The </t>
    </r>
    <r>
      <rPr>
        <rFont val="Arial"/>
        <b/>
        <color rgb="FF26A69A"/>
      </rPr>
      <t>'SpellPrices'</t>
    </r>
    <r>
      <rPr>
        <rFont val="Arial"/>
        <color theme="1"/>
      </rPr>
      <t xml:space="preserve"> tab provides pricing information for spells that the party may wish to purchase from a suitable magic organisation (such as arcane college or divine temple), broken down by spell components and labour costs calculated from the spellcaster level required, and effort involved. It is currently limited to life-restoring spells.</t>
    </r>
  </si>
  <si>
    <t>01.09.2022</t>
  </si>
  <si>
    <t>Set absolute inventory sizes per shop type, 'Generic NPC' and 'Toll Booth' added, fixed some 'Item' type goods that were showing as 'Containers', tweaks to max discount on goods over 22gp, added global pricing modifiers.</t>
  </si>
  <si>
    <t>06.09.2022</t>
  </si>
  <si>
    <t>Added Inn (Small), Inn (Large), Inn (Regal), Tavern, Tannery, Farm, Hospital, Black Market to shop types. Added multiplier for items purchased from the Black Market.</t>
  </si>
  <si>
    <t>Version uplift for initial release to r/DnDBehindTheScreen</t>
  </si>
  <si>
    <t>23.09.2022</t>
  </si>
  <si>
    <t>Added SpellPrices tab and pricing information in SpellDetails tab for life-restoring spells. Added Icewind Dale shop types and products. Added price fluctuations depending on shop type. Temporarily removed modification instructions pending data restructure.</t>
  </si>
  <si>
    <t>23.09.2023</t>
  </si>
  <si>
    <t>Version uplift for release to r/DnDBehindTheScreen</t>
  </si>
  <si>
    <t>Common Column Descriptions</t>
  </si>
  <si>
    <t>The 'Shop Generator', 'Stores', and 'Pricebook' tabs all have columns showing pricing information for each item type. These columns are named and described below:</t>
  </si>
  <si>
    <t>The price a consumer-facing vendor will offer the item for as standard.</t>
  </si>
  <si>
    <t xml:space="preserve">  - If a PC happens to run a shop, this is the price they can price their items at, less any taxes.</t>
  </si>
  <si>
    <t>The lowest price a vendor can be talked into selling the item for.</t>
  </si>
  <si>
    <t>The initial price most NPC vendors will offer for the item.</t>
  </si>
  <si>
    <t>The highest price most NPC vendors will offer for the item.</t>
  </si>
  <si>
    <t>Gold Value Formatting</t>
  </si>
  <si>
    <t>Prices in this document are colour formatted depending on the value displayed. These formats are described below:</t>
  </si>
  <si>
    <t>Black text, orange background</t>
  </si>
  <si>
    <t>Value of less than one silver piece.</t>
  </si>
  <si>
    <t>Black text, grey background</t>
  </si>
  <si>
    <t>Value of more than one silver piece, but less than one gold piece,</t>
  </si>
  <si>
    <t>Value of more than one gold piece, but less than one platinum piece (or ten gold pieces).</t>
  </si>
  <si>
    <t>Bold white text, grey background</t>
  </si>
  <si>
    <t>Value of more than one platinum piece (or ten gold pieces).</t>
  </si>
  <si>
    <t>Select a Shop Type from the Drop-Down Menu:</t>
  </si>
  <si>
    <t>Randomiser Column</t>
  </si>
  <si>
    <t>Smithy</t>
  </si>
  <si>
    <t>Now Select a World Event Currently Occuring in your World (Optional):</t>
  </si>
  <si>
    <t>Crop Failure</t>
  </si>
  <si>
    <t>Store Inventory:</t>
  </si>
  <si>
    <t>1 lb.</t>
  </si>
  <si>
    <t>Container</t>
  </si>
  <si>
    <t>Hunting Trap</t>
  </si>
  <si>
    <t>25 lb.</t>
  </si>
  <si>
    <t>Equipment</t>
  </si>
  <si>
    <t>Grappling Hook</t>
  </si>
  <si>
    <t>4 lb.</t>
  </si>
  <si>
    <t>Hooded Lantern</t>
  </si>
  <si>
    <t>2 lb.</t>
  </si>
  <si>
    <t>Light</t>
  </si>
  <si>
    <t>Bullseye Lantern</t>
  </si>
  <si>
    <t>Copper</t>
  </si>
  <si>
    <t>Metal</t>
  </si>
  <si>
    <t>Shovel</t>
  </si>
  <si>
    <t>5 lb.</t>
  </si>
  <si>
    <t>Tool</t>
  </si>
  <si>
    <t>Woodcarver’s Tools</t>
  </si>
  <si>
    <t>This kit includes the basic items needed by those proficient in woodcarving to pursue their craft. Can also be used in the production of scrimshaw.</t>
  </si>
  <si>
    <t>Iron Spikes</t>
  </si>
  <si>
    <t>5 lb., 10 spikes</t>
  </si>
  <si>
    <t>Thieves’ Tools</t>
  </si>
  <si>
    <t>This kit includes the basic items needed by those proficient in thief's skills to pursue their craft.</t>
  </si>
  <si>
    <t>Smith’s Tools</t>
  </si>
  <si>
    <t>8 lb.</t>
  </si>
  <si>
    <t>This kit includes the basic items needed by those proficient in smithing to pursue their craft.</t>
  </si>
  <si>
    <t>Crowbar</t>
  </si>
  <si>
    <t>Mason’s Tools</t>
  </si>
  <si>
    <t>This kit includes the basic items needed by those proficient in masonry to pursue their craft.</t>
  </si>
  <si>
    <t>Tinker’s Tools</t>
  </si>
  <si>
    <t>10 lb.</t>
  </si>
  <si>
    <t>This kit includes the basic items needed by proficient tinkerers to pursue their craft.</t>
  </si>
  <si>
    <t>Longsword</t>
  </si>
  <si>
    <t>3 lb.</t>
  </si>
  <si>
    <t>Weapon</t>
  </si>
  <si>
    <t>Scimitar</t>
  </si>
  <si>
    <t>Spear</t>
  </si>
  <si>
    <t>Lance</t>
  </si>
  <si>
    <t>6 lb.</t>
  </si>
  <si>
    <t>Flail</t>
  </si>
  <si>
    <t>Maul</t>
  </si>
  <si>
    <t>Handaxe</t>
  </si>
  <si>
    <t>Shortsword</t>
  </si>
  <si>
    <t>Rapier</t>
  </si>
  <si>
    <t>Warhammer</t>
  </si>
  <si>
    <t>War Pick</t>
  </si>
  <si>
    <t>Select a Spell from the Drop-Down Menu:</t>
  </si>
  <si>
    <t>True Resurrection</t>
  </si>
  <si>
    <t>No</t>
  </si>
  <si>
    <t>This tab provides the price an organisation (e.g. temple or mage school) will charge to cast a given spell.</t>
  </si>
  <si>
    <t>This takes into account required components, hourly rates for the spellcaster, current world events</t>
  </si>
  <si>
    <t>Spell Component Cost</t>
  </si>
  <si>
    <t>Prep Time</t>
  </si>
  <si>
    <t>Casting Time</t>
  </si>
  <si>
    <t>Spell Level</t>
  </si>
  <si>
    <t>Total Labour Cost</t>
  </si>
  <si>
    <t>TOTAL SERVICE CHARGE:</t>
  </si>
  <si>
    <t>Base Buy Price</t>
  </si>
  <si>
    <t>Min. Buy Price</t>
  </si>
  <si>
    <t>Store Types</t>
  </si>
  <si>
    <t>Current YES/NO Search Column</t>
  </si>
  <si>
    <t>Items In Store</t>
  </si>
  <si>
    <t>Variable Order Goods</t>
  </si>
  <si>
    <t>Reduced Stock List</t>
  </si>
  <si>
    <t>Global Modifiers</t>
  </si>
  <si>
    <t>World Event Modifiers</t>
  </si>
  <si>
    <t>Item Types</t>
  </si>
  <si>
    <t>None</t>
  </si>
  <si>
    <t>Besiegement (of city)</t>
  </si>
  <si>
    <t>Besiegement (of village)</t>
  </si>
  <si>
    <t>Celebration Day</t>
  </si>
  <si>
    <t>Levies Targeting the Poor</t>
  </si>
  <si>
    <t>Levies Targeting the Rich</t>
  </si>
  <si>
    <t>Natural Disaster</t>
  </si>
  <si>
    <t>Plague (Animal)</t>
  </si>
  <si>
    <t>Plague (People)</t>
  </si>
  <si>
    <t>Religious Festival</t>
  </si>
  <si>
    <t>Tourist Attraction</t>
  </si>
  <si>
    <t>Tourney</t>
  </si>
  <si>
    <t>War</t>
  </si>
  <si>
    <t>Shop Modifiers</t>
  </si>
  <si>
    <t>Spell Casting Cost Modifiers</t>
  </si>
  <si>
    <t>Black Market</t>
  </si>
  <si>
    <t>LifeRestore</t>
  </si>
  <si>
    <t>Farm</t>
  </si>
  <si>
    <t>Rows to Return in Randomiser</t>
  </si>
  <si>
    <t>HealthRestore</t>
  </si>
  <si>
    <t>Fletcher</t>
  </si>
  <si>
    <t>General Store (Small)</t>
  </si>
  <si>
    <t>General Store (Large)</t>
  </si>
  <si>
    <t>Generic NPC</t>
  </si>
  <si>
    <t>Hospital</t>
  </si>
  <si>
    <t>Inn (Small)</t>
  </si>
  <si>
    <t>Tankard</t>
  </si>
  <si>
    <t>Inn (Large)</t>
  </si>
  <si>
    <t>Inn (Regal)</t>
  </si>
  <si>
    <t>Tannery</t>
  </si>
  <si>
    <t>Tavern</t>
  </si>
  <si>
    <t>Ten-Towns Fishery</t>
  </si>
  <si>
    <t>Ten-Towns Artisan</t>
  </si>
  <si>
    <t>Toll Booth</t>
  </si>
  <si>
    <t>Wandering Cleric</t>
  </si>
  <si>
    <t>Good</t>
  </si>
  <si>
    <t>Quantity / Weight</t>
  </si>
  <si>
    <t>Category</t>
  </si>
  <si>
    <t>Low Sell Price</t>
  </si>
  <si>
    <t>Max. Sell Price</t>
  </si>
  <si>
    <t>Notes</t>
  </si>
  <si>
    <t>Unmodified Buy Price</t>
  </si>
  <si>
    <t>Shop Multiplier</t>
  </si>
  <si>
    <t>Event Multiplier</t>
  </si>
  <si>
    <t>Arrows (20)</t>
  </si>
  <si>
    <t>20 arrows, 1 lb.</t>
  </si>
  <si>
    <t>Ammunition</t>
  </si>
  <si>
    <t>Blowgun Needles (50)</t>
  </si>
  <si>
    <t>50 needles, 1 lb.</t>
  </si>
  <si>
    <t>Crossbow Bolts (20)</t>
  </si>
  <si>
    <t>20 bolts, 1 1/2 lb.</t>
  </si>
  <si>
    <t>Sling Bullets (20)</t>
  </si>
  <si>
    <t>20 bullets, 1 1/2 lb.</t>
  </si>
  <si>
    <t>Leather Draught Horse Barding</t>
  </si>
  <si>
    <t>1 armour set, 20lbs.</t>
  </si>
  <si>
    <t>Armour</t>
  </si>
  <si>
    <t>A set of hardy leather armour, designed to fit a draught horse. 11AC.</t>
  </si>
  <si>
    <t>Leather Mastiff Barding</t>
  </si>
  <si>
    <t>1 armour set, 26lbs.</t>
  </si>
  <si>
    <t>A set of studded leather armour, designed to fit a mastiff. 14AC.</t>
  </si>
  <si>
    <t>Leather Mule Barding</t>
  </si>
  <si>
    <t>A set of hardy leather armour, designed to fit a mule. 11AC.</t>
  </si>
  <si>
    <t>Leather Pony Barding</t>
  </si>
  <si>
    <t>A set of hardy leather armour, designed to fit a pony. 11AC.</t>
  </si>
  <si>
    <t>Leather Riding Horse Barding</t>
  </si>
  <si>
    <t>A set of studded leather armour, designed to fit a riding horse. 12AC.</t>
  </si>
  <si>
    <t>Plate Elephant Barding</t>
  </si>
  <si>
    <t>1 armour set, 130lbs.</t>
  </si>
  <si>
    <t>An ornate set of steel armour with golden inlay, designed to fit an elephant. 18AC.</t>
  </si>
  <si>
    <t>Ringmail Warhorse Barding</t>
  </si>
  <si>
    <t>1 armour set, 80lbs.</t>
  </si>
  <si>
    <t>A set of heavy ringmail armour, designed to fit a warhorse. 15AC.</t>
  </si>
  <si>
    <t>Comfortable Room</t>
  </si>
  <si>
    <t>per day</t>
  </si>
  <si>
    <t>Accommodation</t>
  </si>
  <si>
    <t>An overnight stay in a presentable room, suitable for guests with a Comfortable lifestyle.</t>
  </si>
  <si>
    <t>Modest Room</t>
  </si>
  <si>
    <t>An overnight stay in a reasonable room, suitable for guests with a Modest lifestyle.</t>
  </si>
  <si>
    <t>Poor Room</t>
  </si>
  <si>
    <t>An overnight stay in a cheap room, suitable for guests with a Poor lifestyle.</t>
  </si>
  <si>
    <t>Squalid Room</t>
  </si>
  <si>
    <t>An overnight stay in a ramshackle room, suitable for guests with a Squalid lifestyle.</t>
  </si>
  <si>
    <t>Common Clothes</t>
  </si>
  <si>
    <t>Clothing</t>
  </si>
  <si>
    <t>Barrel</t>
  </si>
  <si>
    <t>70 lb.</t>
  </si>
  <si>
    <t>Basket</t>
  </si>
  <si>
    <t>Bolt Case</t>
  </si>
  <si>
    <t>A leather case with room for 40 crossbow bolts.</t>
  </si>
  <si>
    <t>Bucket</t>
  </si>
  <si>
    <t>Chest</t>
  </si>
  <si>
    <t>Document Case</t>
  </si>
  <si>
    <t>A cylindrical leather case that can safely contain a map or scroll.</t>
  </si>
  <si>
    <t>Flask</t>
  </si>
  <si>
    <t>Glass Bottle</t>
  </si>
  <si>
    <t>Iron Pot</t>
  </si>
  <si>
    <t>Jug</t>
  </si>
  <si>
    <t>Pitcher</t>
  </si>
  <si>
    <t>Pouch</t>
  </si>
  <si>
    <t>Sack</t>
  </si>
  <si>
    <t>1/2 lb.</t>
  </si>
  <si>
    <t>Vial</t>
  </si>
  <si>
    <t>1/4 lb.</t>
  </si>
  <si>
    <t>Costume</t>
  </si>
  <si>
    <t>An extravagant outfit for performance artists.</t>
  </si>
  <si>
    <t>Fine Clothes</t>
  </si>
  <si>
    <t>Robes</t>
  </si>
  <si>
    <t>Traveller's Clothes</t>
  </si>
  <si>
    <t>Wheat</t>
  </si>
  <si>
    <t>10 lb. of wheat</t>
  </si>
  <si>
    <t>Crop</t>
  </si>
  <si>
    <t>Cinnamon</t>
  </si>
  <si>
    <t>1 lb. of cinnamon</t>
  </si>
  <si>
    <t>Culinary</t>
  </si>
  <si>
    <t>Cloves</t>
  </si>
  <si>
    <t>1 lb. of cloves</t>
  </si>
  <si>
    <t>Flour</t>
  </si>
  <si>
    <t>10 lb. of flour</t>
  </si>
  <si>
    <t>Backpack</t>
  </si>
  <si>
    <t>Basic Poison</t>
  </si>
  <si>
    <t>1/2 fl oz. Vial</t>
  </si>
  <si>
    <t>Bedroll</t>
  </si>
  <si>
    <t>7 lb.</t>
  </si>
  <si>
    <t>Blanket</t>
  </si>
  <si>
    <t>Chain (10 feet)</t>
  </si>
  <si>
    <t>Climber's Kit</t>
  </si>
  <si>
    <t>12 lb.</t>
  </si>
  <si>
    <t>Contains pitons, crampons, gloves, and a harness.</t>
  </si>
  <si>
    <t>Component Pouch</t>
  </si>
  <si>
    <t>Healer’s Kit</t>
  </si>
  <si>
    <t>A leather pouch with bandages, salves, and splints - provides enough for ten uses.</t>
  </si>
  <si>
    <t>Ladder (10-foot)</t>
  </si>
  <si>
    <t>Magnifying Glass</t>
  </si>
  <si>
    <t>Manacles</t>
  </si>
  <si>
    <t>Mess Kit</t>
  </si>
  <si>
    <t>This tin box contains a cup and simple cutlery. The box clamps together, and one side can be used as a cooking pan and the other as a plate or shallow bowl.</t>
  </si>
  <si>
    <t>Miner's Pick</t>
  </si>
  <si>
    <t>Piton</t>
  </si>
  <si>
    <t>A steel spike, with a hole for looping a climbing rope through.</t>
  </si>
  <si>
    <t>Hempen Rope</t>
  </si>
  <si>
    <t>per 50 ft., 1 lb.</t>
  </si>
  <si>
    <t>Silk Rope</t>
  </si>
  <si>
    <t>per 50 ft., 10 lbs.</t>
  </si>
  <si>
    <t>Signal Whistle</t>
  </si>
  <si>
    <t>Spellbook</t>
  </si>
  <si>
    <t>Spyglass</t>
  </si>
  <si>
    <t>Steel Mirror</t>
  </si>
  <si>
    <t>Tinderbox</t>
  </si>
  <si>
    <t>Two-Person Tent</t>
  </si>
  <si>
    <t>20 lb.</t>
  </si>
  <si>
    <t>Waterskin</t>
  </si>
  <si>
    <t>5 lb. when full</t>
  </si>
  <si>
    <t>Canvas</t>
  </si>
  <si>
    <t>1 sq. yd. of canvas</t>
  </si>
  <si>
    <t>Fabric</t>
  </si>
  <si>
    <t>Cotton Cloth</t>
  </si>
  <si>
    <t>1 sq. yd. of cotton cloth</t>
  </si>
  <si>
    <t>Linen</t>
  </si>
  <si>
    <t>1 sq. yd. of linen</t>
  </si>
  <si>
    <t>Silk</t>
  </si>
  <si>
    <t>1 sq. yd. of silk</t>
  </si>
  <si>
    <t>Ginger</t>
  </si>
  <si>
    <t>1 lb. of ginger</t>
  </si>
  <si>
    <t>Pepper</t>
  </si>
  <si>
    <t>1 lb. of pepper</t>
  </si>
  <si>
    <t>Saffron</t>
  </si>
  <si>
    <t>1 lb. of saffron</t>
  </si>
  <si>
    <t>Salt</t>
  </si>
  <si>
    <t>1 lb. of salt</t>
  </si>
  <si>
    <t>Gallon of Ale</t>
  </si>
  <si>
    <t>Food &amp; Drink</t>
  </si>
  <si>
    <t>Mug of Ale</t>
  </si>
  <si>
    <t>Bread</t>
  </si>
  <si>
    <t>1 loaf</t>
  </si>
  <si>
    <t>Cheese</t>
  </si>
  <si>
    <t>1 hunk</t>
  </si>
  <si>
    <t>Meal (Comfortable)</t>
  </si>
  <si>
    <t>Meal (Modest)</t>
  </si>
  <si>
    <t>Meal (Poor)</t>
  </si>
  <si>
    <t>Meal (Squalid)</t>
  </si>
  <si>
    <t>Meat Chunk</t>
  </si>
  <si>
    <t>Rations (1 day)</t>
  </si>
  <si>
    <t>Wine (Common)</t>
  </si>
  <si>
    <t>per pitcher</t>
  </si>
  <si>
    <t>Bit and Bridle</t>
  </si>
  <si>
    <t>Harness</t>
  </si>
  <si>
    <t>Feed (per day)</t>
  </si>
  <si>
    <t>10 lbs.</t>
  </si>
  <si>
    <t>N/A</t>
  </si>
  <si>
    <t>Enough for one animal</t>
  </si>
  <si>
    <t>Saddle, Exotic</t>
  </si>
  <si>
    <t>40 lbs.</t>
  </si>
  <si>
    <t>Saddle, Military</t>
  </si>
  <si>
    <t>30 lbs.</t>
  </si>
  <si>
    <t>Saddle, Pack</t>
  </si>
  <si>
    <t>15 lbs.</t>
  </si>
  <si>
    <t>Saddle, Riding</t>
  </si>
  <si>
    <t>25 lbs.</t>
  </si>
  <si>
    <t>Saddlebags</t>
  </si>
  <si>
    <t>8 lbs.</t>
  </si>
  <si>
    <t>Stabling</t>
  </si>
  <si>
    <t>Price to stable a single mount for a single day.</t>
  </si>
  <si>
    <t>Messenger</t>
  </si>
  <si>
    <t>per mile</t>
  </si>
  <si>
    <t>Hireling</t>
  </si>
  <si>
    <t>Skilled Worker</t>
  </si>
  <si>
    <t>Worker per day</t>
  </si>
  <si>
    <t>Skilled Hirelings include anyone hired to perform a service that involves a Proficiency (including weapon, tool, or skill): a Mercenary, artisan, Scribe, and so on.</t>
  </si>
  <si>
    <t>Unskilled Worker</t>
  </si>
  <si>
    <t>Untrained Hirelings are hired for menial work that requires no particular skill and can include laborers, porters, maids, and similar workers.</t>
  </si>
  <si>
    <t>Bell</t>
  </si>
  <si>
    <t>Item</t>
  </si>
  <si>
    <t>Block and Tackle</t>
  </si>
  <si>
    <t>A block and tackle or only tackle is a system of two or more pulleys with a rope or cable threaded between them, usually used to lift heavy loads.</t>
  </si>
  <si>
    <t>Book</t>
  </si>
  <si>
    <t>Candle</t>
  </si>
  <si>
    <t>Chalk (1 piece)</t>
  </si>
  <si>
    <t>Hourglass</t>
  </si>
  <si>
    <t>Oil (flask)</t>
  </si>
  <si>
    <t>Paper (one sheet)</t>
  </si>
  <si>
    <t>Parchment (one sheet)</t>
  </si>
  <si>
    <t>Pole (10-foot)</t>
  </si>
  <si>
    <t>Sealing Wax</t>
  </si>
  <si>
    <t>Soap</t>
  </si>
  <si>
    <t>Signet Ring</t>
  </si>
  <si>
    <t>Jewellery</t>
  </si>
  <si>
    <t>Lamp</t>
  </si>
  <si>
    <t>Torch</t>
  </si>
  <si>
    <t>Camel</t>
  </si>
  <si>
    <t>1 Camel 480lbs.</t>
  </si>
  <si>
    <t>Livestock</t>
  </si>
  <si>
    <t>Speed: 50ft.</t>
  </si>
  <si>
    <t>Chicken</t>
  </si>
  <si>
    <t>1 chicken</t>
  </si>
  <si>
    <t>Cow</t>
  </si>
  <si>
    <t>1 cow</t>
  </si>
  <si>
    <t>Donkey</t>
  </si>
  <si>
    <t>1 Donkey 400lbs.</t>
  </si>
  <si>
    <t>Speed: 40ft. Unable to jump</t>
  </si>
  <si>
    <t>Goat</t>
  </si>
  <si>
    <t>1 goat</t>
  </si>
  <si>
    <t>Ox</t>
  </si>
  <si>
    <t>1 ox</t>
  </si>
  <si>
    <t>Pig</t>
  </si>
  <si>
    <t>1 pig</t>
  </si>
  <si>
    <t>Sheep</t>
  </si>
  <si>
    <t>1 sheep</t>
  </si>
  <si>
    <t>Banquet</t>
  </si>
  <si>
    <t>per person</t>
  </si>
  <si>
    <t>Luxury (Goods)</t>
  </si>
  <si>
    <t>Meal (Aristocratic)</t>
  </si>
  <si>
    <t>Meal (Wealthy)</t>
  </si>
  <si>
    <t>Perfume</t>
  </si>
  <si>
    <t>1 fl oz. vial</t>
  </si>
  <si>
    <t>Fine Wine</t>
  </si>
  <si>
    <t>per bottle</t>
  </si>
  <si>
    <t>Aristocratic Room</t>
  </si>
  <si>
    <t>Luxury (Services)</t>
  </si>
  <si>
    <t>An overnight stay in a luxurious room, suitable for guests with an Aristocratic lifestyle.</t>
  </si>
  <si>
    <t>Wealthy Room</t>
  </si>
  <si>
    <t>An overnight stay in a well-appointed room, suitable for guests with a Wealthy lifestyle.</t>
  </si>
  <si>
    <t>Gold</t>
  </si>
  <si>
    <t>Iron</t>
  </si>
  <si>
    <t>Platinum</t>
  </si>
  <si>
    <t>Silver</t>
  </si>
  <si>
    <t>Draught Horse</t>
  </si>
  <si>
    <t>540lbs.</t>
  </si>
  <si>
    <t>Mount</t>
  </si>
  <si>
    <t>Speed: 40ft. A draught horse (from the Old English dragan meaning "to draw or haul") is bigger, stronger, and more docile than a riding horse.</t>
  </si>
  <si>
    <t>Elephant</t>
  </si>
  <si>
    <t>320lbs.</t>
  </si>
  <si>
    <t>Speed: 40ft.</t>
  </si>
  <si>
    <t>Mastiff</t>
  </si>
  <si>
    <t>195lbs.</t>
  </si>
  <si>
    <t>Mule</t>
  </si>
  <si>
    <t>420lbs.</t>
  </si>
  <si>
    <t>Speed: 40ft. Similar to a donkey, though infertile, and able to jump</t>
  </si>
  <si>
    <t>Pony</t>
  </si>
  <si>
    <t>225lbs.</t>
  </si>
  <si>
    <t>Riding Horse</t>
  </si>
  <si>
    <t>480lbs.</t>
  </si>
  <si>
    <t>Speed: 60ft.</t>
  </si>
  <si>
    <t>Warhorse</t>
  </si>
  <si>
    <t>Antitoxin</t>
  </si>
  <si>
    <t>1/2 fl oz. vial</t>
  </si>
  <si>
    <t>Potion</t>
  </si>
  <si>
    <t>Potion of Healing</t>
  </si>
  <si>
    <t>Gate Toll</t>
  </si>
  <si>
    <t>per passing</t>
  </si>
  <si>
    <t>Toll</t>
  </si>
  <si>
    <t>Road Toll</t>
  </si>
  <si>
    <t>Ship's Passage</t>
  </si>
  <si>
    <t>Abacus</t>
  </si>
  <si>
    <t>Ball Bearings</t>
  </si>
  <si>
    <t>2 lb. bag of 1,000</t>
  </si>
  <si>
    <t>Fishing Tackle</t>
  </si>
  <si>
    <t>Hammer</t>
  </si>
  <si>
    <t>Ink</t>
  </si>
  <si>
    <t>1 fl oz. bottle</t>
  </si>
  <si>
    <t>Ink Pen</t>
  </si>
  <si>
    <t>Lock</t>
  </si>
  <si>
    <t>Merchant's Scale</t>
  </si>
  <si>
    <t>Portable Ram</t>
  </si>
  <si>
    <t>35 lb.</t>
  </si>
  <si>
    <t>Heavy metal bar with two handholds, used for quickly and noisily beating down locked doors.</t>
  </si>
  <si>
    <t>Sledgehammer</t>
  </si>
  <si>
    <t>Whetstone</t>
  </si>
  <si>
    <t>Hansom (Intercity)</t>
  </si>
  <si>
    <t>Cab ride per mile</t>
  </si>
  <si>
    <t>Transport</t>
  </si>
  <si>
    <t>Hansom (Local)</t>
  </si>
  <si>
    <t>Cab ride per trip within a city</t>
  </si>
  <si>
    <t>Carriage</t>
  </si>
  <si>
    <t>600 lbs.</t>
  </si>
  <si>
    <t>Vehicle</t>
  </si>
  <si>
    <t>Cart</t>
  </si>
  <si>
    <t>200 lbs.</t>
  </si>
  <si>
    <t>Chariot</t>
  </si>
  <si>
    <t>100 lbs.</t>
  </si>
  <si>
    <t>Sled</t>
  </si>
  <si>
    <t>300 lbs.</t>
  </si>
  <si>
    <t>Wagon</t>
  </si>
  <si>
    <t>400 lbs.</t>
  </si>
  <si>
    <t>Acid</t>
  </si>
  <si>
    <t>1 lb. vial</t>
  </si>
  <si>
    <t>Alchemist’s Fire</t>
  </si>
  <si>
    <t>1 lb. flask</t>
  </si>
  <si>
    <t>Arcane Focus (Crystal)</t>
  </si>
  <si>
    <t>Arcane Focus (Orb)</t>
  </si>
  <si>
    <t>Arcane Focus (Rod)</t>
  </si>
  <si>
    <t>Arcane Focus (Staff)</t>
  </si>
  <si>
    <t>Arcane Focus (Wand)</t>
  </si>
  <si>
    <t>Battleaxe</t>
  </si>
  <si>
    <t>Blowgun</t>
  </si>
  <si>
    <t>Caltrops</t>
  </si>
  <si>
    <t>2 lb. bag of 20</t>
  </si>
  <si>
    <t>Club</t>
  </si>
  <si>
    <t>Dagger</t>
  </si>
  <si>
    <t>Dart</t>
  </si>
  <si>
    <t>Druidic Focus (Sprig of Mistletoe)</t>
  </si>
  <si>
    <t>Druidic Focus (Totem)</t>
  </si>
  <si>
    <t>Druidic Focus (Wooden Staff)</t>
  </si>
  <si>
    <t>Druidic Focus (Yew Wand)</t>
  </si>
  <si>
    <t>Glaive</t>
  </si>
  <si>
    <t>Greataxe</t>
  </si>
  <si>
    <t>Greatclub</t>
  </si>
  <si>
    <t>Greatsword</t>
  </si>
  <si>
    <t>Halberd</t>
  </si>
  <si>
    <t>Hand Crossbow</t>
  </si>
  <si>
    <t>Heavy Crossbow</t>
  </si>
  <si>
    <t>18 lb.</t>
  </si>
  <si>
    <t>Holy Symbol (Amulet)</t>
  </si>
  <si>
    <t>Holy Symbol (Emblem)</t>
  </si>
  <si>
    <t>Holy Symbol (Reliquary)</t>
  </si>
  <si>
    <t>Holy Water</t>
  </si>
  <si>
    <t>Javelin</t>
  </si>
  <si>
    <t>Light Crossbow</t>
  </si>
  <si>
    <t>Light Hammer</t>
  </si>
  <si>
    <t>Longbow</t>
  </si>
  <si>
    <t>Mace</t>
  </si>
  <si>
    <t>Morningstar</t>
  </si>
  <si>
    <t>Net</t>
  </si>
  <si>
    <t>Pike</t>
  </si>
  <si>
    <t>Quarterstaff</t>
  </si>
  <si>
    <t>Quiver</t>
  </si>
  <si>
    <t>Shortbow</t>
  </si>
  <si>
    <t>Sickle</t>
  </si>
  <si>
    <t>Sling</t>
  </si>
  <si>
    <t>Trident</t>
  </si>
  <si>
    <t>Whip</t>
  </si>
  <si>
    <t>Female Knucklehead Trout</t>
  </si>
  <si>
    <t>1 fish, 50 lb.</t>
  </si>
  <si>
    <t>An enormous fish found only in the lakes of Icewind Dale. The bones are also used to make valuable carvings and sculptures known as Scrimshaw. Provides raw materials for 5 such pieces.</t>
  </si>
  <si>
    <t>Male Knucklehead Trout</t>
  </si>
  <si>
    <t>1 fish, 70lb.</t>
  </si>
  <si>
    <t>An enormous fish found only in the lakes of Icewind Dale. The bones are also used to make valuable carvings and sculptures known as Scrimshaw. Provides raw materials for 7 such pieces.</t>
  </si>
  <si>
    <t>Magnificent Scrimshaw</t>
  </si>
  <si>
    <t>1 carving, 1 lb.</t>
  </si>
  <si>
    <t>An intricate bone carving, beautifully formed from the ivory-like bones of a Knucklehead trout.</t>
  </si>
  <si>
    <t>Amateur Scrimshaw</t>
  </si>
  <si>
    <t>An artisinal bone carving, made from the ivory-like bones of a Knucklehead trout.</t>
  </si>
  <si>
    <t>Alchemist’s Supplies</t>
  </si>
  <si>
    <t>This kit includes the basic items needed by those proficient in alchemy to pursue their craft.</t>
  </si>
  <si>
    <t>Brewer’s Supplies</t>
  </si>
  <si>
    <t>9 lb.</t>
  </si>
  <si>
    <t>This kit includes the basic items needed by those proficient in brewery to pursue their craft.</t>
  </si>
  <si>
    <t>Calligrapher's Supplies</t>
  </si>
  <si>
    <t>This kit includes the basic items needed by those proficient in calligraphy to pursue their craft.</t>
  </si>
  <si>
    <t>Carpenter’s Tools</t>
  </si>
  <si>
    <t>This kit includes the basic items needed by those proficient in carpentry to pursue their craft.</t>
  </si>
  <si>
    <t>Cartographer’s Tools</t>
  </si>
  <si>
    <t>This kit includes the basic items needed by those proficient in cartography to pursue their craft.</t>
  </si>
  <si>
    <t>Cobbler’s Tools</t>
  </si>
  <si>
    <t>This kit includes the basic items needed by those proficient in cobbling to pursue their craft.</t>
  </si>
  <si>
    <t>Cook’s Utensils</t>
  </si>
  <si>
    <t>This kit includes the basic items needed by those proficient in cooking to pursue their craft.</t>
  </si>
  <si>
    <t>Glassblower’s Tools</t>
  </si>
  <si>
    <t>This kit includes the basic items needed by those proficient in glassblowing to pursue their craft.</t>
  </si>
  <si>
    <t>Jeweler’s Tools</t>
  </si>
  <si>
    <t>This kit includes the basic items needed by those proficient in jewelling to pursue their craft.</t>
  </si>
  <si>
    <t>Leatherworker’s Tools</t>
  </si>
  <si>
    <t>This kit includes the basic items needed by those proficient in leatherwork to pursue their craft.</t>
  </si>
  <si>
    <t>Painter’s Supplies</t>
  </si>
  <si>
    <t>This kit includes the basic items needed by those proficient in painting to pursue their craft.</t>
  </si>
  <si>
    <t>Potter’s Tools</t>
  </si>
  <si>
    <t>This kit includes the basic items needed by those proficient in pottery to pursue their craft.</t>
  </si>
  <si>
    <t>Weaver’s Tools</t>
  </si>
  <si>
    <t>This kit includes the basic items needed by those proficient in weaving to pursue their craft.</t>
  </si>
  <si>
    <t>Dice Set</t>
  </si>
  <si>
    <t>Playing Card Set</t>
  </si>
  <si>
    <t>A standard set of playing cards, made of thin layered pasteboard.</t>
  </si>
  <si>
    <t>Bagpipes</t>
  </si>
  <si>
    <t>A set of enclosed-reed pipes fed a constant supply of air via a mouth-fed, arm-compressed, airtight bag. Different notes can be produced by covering and uncovering holes in the chanter, which protudes from the base of the bag.</t>
  </si>
  <si>
    <t>Drum</t>
  </si>
  <si>
    <t>A specially-treated animal skin tightly drawn over a wooden frame. Produces loud backing when rhythmically struck.</t>
  </si>
  <si>
    <t>Dulcimer</t>
  </si>
  <si>
    <t>A broad soundboard in the shape of airregular trapenzoid; tuned strings are stretched across it, which are typically played from the seated position when placed on a table, by repeated striking with delicate hammers.</t>
  </si>
  <si>
    <t>Flute</t>
  </si>
  <si>
    <t>A thick ashwood flute.</t>
  </si>
  <si>
    <t>Lute</t>
  </si>
  <si>
    <t>A plucked string instument similar to an acoustic guitar, with a smaller and more rounded soundbox, and a tuning apparatus angled sharply back.</t>
  </si>
  <si>
    <t>Lyre</t>
  </si>
  <si>
    <t>A harp-like instrument, U-shaped and small enough to be played on one's lap when seated, or held to one side when standing.</t>
  </si>
  <si>
    <t>Horn</t>
  </si>
  <si>
    <t>A simple horn, carven from a horn or tusk, with a series of holes that change the note produced when covered.</t>
  </si>
  <si>
    <t>Pan Flute</t>
  </si>
  <si>
    <t>A series of eighteen reeds, dried and bound together with twine. Each is progressively longer than the last, so as to produce a different note when air is blown across the end.</t>
  </si>
  <si>
    <t>Shawm</t>
  </si>
  <si>
    <t>A double-reeded woodwind instrument with a flared end, played similarly to an oboe.</t>
  </si>
  <si>
    <t>Viol</t>
  </si>
  <si>
    <t>A violin-like six-stringed instrument - though larger than a violin, and played upright, held between the legs.</t>
  </si>
  <si>
    <t>Navigator’s Tools</t>
  </si>
  <si>
    <t>This kit includes the basic items needed by proficient navigators to pursue their craft.</t>
  </si>
  <si>
    <t>Spell Name</t>
  </si>
  <si>
    <t>School</t>
  </si>
  <si>
    <t>Components</t>
  </si>
  <si>
    <t>Component Description</t>
  </si>
  <si>
    <t>Base Component Cost</t>
  </si>
  <si>
    <t>Current Component Cost</t>
  </si>
  <si>
    <t>Viability (Max. Time Since Death)</t>
  </si>
  <si>
    <t>Casting Time (Seconds)</t>
  </si>
  <si>
    <t>Prep Time (Seconds)</t>
  </si>
  <si>
    <t>Spellcaster Man-hour Cost</t>
  </si>
  <si>
    <t>Effect</t>
  </si>
  <si>
    <t>Spell Type</t>
  </si>
  <si>
    <t>Total Spell Cost</t>
  </si>
  <si>
    <t>Revivify</t>
  </si>
  <si>
    <t>Necromancy</t>
  </si>
  <si>
    <t>V, S, M</t>
  </si>
  <si>
    <t>Diamonds</t>
  </si>
  <si>
    <t>1 Minute</t>
  </si>
  <si>
    <t>1 Action</t>
  </si>
  <si>
    <t>Return to life, 1HP.</t>
  </si>
  <si>
    <t>Raise Dead</t>
  </si>
  <si>
    <t>One Large Diamond</t>
  </si>
  <si>
    <t>10 Days</t>
  </si>
  <si>
    <t>1 hour</t>
  </si>
  <si>
    <t>Resurrection</t>
  </si>
  <si>
    <t>100 Years</t>
  </si>
  <si>
    <t>Diamonds and Holy Water (Sprinkle)</t>
  </si>
  <si>
    <t>200 Years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</si>
</sst>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 ### ##0&quot;gp&quot;. 0&quot;sp&quot; 0&quot;cp&quot;"/>
    <numFmt numFmtId="166" formatCode="[h]&quot;h, &quot;mm&quot;m, &quot; ss&quot;s&quot;"/>
  </numFmts>
  <fonts count="12">
    <font>
      <sz val="10.0"/>
      <color rgb="FF000000"/>
      <name val="Arial"/>
      <scheme val="minor"/>
    </font>
    <font>
      <b/>
      <color theme="1"/>
      <name val="Arial"/>
      <scheme val="minor"/>
    </font>
    <font>
      <color theme="1"/>
      <name val="Arial"/>
      <scheme val="minor"/>
    </font>
    <font>
      <b/>
      <sz val="12.0"/>
      <color rgb="FFFFFFFF"/>
      <name val="Arial"/>
      <scheme val="minor"/>
    </font>
    <font/>
    <font>
      <i/>
      <color theme="1"/>
      <name val="Arial"/>
      <scheme val="minor"/>
    </font>
    <font>
      <b/>
      <color rgb="FFFFFFFF"/>
      <name val="Arial"/>
      <scheme val="minor"/>
    </font>
    <font>
      <sz val="9.0"/>
      <color theme="1"/>
      <name val="Arial"/>
      <scheme val="minor"/>
    </font>
    <font>
      <b/>
      <sz val="9.0"/>
      <color rgb="FFFFFFFF"/>
      <name val="Arial"/>
      <scheme val="minor"/>
    </font>
    <font>
      <b/>
      <sz val="11.0"/>
      <color rgb="FFFFFFFF"/>
      <name val="Arial"/>
      <scheme val="minor"/>
    </font>
    <font>
      <sz val="12.0"/>
      <color theme="1"/>
      <name val="Arial"/>
      <scheme val="minor"/>
    </font>
    <font>
      <color rgb="FF000000"/>
      <name val="Arial"/>
    </font>
  </fonts>
  <fills count="13">
    <fill>
      <patternFill patternType="none"/>
    </fill>
    <fill>
      <patternFill patternType="lightGray"/>
    </fill>
    <fill>
      <patternFill patternType="solid">
        <fgColor rgb="FF26A69A"/>
        <bgColor rgb="FF26A69A"/>
      </patternFill>
    </fill>
    <fill>
      <patternFill patternType="solid">
        <fgColor rgb="FFDDF2F0"/>
        <bgColor rgb="FFDDF2F0"/>
      </patternFill>
    </fill>
    <fill>
      <patternFill patternType="solid">
        <fgColor rgb="FF8989EB"/>
        <bgColor rgb="FF8989EB"/>
      </patternFill>
    </fill>
    <fill>
      <patternFill patternType="solid">
        <fgColor theme="0"/>
        <bgColor theme="0"/>
      </patternFill>
    </fill>
    <fill>
      <patternFill patternType="solid">
        <fgColor rgb="FFF6B26B"/>
        <bgColor rgb="FFF6B26B"/>
      </patternFill>
    </fill>
    <fill>
      <patternFill patternType="solid">
        <fgColor rgb="FFD9D9D9"/>
        <bgColor rgb="FFD9D9D9"/>
      </patternFill>
    </fill>
    <fill>
      <patternFill patternType="solid">
        <fgColor rgb="FFFFD966"/>
        <bgColor rgb="FFFFD966"/>
      </patternFill>
    </fill>
    <fill>
      <patternFill patternType="solid">
        <fgColor rgb="FFB7B7B7"/>
        <bgColor rgb="FFB7B7B7"/>
      </patternFill>
    </fill>
    <fill>
      <patternFill patternType="solid">
        <fgColor rgb="FF6D9EEB"/>
        <bgColor rgb="FF6D9EEB"/>
      </patternFill>
    </fill>
    <fill>
      <patternFill patternType="solid">
        <fgColor rgb="FFFFFFFF"/>
        <bgColor rgb="FFFFFFFF"/>
      </patternFill>
    </fill>
    <fill>
      <patternFill patternType="solid">
        <fgColor rgb="FFD9D2E9"/>
        <bgColor rgb="FFD9D2E9"/>
      </patternFill>
    </fill>
  </fills>
  <borders count="19">
    <border/>
    <border>
      <left style="thick">
        <color rgb="FF26A69A"/>
      </left>
      <top style="thick">
        <color rgb="FF26A69A"/>
      </top>
    </border>
    <border>
      <right style="thick">
        <color rgb="FF26A69A"/>
      </right>
      <top style="thick">
        <color rgb="FF26A69A"/>
      </top>
    </border>
    <border>
      <left style="thick">
        <color rgb="FF26A69A"/>
      </left>
    </border>
    <border>
      <right style="thick">
        <color rgb="FF26A69A"/>
      </right>
    </border>
    <border>
      <left style="thick">
        <color rgb="FF26A69A"/>
      </left>
      <bottom style="thick">
        <color rgb="FF26A69A"/>
      </bottom>
    </border>
    <border>
      <right style="thick">
        <color rgb="FF26A69A"/>
      </right>
      <bottom style="thick">
        <color rgb="FF26A69A"/>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F6B26B"/>
      </left>
      <top style="thick">
        <color rgb="FFF6B26B"/>
      </top>
    </border>
    <border>
      <right style="thick">
        <color rgb="FFF6B26B"/>
      </right>
      <top style="thick">
        <color rgb="FFF6B26B"/>
      </top>
    </border>
    <border>
      <left style="thick">
        <color rgb="FFF6B26B"/>
      </left>
    </border>
    <border>
      <right style="thick">
        <color rgb="FFF6B26B"/>
      </right>
    </border>
    <border>
      <left style="thick">
        <color rgb="FFF6B26B"/>
      </left>
      <bottom style="thick">
        <color rgb="FFF6B26B"/>
      </bottom>
    </border>
    <border>
      <right style="thick">
        <color rgb="FFF6B26B"/>
      </right>
      <bottom style="thick">
        <color rgb="FFF6B26B"/>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readingOrder="0"/>
    </xf>
    <xf borderId="0" fillId="2" fontId="3" numFmtId="0" xfId="0" applyAlignment="1" applyFill="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Alignment="1" applyFont="1">
      <alignment readingOrder="0" shrinkToFit="0" wrapText="1"/>
    </xf>
    <xf borderId="0" fillId="0" fontId="1" numFmtId="0" xfId="0" applyAlignment="1" applyFont="1">
      <alignment horizontal="right"/>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1" fillId="3" fontId="1" numFmtId="0" xfId="0" applyAlignment="1" applyBorder="1" applyFill="1" applyFont="1">
      <alignment horizontal="right" readingOrder="0"/>
    </xf>
    <xf borderId="2" fillId="0" fontId="2" numFmtId="0" xfId="0" applyAlignment="1" applyBorder="1" applyFont="1">
      <alignment readingOrder="0" shrinkToFit="0" vertical="top" wrapText="1"/>
    </xf>
    <xf borderId="3" fillId="3" fontId="1" numFmtId="0" xfId="0" applyAlignment="1" applyBorder="1" applyFont="1">
      <alignment horizontal="right"/>
    </xf>
    <xf borderId="4" fillId="0" fontId="4" numFmtId="0" xfId="0" applyBorder="1" applyFont="1"/>
    <xf borderId="0" fillId="0" fontId="2" numFmtId="164" xfId="0" applyFont="1" applyNumberFormat="1"/>
    <xf borderId="0" fillId="0" fontId="2" numFmtId="0" xfId="0" applyFont="1"/>
    <xf borderId="0" fillId="0" fontId="2" numFmtId="0" xfId="0" applyAlignment="1" applyFont="1">
      <alignment shrinkToFit="0" wrapText="1"/>
    </xf>
    <xf borderId="5" fillId="3" fontId="1" numFmtId="0" xfId="0" applyAlignment="1" applyBorder="1" applyFont="1">
      <alignment horizontal="right" readingOrder="0"/>
    </xf>
    <xf borderId="6" fillId="0" fontId="4" numFmtId="0" xfId="0" applyBorder="1" applyFont="1"/>
    <xf borderId="0" fillId="0" fontId="5" numFmtId="0" xfId="0" applyAlignment="1" applyFont="1">
      <alignment horizontal="right" readingOrder="0"/>
    </xf>
    <xf borderId="0" fillId="0" fontId="2" numFmtId="0" xfId="0" applyAlignment="1" applyFont="1">
      <alignment horizontal="left" readingOrder="0" shrinkToFit="0" vertical="top" wrapText="1"/>
    </xf>
    <xf borderId="7" fillId="0" fontId="5" numFmtId="0" xfId="0" applyAlignment="1" applyBorder="1" applyFont="1">
      <alignment horizontal="right" readingOrder="0"/>
    </xf>
    <xf borderId="8" fillId="0" fontId="2" numFmtId="0" xfId="0" applyAlignment="1" applyBorder="1" applyFont="1">
      <alignment horizontal="left" readingOrder="0" shrinkToFit="0" vertical="top" wrapText="1"/>
    </xf>
    <xf borderId="9" fillId="0" fontId="1" numFmtId="0" xfId="0" applyAlignment="1" applyBorder="1" applyFont="1">
      <alignment horizontal="right"/>
    </xf>
    <xf borderId="10" fillId="0" fontId="4" numFmtId="0" xfId="0" applyBorder="1" applyFont="1"/>
    <xf borderId="9" fillId="4" fontId="6" numFmtId="165" xfId="0" applyAlignment="1" applyBorder="1" applyFill="1" applyFont="1" applyNumberFormat="1">
      <alignment horizontal="right" readingOrder="0"/>
    </xf>
    <xf borderId="10" fillId="0" fontId="2" numFmtId="0" xfId="0" applyAlignment="1" applyBorder="1" applyFont="1">
      <alignment readingOrder="0"/>
    </xf>
    <xf borderId="9" fillId="5" fontId="6" numFmtId="165" xfId="0" applyAlignment="1" applyBorder="1" applyFill="1" applyFont="1" applyNumberFormat="1">
      <alignment horizontal="right" readingOrder="0"/>
    </xf>
    <xf borderId="10" fillId="0" fontId="5" numFmtId="0" xfId="0" applyAlignment="1" applyBorder="1" applyFont="1">
      <alignment readingOrder="0"/>
    </xf>
    <xf borderId="11" fillId="4" fontId="6" numFmtId="165" xfId="0" applyAlignment="1" applyBorder="1" applyFont="1" applyNumberFormat="1">
      <alignment horizontal="right" readingOrder="0"/>
    </xf>
    <xf borderId="12" fillId="0" fontId="2" numFmtId="0" xfId="0" applyAlignment="1" applyBorder="1" applyFont="1">
      <alignment readingOrder="0"/>
    </xf>
    <xf borderId="9" fillId="6" fontId="7" numFmtId="0" xfId="0" applyAlignment="1" applyBorder="1" applyFill="1" applyFont="1">
      <alignment horizontal="right" readingOrder="0"/>
    </xf>
    <xf borderId="9" fillId="7" fontId="7" numFmtId="0" xfId="0" applyAlignment="1" applyBorder="1" applyFill="1" applyFont="1">
      <alignment horizontal="right" readingOrder="0"/>
    </xf>
    <xf borderId="9" fillId="8" fontId="7" numFmtId="0" xfId="0" applyAlignment="1" applyBorder="1" applyFill="1" applyFont="1">
      <alignment horizontal="right" readingOrder="0"/>
    </xf>
    <xf borderId="11" fillId="9" fontId="8" numFmtId="0" xfId="0" applyAlignment="1" applyBorder="1" applyFill="1" applyFont="1">
      <alignment horizontal="right" readingOrder="0"/>
    </xf>
    <xf borderId="0" fillId="0" fontId="1" numFmtId="0" xfId="0" applyAlignment="1" applyFont="1">
      <alignment readingOrder="0"/>
    </xf>
    <xf borderId="0" fillId="10" fontId="6" numFmtId="0" xfId="0" applyAlignment="1" applyFill="1" applyFont="1">
      <alignment readingOrder="0"/>
    </xf>
    <xf borderId="0" fillId="0" fontId="2" numFmtId="0" xfId="0" applyFont="1"/>
    <xf borderId="0" fillId="4" fontId="9" numFmtId="0" xfId="0" applyFont="1"/>
    <xf borderId="0" fillId="4" fontId="9" numFmtId="165" xfId="0" applyFont="1" applyNumberFormat="1"/>
    <xf borderId="0" fillId="0" fontId="2" numFmtId="165" xfId="0" applyFont="1" applyNumberFormat="1"/>
    <xf borderId="0" fillId="0" fontId="1" numFmtId="0" xfId="0" applyAlignment="1" applyFont="1">
      <alignment horizontal="left" readingOrder="0" vertical="top"/>
    </xf>
    <xf borderId="13" fillId="0" fontId="2" numFmtId="0" xfId="0" applyAlignment="1" applyBorder="1" applyFont="1">
      <alignment readingOrder="0"/>
    </xf>
    <xf borderId="14" fillId="0" fontId="2" numFmtId="165" xfId="0" applyBorder="1" applyFont="1" applyNumberFormat="1"/>
    <xf borderId="15" fillId="0" fontId="5" numFmtId="0" xfId="0" applyAlignment="1" applyBorder="1" applyFont="1">
      <alignment readingOrder="0"/>
    </xf>
    <xf borderId="16" fillId="0" fontId="5" numFmtId="166" xfId="0" applyAlignment="1" applyBorder="1" applyFont="1" applyNumberFormat="1">
      <alignment horizontal="left"/>
    </xf>
    <xf borderId="16" fillId="0" fontId="5" numFmtId="0" xfId="0" applyAlignment="1" applyBorder="1" applyFont="1">
      <alignment horizontal="left"/>
    </xf>
    <xf borderId="15" fillId="0" fontId="2" numFmtId="0" xfId="0" applyAlignment="1" applyBorder="1" applyFont="1">
      <alignment readingOrder="0"/>
    </xf>
    <xf borderId="16" fillId="0" fontId="2" numFmtId="165" xfId="0" applyBorder="1" applyFont="1" applyNumberFormat="1"/>
    <xf borderId="17" fillId="0" fontId="1" numFmtId="0" xfId="0" applyAlignment="1" applyBorder="1" applyFont="1">
      <alignment readingOrder="0" vertical="center"/>
    </xf>
    <xf borderId="18" fillId="0" fontId="10" numFmtId="165" xfId="0" applyAlignment="1" applyBorder="1" applyFont="1" applyNumberFormat="1">
      <alignment vertical="center"/>
    </xf>
    <xf borderId="0" fillId="0" fontId="1" numFmtId="0" xfId="0" applyAlignment="1" applyFont="1">
      <alignment vertical="center"/>
    </xf>
    <xf borderId="0" fillId="4" fontId="9" numFmtId="0" xfId="0" applyAlignment="1" applyFont="1">
      <alignment readingOrder="0"/>
    </xf>
    <xf borderId="0" fillId="0" fontId="10" numFmtId="165" xfId="0" applyAlignment="1" applyFont="1" applyNumberFormat="1">
      <alignment vertical="center"/>
    </xf>
    <xf borderId="0" fillId="0" fontId="2" numFmtId="0" xfId="0" applyAlignment="1" applyFont="1">
      <alignment horizontal="left"/>
    </xf>
    <xf borderId="0" fillId="0" fontId="2" numFmtId="0" xfId="0" applyAlignment="1" applyFont="1">
      <alignment readingOrder="0"/>
    </xf>
    <xf borderId="0" fillId="4" fontId="1" numFmtId="0" xfId="0" applyAlignment="1" applyFont="1">
      <alignment readingOrder="0"/>
    </xf>
    <xf borderId="0" fillId="4" fontId="1" numFmtId="165" xfId="0" applyAlignment="1" applyFont="1" applyNumberFormat="1">
      <alignment readingOrder="0"/>
    </xf>
    <xf borderId="0" fillId="0" fontId="1" numFmtId="0" xfId="0" applyFont="1"/>
    <xf borderId="0" fillId="4" fontId="1" numFmtId="165" xfId="0" applyAlignment="1" applyFont="1" applyNumberFormat="1">
      <alignment readingOrder="0"/>
    </xf>
    <xf borderId="0" fillId="11" fontId="2" numFmtId="0" xfId="0" applyAlignment="1" applyFill="1" applyFont="1">
      <alignment readingOrder="0"/>
    </xf>
    <xf borderId="0" fillId="11" fontId="2" numFmtId="165" xfId="0" applyFont="1" applyNumberFormat="1"/>
    <xf borderId="0" fillId="11" fontId="2" numFmtId="0" xfId="0" applyFont="1"/>
    <xf borderId="0" fillId="11" fontId="2" numFmtId="165" xfId="0" applyAlignment="1" applyFont="1" applyNumberFormat="1">
      <alignment readingOrder="0"/>
    </xf>
    <xf borderId="0" fillId="11" fontId="2" numFmtId="165" xfId="0" applyAlignment="1" applyFont="1" applyNumberFormat="1">
      <alignment readingOrder="0"/>
    </xf>
    <xf borderId="0" fillId="11" fontId="2" numFmtId="0" xfId="0" applyAlignment="1" applyFont="1">
      <alignment readingOrder="0"/>
    </xf>
    <xf borderId="0" fillId="12" fontId="2" numFmtId="0" xfId="0" applyAlignment="1" applyFill="1" applyFont="1">
      <alignment readingOrder="0"/>
    </xf>
    <xf borderId="0" fillId="12" fontId="2" numFmtId="165" xfId="0" applyFont="1" applyNumberFormat="1"/>
    <xf borderId="0" fillId="12" fontId="2" numFmtId="0" xfId="0" applyFont="1"/>
    <xf borderId="0" fillId="12" fontId="2" numFmtId="165" xfId="0" applyAlignment="1" applyFont="1" applyNumberFormat="1">
      <alignment readingOrder="0"/>
    </xf>
    <xf borderId="0" fillId="12" fontId="2" numFmtId="165" xfId="0" applyAlignment="1" applyFont="1" applyNumberFormat="1">
      <alignment readingOrder="0"/>
    </xf>
    <xf borderId="0" fillId="12" fontId="2" numFmtId="0" xfId="0" applyAlignment="1" applyFont="1">
      <alignment readingOrder="0"/>
    </xf>
    <xf borderId="0" fillId="12" fontId="11" numFmtId="0" xfId="0" applyAlignment="1" applyFont="1">
      <alignment horizontal="left" readingOrder="0"/>
    </xf>
    <xf borderId="0" fillId="0" fontId="2" numFmtId="165" xfId="0" applyFont="1" applyNumberFormat="1"/>
    <xf borderId="0" fillId="0" fontId="2" numFmtId="0" xfId="0" applyAlignment="1" applyFont="1">
      <alignment readingOrder="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readingOrder="0"/>
    </xf>
    <xf borderId="0" fillId="0" fontId="2" numFmtId="165" xfId="0" applyAlignment="1" applyFont="1" applyNumberFormat="1">
      <alignment readingOrder="0"/>
    </xf>
  </cellXfs>
  <cellStyles count="1">
    <cellStyle xfId="0" name="Normal" builtinId="0"/>
  </cellStyles>
  <dxfs count="9">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
      <font/>
      <fill>
        <patternFill patternType="solid">
          <fgColor rgb="FFFFD966"/>
          <bgColor rgb="FFFFD966"/>
        </patternFill>
      </fill>
      <border/>
    </dxf>
    <dxf>
      <font/>
      <fill>
        <patternFill patternType="solid">
          <fgColor rgb="FFD9D9D9"/>
          <bgColor rgb="FFD9D9D9"/>
        </patternFill>
      </fill>
      <border/>
    </dxf>
    <dxf>
      <font/>
      <fill>
        <patternFill patternType="solid">
          <fgColor rgb="FFF6B26B"/>
          <bgColor rgb="FFF6B26B"/>
        </patternFill>
      </fill>
      <border/>
    </dxf>
    <dxf>
      <font>
        <b/>
        <color rgb="FFFFFFFF"/>
      </font>
      <fill>
        <patternFill patternType="solid">
          <fgColor rgb="FFB7B7B7"/>
          <bgColor rgb="FFB7B7B7"/>
        </patternFill>
      </fill>
      <border/>
    </dxf>
    <dxf>
      <font>
        <i/>
        <color rgb="FF999999"/>
      </font>
      <fill>
        <patternFill patternType="none"/>
      </fill>
      <border/>
    </dxf>
  </dxfs>
  <tableStyles count="1">
    <tableStyle count="3" pivot="0" name="Instruc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E1:H997" displayName="Table_1" id="1">
  <tableColumns count="4">
    <tableColumn name="Version" id="1"/>
    <tableColumn name="Date" id="2"/>
    <tableColumn name="Author" id="3"/>
    <tableColumn name="Description" id="4"/>
  </tableColumns>
  <tableStyleInfo name="Instruc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73.25"/>
    <col customWidth="1" min="4" max="4" width="17.5"/>
    <col customWidth="1" min="8" max="8" width="216.25"/>
  </cols>
  <sheetData>
    <row r="1">
      <c r="A1" s="1" t="s">
        <v>0</v>
      </c>
      <c r="B1" s="2" t="s">
        <v>1</v>
      </c>
      <c r="D1" s="3" t="s">
        <v>2</v>
      </c>
      <c r="E1" s="4" t="s">
        <v>3</v>
      </c>
      <c r="F1" s="5" t="s">
        <v>4</v>
      </c>
      <c r="G1" s="5" t="s">
        <v>5</v>
      </c>
      <c r="H1" s="6" t="s">
        <v>6</v>
      </c>
    </row>
    <row r="2">
      <c r="A2" s="7"/>
      <c r="E2" s="8">
        <v>0.1</v>
      </c>
      <c r="F2" s="9" t="s">
        <v>7</v>
      </c>
      <c r="G2" s="9" t="s">
        <v>8</v>
      </c>
      <c r="H2" s="10" t="s">
        <v>9</v>
      </c>
    </row>
    <row r="3">
      <c r="A3" s="11" t="s">
        <v>10</v>
      </c>
      <c r="B3" s="12" t="s">
        <v>11</v>
      </c>
      <c r="E3" s="8">
        <v>0.2</v>
      </c>
      <c r="F3" s="9" t="s">
        <v>12</v>
      </c>
      <c r="G3" s="9" t="s">
        <v>8</v>
      </c>
      <c r="H3" s="10" t="s">
        <v>13</v>
      </c>
    </row>
    <row r="4">
      <c r="A4" s="13"/>
      <c r="B4" s="14"/>
      <c r="E4" s="8">
        <v>0.3</v>
      </c>
      <c r="F4" s="9" t="s">
        <v>14</v>
      </c>
      <c r="G4" s="9" t="s">
        <v>8</v>
      </c>
      <c r="H4" s="10" t="s">
        <v>15</v>
      </c>
    </row>
    <row r="5">
      <c r="A5" s="13"/>
      <c r="B5" s="14"/>
      <c r="E5" s="8">
        <v>1.0</v>
      </c>
      <c r="F5" s="9" t="s">
        <v>14</v>
      </c>
      <c r="G5" s="9" t="s">
        <v>8</v>
      </c>
      <c r="H5" s="10" t="s">
        <v>16</v>
      </c>
    </row>
    <row r="6">
      <c r="A6" s="13"/>
      <c r="B6" s="14"/>
      <c r="E6" s="8">
        <v>1.1</v>
      </c>
      <c r="F6" s="9" t="s">
        <v>17</v>
      </c>
      <c r="G6" s="9" t="s">
        <v>8</v>
      </c>
      <c r="H6" s="10" t="s">
        <v>18</v>
      </c>
    </row>
    <row r="7">
      <c r="A7" s="13"/>
      <c r="B7" s="14"/>
      <c r="E7" s="8">
        <v>2.0</v>
      </c>
      <c r="F7" s="9" t="s">
        <v>19</v>
      </c>
      <c r="G7" s="9" t="s">
        <v>8</v>
      </c>
      <c r="H7" s="10" t="s">
        <v>20</v>
      </c>
    </row>
    <row r="8">
      <c r="A8" s="13"/>
      <c r="B8" s="14"/>
      <c r="E8" s="15"/>
      <c r="F8" s="16"/>
      <c r="G8" s="16"/>
      <c r="H8" s="17"/>
    </row>
    <row r="9">
      <c r="A9" s="13"/>
      <c r="B9" s="14"/>
      <c r="E9" s="15"/>
      <c r="F9" s="16"/>
      <c r="G9" s="16"/>
      <c r="H9" s="17"/>
    </row>
    <row r="10">
      <c r="A10" s="13"/>
      <c r="B10" s="14"/>
      <c r="E10" s="15"/>
      <c r="F10" s="16"/>
      <c r="G10" s="16"/>
      <c r="H10" s="17"/>
    </row>
    <row r="11">
      <c r="A11" s="13"/>
      <c r="B11" s="14"/>
      <c r="E11" s="15"/>
      <c r="F11" s="16"/>
      <c r="G11" s="16"/>
      <c r="H11" s="17"/>
    </row>
    <row r="12">
      <c r="A12" s="13"/>
      <c r="B12" s="14"/>
      <c r="E12" s="15"/>
      <c r="F12" s="16"/>
      <c r="G12" s="16"/>
      <c r="H12" s="17"/>
    </row>
    <row r="13">
      <c r="A13" s="18"/>
      <c r="B13" s="19"/>
      <c r="E13" s="15"/>
      <c r="F13" s="16"/>
      <c r="G13" s="16"/>
      <c r="H13" s="17"/>
    </row>
    <row r="14">
      <c r="A14" s="20"/>
      <c r="B14" s="21"/>
      <c r="E14" s="15"/>
      <c r="F14" s="16"/>
      <c r="G14" s="16"/>
      <c r="H14" s="17"/>
    </row>
    <row r="15">
      <c r="A15" s="22" t="s">
        <v>21</v>
      </c>
      <c r="B15" s="23" t="s">
        <v>22</v>
      </c>
      <c r="E15" s="15"/>
      <c r="F15" s="16"/>
      <c r="G15" s="16"/>
      <c r="H15" s="17"/>
    </row>
    <row r="16">
      <c r="A16" s="24"/>
      <c r="B16" s="25"/>
      <c r="E16" s="15"/>
      <c r="F16" s="16"/>
      <c r="G16" s="16"/>
      <c r="H16" s="17"/>
    </row>
    <row r="17">
      <c r="A17" s="24"/>
      <c r="B17" s="25"/>
      <c r="E17" s="15"/>
      <c r="F17" s="16"/>
      <c r="G17" s="16"/>
      <c r="H17" s="17"/>
    </row>
    <row r="18">
      <c r="A18" s="26" t="str">
        <f>Pricebook!B1</f>
        <v>Base Buy Price</v>
      </c>
      <c r="B18" s="27" t="s">
        <v>23</v>
      </c>
      <c r="E18" s="15"/>
      <c r="F18" s="16"/>
      <c r="G18" s="16"/>
      <c r="H18" s="17"/>
    </row>
    <row r="19">
      <c r="A19" s="28"/>
      <c r="B19" s="29" t="s">
        <v>24</v>
      </c>
      <c r="E19" s="15"/>
      <c r="F19" s="16"/>
      <c r="G19" s="16"/>
      <c r="H19" s="17"/>
    </row>
    <row r="20">
      <c r="A20" s="26" t="str">
        <f>Pricebook!E1</f>
        <v>Min. Buy Price</v>
      </c>
      <c r="B20" s="27" t="s">
        <v>25</v>
      </c>
      <c r="E20" s="15"/>
      <c r="F20" s="16"/>
      <c r="G20" s="16"/>
      <c r="H20" s="17"/>
    </row>
    <row r="21">
      <c r="A21" s="26" t="str">
        <f>Pricebook!F1</f>
        <v>Low Sell Price</v>
      </c>
      <c r="B21" s="27" t="s">
        <v>26</v>
      </c>
      <c r="E21" s="15"/>
      <c r="F21" s="16"/>
      <c r="G21" s="16"/>
      <c r="H21" s="17"/>
    </row>
    <row r="22">
      <c r="A22" s="30" t="str">
        <f>Pricebook!G1</f>
        <v>Max. Sell Price</v>
      </c>
      <c r="B22" s="31" t="s">
        <v>27</v>
      </c>
      <c r="E22" s="15"/>
      <c r="F22" s="16"/>
      <c r="G22" s="16"/>
      <c r="H22" s="17"/>
    </row>
    <row r="23">
      <c r="A23" s="20"/>
      <c r="B23" s="21"/>
      <c r="E23" s="15"/>
      <c r="F23" s="16"/>
      <c r="G23" s="16"/>
      <c r="H23" s="17"/>
    </row>
    <row r="24">
      <c r="A24" s="22" t="s">
        <v>28</v>
      </c>
      <c r="B24" s="23" t="s">
        <v>29</v>
      </c>
      <c r="E24" s="15"/>
      <c r="F24" s="16"/>
      <c r="G24" s="16"/>
      <c r="H24" s="17"/>
    </row>
    <row r="25">
      <c r="A25" s="24"/>
      <c r="B25" s="25"/>
      <c r="E25" s="15"/>
      <c r="F25" s="16"/>
      <c r="G25" s="16"/>
      <c r="H25" s="17"/>
    </row>
    <row r="26">
      <c r="A26" s="32" t="s">
        <v>30</v>
      </c>
      <c r="B26" s="27" t="s">
        <v>31</v>
      </c>
      <c r="E26" s="15"/>
      <c r="F26" s="16"/>
      <c r="G26" s="16"/>
      <c r="H26" s="17"/>
    </row>
    <row r="27">
      <c r="A27" s="33" t="s">
        <v>32</v>
      </c>
      <c r="B27" s="27" t="s">
        <v>33</v>
      </c>
      <c r="E27" s="15"/>
      <c r="F27" s="16"/>
      <c r="G27" s="16"/>
      <c r="H27" s="17"/>
    </row>
    <row r="28">
      <c r="A28" s="34" t="s">
        <v>30</v>
      </c>
      <c r="B28" s="27" t="s">
        <v>34</v>
      </c>
      <c r="E28" s="15"/>
      <c r="F28" s="16"/>
      <c r="G28" s="16"/>
      <c r="H28" s="17"/>
    </row>
    <row r="29">
      <c r="A29" s="35" t="s">
        <v>35</v>
      </c>
      <c r="B29" s="31" t="s">
        <v>36</v>
      </c>
      <c r="E29" s="15"/>
      <c r="F29" s="16"/>
      <c r="G29" s="16"/>
      <c r="H29" s="17"/>
    </row>
    <row r="30">
      <c r="A30" s="7"/>
      <c r="E30" s="15"/>
      <c r="F30" s="16"/>
      <c r="G30" s="16"/>
      <c r="H30" s="17"/>
    </row>
    <row r="31">
      <c r="A31" s="7"/>
      <c r="E31" s="15"/>
      <c r="F31" s="16"/>
      <c r="G31" s="16"/>
      <c r="H31" s="17"/>
    </row>
    <row r="32">
      <c r="A32" s="7"/>
      <c r="E32" s="15"/>
      <c r="F32" s="16"/>
      <c r="G32" s="16"/>
      <c r="H32" s="17"/>
    </row>
    <row r="33">
      <c r="A33" s="7"/>
      <c r="E33" s="15"/>
      <c r="F33" s="16"/>
      <c r="G33" s="16"/>
      <c r="H33" s="17"/>
    </row>
    <row r="34">
      <c r="A34" s="7"/>
      <c r="E34" s="15"/>
      <c r="F34" s="16"/>
      <c r="G34" s="16"/>
      <c r="H34" s="17"/>
    </row>
    <row r="35">
      <c r="A35" s="7"/>
      <c r="E35" s="15"/>
      <c r="F35" s="16"/>
      <c r="G35" s="16"/>
      <c r="H35" s="17"/>
    </row>
    <row r="36">
      <c r="A36" s="7"/>
      <c r="E36" s="15"/>
      <c r="F36" s="16"/>
      <c r="G36" s="16"/>
      <c r="H36" s="17"/>
    </row>
    <row r="37">
      <c r="A37" s="7"/>
      <c r="E37" s="15"/>
      <c r="F37" s="16"/>
      <c r="G37" s="16"/>
      <c r="H37" s="17"/>
    </row>
    <row r="38">
      <c r="A38" s="7"/>
      <c r="E38" s="15"/>
      <c r="F38" s="16"/>
      <c r="G38" s="16"/>
      <c r="H38" s="17"/>
    </row>
    <row r="39">
      <c r="A39" s="7"/>
      <c r="E39" s="15"/>
      <c r="F39" s="16"/>
      <c r="G39" s="16"/>
      <c r="H39" s="17"/>
    </row>
    <row r="40">
      <c r="A40" s="7"/>
      <c r="E40" s="15"/>
      <c r="F40" s="16"/>
      <c r="G40" s="16"/>
      <c r="H40" s="17"/>
    </row>
    <row r="41">
      <c r="A41" s="7"/>
      <c r="E41" s="15"/>
      <c r="F41" s="16"/>
      <c r="G41" s="16"/>
      <c r="H41" s="17"/>
    </row>
    <row r="42">
      <c r="A42" s="7"/>
      <c r="E42" s="15"/>
      <c r="F42" s="16"/>
      <c r="G42" s="16"/>
      <c r="H42" s="17"/>
    </row>
    <row r="43">
      <c r="A43" s="7"/>
      <c r="E43" s="15"/>
      <c r="F43" s="16"/>
      <c r="G43" s="16"/>
      <c r="H43" s="17"/>
    </row>
    <row r="44">
      <c r="A44" s="7"/>
      <c r="E44" s="15"/>
      <c r="F44" s="16"/>
      <c r="G44" s="16"/>
      <c r="H44" s="17"/>
    </row>
    <row r="45">
      <c r="A45" s="7"/>
      <c r="E45" s="15"/>
      <c r="F45" s="16"/>
      <c r="G45" s="16"/>
      <c r="H45" s="17"/>
    </row>
    <row r="46">
      <c r="A46" s="7"/>
      <c r="E46" s="15"/>
      <c r="F46" s="16"/>
      <c r="G46" s="16"/>
      <c r="H46" s="17"/>
    </row>
    <row r="47">
      <c r="A47" s="7"/>
      <c r="E47" s="15"/>
      <c r="F47" s="16"/>
      <c r="G47" s="16"/>
      <c r="H47" s="17"/>
    </row>
    <row r="48">
      <c r="A48" s="7"/>
      <c r="E48" s="15"/>
      <c r="F48" s="16"/>
      <c r="G48" s="16"/>
      <c r="H48" s="17"/>
    </row>
    <row r="49">
      <c r="A49" s="7"/>
      <c r="E49" s="15"/>
      <c r="F49" s="16"/>
      <c r="G49" s="16"/>
      <c r="H49" s="17"/>
    </row>
    <row r="50">
      <c r="A50" s="7"/>
      <c r="E50" s="15"/>
      <c r="F50" s="16"/>
      <c r="G50" s="16"/>
      <c r="H50" s="17"/>
    </row>
    <row r="51">
      <c r="A51" s="7"/>
      <c r="E51" s="15"/>
      <c r="F51" s="16"/>
      <c r="G51" s="16"/>
      <c r="H51" s="17"/>
    </row>
    <row r="52">
      <c r="A52" s="7"/>
      <c r="E52" s="15"/>
      <c r="F52" s="16"/>
      <c r="G52" s="16"/>
      <c r="H52" s="17"/>
    </row>
    <row r="53">
      <c r="A53" s="7"/>
      <c r="E53" s="15"/>
      <c r="F53" s="16"/>
      <c r="G53" s="16"/>
      <c r="H53" s="17"/>
    </row>
    <row r="54">
      <c r="A54" s="7"/>
      <c r="E54" s="15"/>
      <c r="F54" s="16"/>
      <c r="G54" s="16"/>
      <c r="H54" s="17"/>
    </row>
    <row r="55">
      <c r="A55" s="7"/>
      <c r="E55" s="15"/>
      <c r="F55" s="16"/>
      <c r="G55" s="16"/>
      <c r="H55" s="17"/>
    </row>
    <row r="56">
      <c r="A56" s="7"/>
      <c r="E56" s="15"/>
      <c r="F56" s="16"/>
      <c r="G56" s="16"/>
      <c r="H56" s="17"/>
    </row>
    <row r="57">
      <c r="A57" s="7"/>
      <c r="E57" s="15"/>
      <c r="F57" s="16"/>
      <c r="G57" s="16"/>
      <c r="H57" s="17"/>
    </row>
    <row r="58">
      <c r="A58" s="7"/>
      <c r="E58" s="15"/>
      <c r="F58" s="16"/>
      <c r="G58" s="16"/>
      <c r="H58" s="17"/>
    </row>
    <row r="59">
      <c r="A59" s="7"/>
      <c r="E59" s="15"/>
      <c r="F59" s="16"/>
      <c r="G59" s="16"/>
      <c r="H59" s="17"/>
    </row>
    <row r="60">
      <c r="A60" s="7"/>
      <c r="E60" s="15"/>
      <c r="F60" s="16"/>
      <c r="G60" s="16"/>
      <c r="H60" s="17"/>
    </row>
    <row r="61">
      <c r="A61" s="7"/>
      <c r="E61" s="15"/>
      <c r="F61" s="16"/>
      <c r="G61" s="16"/>
      <c r="H61" s="17"/>
    </row>
    <row r="62">
      <c r="A62" s="7"/>
      <c r="E62" s="15"/>
      <c r="F62" s="16"/>
      <c r="G62" s="16"/>
      <c r="H62" s="17"/>
    </row>
    <row r="63">
      <c r="A63" s="7"/>
      <c r="E63" s="15"/>
      <c r="F63" s="16"/>
      <c r="G63" s="16"/>
      <c r="H63" s="17"/>
    </row>
    <row r="64">
      <c r="A64" s="7"/>
      <c r="E64" s="15"/>
      <c r="F64" s="16"/>
      <c r="G64" s="16"/>
      <c r="H64" s="17"/>
    </row>
    <row r="65">
      <c r="A65" s="7"/>
      <c r="E65" s="15"/>
      <c r="F65" s="16"/>
      <c r="G65" s="16"/>
      <c r="H65" s="17"/>
    </row>
    <row r="66">
      <c r="A66" s="7"/>
      <c r="E66" s="15"/>
      <c r="F66" s="16"/>
      <c r="G66" s="16"/>
      <c r="H66" s="17"/>
    </row>
    <row r="67">
      <c r="A67" s="7"/>
      <c r="E67" s="15"/>
      <c r="F67" s="16"/>
      <c r="G67" s="16"/>
      <c r="H67" s="17"/>
    </row>
    <row r="68">
      <c r="A68" s="7"/>
      <c r="E68" s="15"/>
      <c r="F68" s="16"/>
      <c r="G68" s="16"/>
      <c r="H68" s="17"/>
    </row>
    <row r="69">
      <c r="A69" s="7"/>
      <c r="E69" s="15"/>
      <c r="F69" s="16"/>
      <c r="G69" s="16"/>
      <c r="H69" s="17"/>
    </row>
    <row r="70">
      <c r="A70" s="7"/>
      <c r="E70" s="15"/>
      <c r="F70" s="16"/>
      <c r="G70" s="16"/>
      <c r="H70" s="17"/>
    </row>
    <row r="71">
      <c r="A71" s="7"/>
      <c r="E71" s="15"/>
      <c r="F71" s="16"/>
      <c r="G71" s="16"/>
      <c r="H71" s="17"/>
    </row>
    <row r="72">
      <c r="A72" s="7"/>
      <c r="E72" s="15"/>
      <c r="F72" s="16"/>
      <c r="G72" s="16"/>
      <c r="H72" s="17"/>
    </row>
    <row r="73">
      <c r="A73" s="7"/>
      <c r="E73" s="15"/>
      <c r="F73" s="16"/>
      <c r="G73" s="16"/>
      <c r="H73" s="17"/>
    </row>
    <row r="74">
      <c r="A74" s="7"/>
      <c r="E74" s="15"/>
      <c r="F74" s="16"/>
      <c r="G74" s="16"/>
      <c r="H74" s="17"/>
    </row>
    <row r="75">
      <c r="A75" s="7"/>
      <c r="E75" s="15"/>
      <c r="F75" s="16"/>
      <c r="G75" s="16"/>
      <c r="H75" s="17"/>
    </row>
    <row r="76">
      <c r="A76" s="7"/>
      <c r="E76" s="15"/>
      <c r="F76" s="16"/>
      <c r="G76" s="16"/>
      <c r="H76" s="17"/>
    </row>
    <row r="77">
      <c r="A77" s="7"/>
      <c r="E77" s="15"/>
      <c r="F77" s="16"/>
      <c r="G77" s="16"/>
      <c r="H77" s="17"/>
    </row>
    <row r="78">
      <c r="A78" s="7"/>
      <c r="E78" s="15"/>
      <c r="F78" s="16"/>
      <c r="G78" s="16"/>
      <c r="H78" s="17"/>
    </row>
    <row r="79">
      <c r="A79" s="7"/>
      <c r="E79" s="15"/>
      <c r="F79" s="16"/>
      <c r="G79" s="16"/>
      <c r="H79" s="17"/>
    </row>
    <row r="80">
      <c r="A80" s="7"/>
      <c r="E80" s="15"/>
      <c r="F80" s="16"/>
      <c r="G80" s="16"/>
      <c r="H80" s="17"/>
    </row>
    <row r="81">
      <c r="A81" s="7"/>
      <c r="E81" s="15"/>
      <c r="F81" s="16"/>
      <c r="G81" s="16"/>
      <c r="H81" s="17"/>
    </row>
    <row r="82">
      <c r="A82" s="7"/>
      <c r="E82" s="15"/>
      <c r="F82" s="16"/>
      <c r="G82" s="16"/>
      <c r="H82" s="17"/>
    </row>
    <row r="83">
      <c r="A83" s="7"/>
      <c r="E83" s="15"/>
      <c r="F83" s="16"/>
      <c r="G83" s="16"/>
      <c r="H83" s="17"/>
    </row>
    <row r="84">
      <c r="A84" s="7"/>
      <c r="E84" s="15"/>
      <c r="F84" s="16"/>
      <c r="G84" s="16"/>
      <c r="H84" s="17"/>
    </row>
    <row r="85">
      <c r="A85" s="7"/>
      <c r="E85" s="15"/>
      <c r="F85" s="16"/>
      <c r="G85" s="16"/>
      <c r="H85" s="17"/>
    </row>
    <row r="86">
      <c r="A86" s="7"/>
      <c r="E86" s="15"/>
      <c r="F86" s="16"/>
      <c r="G86" s="16"/>
      <c r="H86" s="17"/>
    </row>
    <row r="87">
      <c r="A87" s="7"/>
      <c r="E87" s="15"/>
      <c r="F87" s="16"/>
      <c r="G87" s="16"/>
      <c r="H87" s="17"/>
    </row>
    <row r="88">
      <c r="A88" s="7"/>
      <c r="E88" s="15"/>
      <c r="F88" s="16"/>
      <c r="G88" s="16"/>
      <c r="H88" s="17"/>
    </row>
    <row r="89">
      <c r="A89" s="7"/>
      <c r="E89" s="15"/>
      <c r="F89" s="16"/>
      <c r="G89" s="16"/>
      <c r="H89" s="17"/>
    </row>
    <row r="90">
      <c r="A90" s="7"/>
      <c r="E90" s="15"/>
      <c r="F90" s="16"/>
      <c r="G90" s="16"/>
      <c r="H90" s="17"/>
    </row>
    <row r="91">
      <c r="A91" s="7"/>
      <c r="E91" s="15"/>
      <c r="F91" s="16"/>
      <c r="G91" s="16"/>
      <c r="H91" s="17"/>
    </row>
    <row r="92">
      <c r="A92" s="7"/>
      <c r="E92" s="15"/>
      <c r="F92" s="16"/>
      <c r="G92" s="16"/>
      <c r="H92" s="17"/>
    </row>
    <row r="93">
      <c r="A93" s="7"/>
      <c r="E93" s="15"/>
      <c r="F93" s="16"/>
      <c r="G93" s="16"/>
      <c r="H93" s="17"/>
    </row>
    <row r="94">
      <c r="A94" s="7"/>
      <c r="E94" s="15"/>
      <c r="F94" s="16"/>
      <c r="G94" s="16"/>
      <c r="H94" s="17"/>
    </row>
    <row r="95">
      <c r="A95" s="7"/>
      <c r="E95" s="15"/>
      <c r="F95" s="16"/>
      <c r="G95" s="16"/>
      <c r="H95" s="17"/>
    </row>
    <row r="96">
      <c r="A96" s="7"/>
      <c r="E96" s="15"/>
      <c r="F96" s="16"/>
      <c r="G96" s="16"/>
      <c r="H96" s="17"/>
    </row>
    <row r="97">
      <c r="A97" s="7"/>
      <c r="E97" s="15"/>
      <c r="F97" s="16"/>
      <c r="G97" s="16"/>
      <c r="H97" s="17"/>
    </row>
    <row r="98">
      <c r="A98" s="7"/>
      <c r="E98" s="15"/>
      <c r="F98" s="16"/>
      <c r="G98" s="16"/>
      <c r="H98" s="17"/>
    </row>
    <row r="99">
      <c r="A99" s="7"/>
      <c r="E99" s="15"/>
      <c r="F99" s="16"/>
      <c r="G99" s="16"/>
      <c r="H99" s="17"/>
    </row>
    <row r="100">
      <c r="A100" s="7"/>
      <c r="E100" s="15"/>
      <c r="F100" s="16"/>
      <c r="G100" s="16"/>
      <c r="H100" s="17"/>
    </row>
    <row r="101">
      <c r="A101" s="7"/>
      <c r="E101" s="15"/>
      <c r="F101" s="16"/>
      <c r="G101" s="16"/>
      <c r="H101" s="17"/>
    </row>
    <row r="102">
      <c r="A102" s="7"/>
      <c r="E102" s="15"/>
      <c r="F102" s="16"/>
      <c r="G102" s="16"/>
      <c r="H102" s="17"/>
    </row>
    <row r="103">
      <c r="A103" s="7"/>
      <c r="E103" s="15"/>
      <c r="F103" s="16"/>
      <c r="G103" s="16"/>
      <c r="H103" s="17"/>
    </row>
    <row r="104">
      <c r="A104" s="7"/>
      <c r="E104" s="15"/>
      <c r="F104" s="16"/>
      <c r="G104" s="16"/>
      <c r="H104" s="17"/>
    </row>
    <row r="105">
      <c r="A105" s="7"/>
      <c r="E105" s="15"/>
      <c r="F105" s="16"/>
      <c r="G105" s="16"/>
      <c r="H105" s="17"/>
    </row>
    <row r="106">
      <c r="A106" s="7"/>
      <c r="E106" s="15"/>
      <c r="F106" s="16"/>
      <c r="G106" s="16"/>
      <c r="H106" s="17"/>
    </row>
    <row r="107">
      <c r="A107" s="7"/>
      <c r="E107" s="15"/>
      <c r="F107" s="16"/>
      <c r="G107" s="16"/>
      <c r="H107" s="17"/>
    </row>
    <row r="108">
      <c r="A108" s="7"/>
      <c r="E108" s="15"/>
      <c r="F108" s="16"/>
      <c r="G108" s="16"/>
      <c r="H108" s="17"/>
    </row>
    <row r="109">
      <c r="A109" s="7"/>
      <c r="E109" s="15"/>
      <c r="F109" s="16"/>
      <c r="G109" s="16"/>
      <c r="H109" s="17"/>
    </row>
    <row r="110">
      <c r="A110" s="7"/>
      <c r="E110" s="15"/>
      <c r="F110" s="16"/>
      <c r="G110" s="16"/>
      <c r="H110" s="17"/>
    </row>
    <row r="111">
      <c r="A111" s="7"/>
      <c r="E111" s="15"/>
      <c r="F111" s="16"/>
      <c r="G111" s="16"/>
      <c r="H111" s="17"/>
    </row>
    <row r="112">
      <c r="A112" s="7"/>
      <c r="E112" s="15"/>
      <c r="F112" s="16"/>
      <c r="G112" s="16"/>
      <c r="H112" s="17"/>
    </row>
    <row r="113">
      <c r="A113" s="7"/>
      <c r="E113" s="15"/>
      <c r="F113" s="16"/>
      <c r="G113" s="16"/>
      <c r="H113" s="17"/>
    </row>
    <row r="114">
      <c r="A114" s="7"/>
      <c r="E114" s="15"/>
      <c r="F114" s="16"/>
      <c r="G114" s="16"/>
      <c r="H114" s="17"/>
    </row>
    <row r="115">
      <c r="A115" s="7"/>
      <c r="E115" s="15"/>
      <c r="F115" s="16"/>
      <c r="G115" s="16"/>
      <c r="H115" s="17"/>
    </row>
    <row r="116">
      <c r="A116" s="7"/>
      <c r="E116" s="15"/>
      <c r="F116" s="16"/>
      <c r="G116" s="16"/>
      <c r="H116" s="17"/>
    </row>
    <row r="117">
      <c r="A117" s="7"/>
      <c r="E117" s="15"/>
      <c r="F117" s="16"/>
      <c r="G117" s="16"/>
      <c r="H117" s="17"/>
    </row>
    <row r="118">
      <c r="A118" s="7"/>
      <c r="E118" s="15"/>
      <c r="F118" s="16"/>
      <c r="G118" s="16"/>
      <c r="H118" s="17"/>
    </row>
    <row r="119">
      <c r="A119" s="7"/>
      <c r="E119" s="15"/>
      <c r="F119" s="16"/>
      <c r="G119" s="16"/>
      <c r="H119" s="17"/>
    </row>
    <row r="120">
      <c r="A120" s="7"/>
      <c r="E120" s="15"/>
      <c r="F120" s="16"/>
      <c r="G120" s="16"/>
      <c r="H120" s="17"/>
    </row>
    <row r="121">
      <c r="A121" s="7"/>
      <c r="E121" s="15"/>
      <c r="F121" s="16"/>
      <c r="G121" s="16"/>
      <c r="H121" s="17"/>
    </row>
    <row r="122">
      <c r="A122" s="7"/>
      <c r="E122" s="15"/>
      <c r="F122" s="16"/>
      <c r="G122" s="16"/>
      <c r="H122" s="17"/>
    </row>
    <row r="123">
      <c r="A123" s="7"/>
      <c r="E123" s="15"/>
      <c r="F123" s="16"/>
      <c r="G123" s="16"/>
      <c r="H123" s="17"/>
    </row>
    <row r="124">
      <c r="A124" s="7"/>
      <c r="E124" s="15"/>
      <c r="F124" s="16"/>
      <c r="G124" s="16"/>
      <c r="H124" s="17"/>
    </row>
    <row r="125">
      <c r="A125" s="7"/>
      <c r="E125" s="15"/>
      <c r="F125" s="16"/>
      <c r="G125" s="16"/>
      <c r="H125" s="17"/>
    </row>
    <row r="126">
      <c r="A126" s="7"/>
      <c r="E126" s="15"/>
      <c r="F126" s="16"/>
      <c r="G126" s="16"/>
      <c r="H126" s="17"/>
    </row>
    <row r="127">
      <c r="A127" s="7"/>
      <c r="E127" s="15"/>
      <c r="F127" s="16"/>
      <c r="G127" s="16"/>
      <c r="H127" s="17"/>
    </row>
    <row r="128">
      <c r="A128" s="7"/>
      <c r="E128" s="15"/>
      <c r="F128" s="16"/>
      <c r="G128" s="16"/>
      <c r="H128" s="17"/>
    </row>
    <row r="129">
      <c r="A129" s="7"/>
      <c r="E129" s="15"/>
      <c r="F129" s="16"/>
      <c r="G129" s="16"/>
      <c r="H129" s="17"/>
    </row>
    <row r="130">
      <c r="A130" s="7"/>
      <c r="E130" s="15"/>
      <c r="F130" s="16"/>
      <c r="G130" s="16"/>
      <c r="H130" s="17"/>
    </row>
    <row r="131">
      <c r="A131" s="7"/>
      <c r="E131" s="15"/>
      <c r="F131" s="16"/>
      <c r="G131" s="16"/>
      <c r="H131" s="17"/>
    </row>
    <row r="132">
      <c r="A132" s="7"/>
      <c r="E132" s="15"/>
      <c r="F132" s="16"/>
      <c r="G132" s="16"/>
      <c r="H132" s="17"/>
    </row>
    <row r="133">
      <c r="A133" s="7"/>
      <c r="E133" s="15"/>
      <c r="F133" s="16"/>
      <c r="G133" s="16"/>
      <c r="H133" s="17"/>
    </row>
    <row r="134">
      <c r="A134" s="7"/>
      <c r="E134" s="15"/>
      <c r="F134" s="16"/>
      <c r="G134" s="16"/>
      <c r="H134" s="17"/>
    </row>
    <row r="135">
      <c r="A135" s="7"/>
      <c r="E135" s="15"/>
      <c r="F135" s="16"/>
      <c r="G135" s="16"/>
      <c r="H135" s="17"/>
    </row>
    <row r="136">
      <c r="A136" s="7"/>
      <c r="E136" s="15"/>
      <c r="F136" s="16"/>
      <c r="G136" s="16"/>
      <c r="H136" s="17"/>
    </row>
    <row r="137">
      <c r="A137" s="7"/>
      <c r="E137" s="15"/>
      <c r="F137" s="16"/>
      <c r="G137" s="16"/>
      <c r="H137" s="17"/>
    </row>
    <row r="138">
      <c r="A138" s="7"/>
      <c r="E138" s="15"/>
      <c r="F138" s="16"/>
      <c r="G138" s="16"/>
      <c r="H138" s="17"/>
    </row>
    <row r="139">
      <c r="A139" s="7"/>
      <c r="E139" s="15"/>
      <c r="F139" s="16"/>
      <c r="G139" s="16"/>
      <c r="H139" s="17"/>
    </row>
    <row r="140">
      <c r="A140" s="7"/>
      <c r="E140" s="15"/>
      <c r="F140" s="16"/>
      <c r="G140" s="16"/>
      <c r="H140" s="17"/>
    </row>
    <row r="141">
      <c r="A141" s="7"/>
      <c r="E141" s="15"/>
      <c r="F141" s="16"/>
      <c r="G141" s="16"/>
      <c r="H141" s="17"/>
    </row>
    <row r="142">
      <c r="A142" s="7"/>
      <c r="E142" s="15"/>
      <c r="F142" s="16"/>
      <c r="G142" s="16"/>
      <c r="H142" s="17"/>
    </row>
    <row r="143">
      <c r="A143" s="7"/>
      <c r="E143" s="15"/>
      <c r="F143" s="16"/>
      <c r="G143" s="16"/>
      <c r="H143" s="17"/>
    </row>
    <row r="144">
      <c r="A144" s="7"/>
      <c r="E144" s="15"/>
      <c r="F144" s="16"/>
      <c r="G144" s="16"/>
      <c r="H144" s="17"/>
    </row>
    <row r="145">
      <c r="A145" s="7"/>
      <c r="E145" s="15"/>
      <c r="F145" s="16"/>
      <c r="G145" s="16"/>
      <c r="H145" s="17"/>
    </row>
    <row r="146">
      <c r="A146" s="7"/>
      <c r="E146" s="15"/>
      <c r="F146" s="16"/>
      <c r="G146" s="16"/>
      <c r="H146" s="17"/>
    </row>
    <row r="147">
      <c r="A147" s="7"/>
      <c r="E147" s="15"/>
      <c r="F147" s="16"/>
      <c r="G147" s="16"/>
      <c r="H147" s="17"/>
    </row>
    <row r="148">
      <c r="A148" s="7"/>
      <c r="E148" s="15"/>
      <c r="F148" s="16"/>
      <c r="G148" s="16"/>
      <c r="H148" s="17"/>
    </row>
    <row r="149">
      <c r="A149" s="7"/>
      <c r="E149" s="15"/>
      <c r="F149" s="16"/>
      <c r="G149" s="16"/>
      <c r="H149" s="17"/>
    </row>
    <row r="150">
      <c r="A150" s="7"/>
      <c r="E150" s="15"/>
      <c r="F150" s="16"/>
      <c r="G150" s="16"/>
      <c r="H150" s="17"/>
    </row>
    <row r="151">
      <c r="A151" s="7"/>
      <c r="E151" s="15"/>
      <c r="F151" s="16"/>
      <c r="G151" s="16"/>
      <c r="H151" s="17"/>
    </row>
    <row r="152">
      <c r="A152" s="7"/>
      <c r="E152" s="15"/>
      <c r="F152" s="16"/>
      <c r="G152" s="16"/>
      <c r="H152" s="17"/>
    </row>
    <row r="153">
      <c r="A153" s="7"/>
      <c r="E153" s="15"/>
      <c r="F153" s="16"/>
      <c r="G153" s="16"/>
      <c r="H153" s="17"/>
    </row>
    <row r="154">
      <c r="A154" s="7"/>
      <c r="E154" s="15"/>
      <c r="F154" s="16"/>
      <c r="G154" s="16"/>
      <c r="H154" s="17"/>
    </row>
    <row r="155">
      <c r="A155" s="7"/>
      <c r="E155" s="15"/>
      <c r="F155" s="16"/>
      <c r="G155" s="16"/>
      <c r="H155" s="17"/>
    </row>
    <row r="156">
      <c r="A156" s="7"/>
      <c r="E156" s="15"/>
      <c r="F156" s="16"/>
      <c r="G156" s="16"/>
      <c r="H156" s="17"/>
    </row>
    <row r="157">
      <c r="A157" s="7"/>
      <c r="E157" s="15"/>
      <c r="F157" s="16"/>
      <c r="G157" s="16"/>
      <c r="H157" s="17"/>
    </row>
    <row r="158">
      <c r="A158" s="7"/>
      <c r="E158" s="15"/>
      <c r="F158" s="16"/>
      <c r="G158" s="16"/>
      <c r="H158" s="17"/>
    </row>
    <row r="159">
      <c r="A159" s="7"/>
      <c r="E159" s="15"/>
      <c r="F159" s="16"/>
      <c r="G159" s="16"/>
      <c r="H159" s="17"/>
    </row>
    <row r="160">
      <c r="A160" s="7"/>
      <c r="E160" s="15"/>
      <c r="F160" s="16"/>
      <c r="G160" s="16"/>
      <c r="H160" s="17"/>
    </row>
    <row r="161">
      <c r="A161" s="7"/>
      <c r="E161" s="15"/>
      <c r="F161" s="16"/>
      <c r="G161" s="16"/>
      <c r="H161" s="17"/>
    </row>
    <row r="162">
      <c r="A162" s="7"/>
      <c r="E162" s="15"/>
      <c r="F162" s="16"/>
      <c r="G162" s="16"/>
      <c r="H162" s="17"/>
    </row>
    <row r="163">
      <c r="A163" s="7"/>
      <c r="E163" s="15"/>
      <c r="F163" s="16"/>
      <c r="G163" s="16"/>
      <c r="H163" s="17"/>
    </row>
    <row r="164">
      <c r="A164" s="7"/>
      <c r="E164" s="15"/>
      <c r="F164" s="16"/>
      <c r="G164" s="16"/>
      <c r="H164" s="17"/>
    </row>
    <row r="165">
      <c r="A165" s="7"/>
      <c r="E165" s="15"/>
      <c r="F165" s="16"/>
      <c r="G165" s="16"/>
      <c r="H165" s="17"/>
    </row>
    <row r="166">
      <c r="A166" s="7"/>
      <c r="E166" s="15"/>
      <c r="F166" s="16"/>
      <c r="G166" s="16"/>
      <c r="H166" s="17"/>
    </row>
    <row r="167">
      <c r="A167" s="7"/>
      <c r="E167" s="15"/>
      <c r="F167" s="16"/>
      <c r="G167" s="16"/>
      <c r="H167" s="17"/>
    </row>
    <row r="168">
      <c r="A168" s="7"/>
      <c r="E168" s="15"/>
      <c r="F168" s="16"/>
      <c r="G168" s="16"/>
      <c r="H168" s="17"/>
    </row>
    <row r="169">
      <c r="A169" s="7"/>
      <c r="E169" s="15"/>
      <c r="F169" s="16"/>
      <c r="G169" s="16"/>
      <c r="H169" s="17"/>
    </row>
    <row r="170">
      <c r="A170" s="7"/>
      <c r="E170" s="15"/>
      <c r="F170" s="16"/>
      <c r="G170" s="16"/>
      <c r="H170" s="17"/>
    </row>
    <row r="171">
      <c r="A171" s="7"/>
      <c r="E171" s="15"/>
      <c r="F171" s="16"/>
      <c r="G171" s="16"/>
      <c r="H171" s="17"/>
    </row>
    <row r="172">
      <c r="A172" s="7"/>
      <c r="E172" s="15"/>
      <c r="F172" s="16"/>
      <c r="G172" s="16"/>
      <c r="H172" s="17"/>
    </row>
    <row r="173">
      <c r="A173" s="7"/>
      <c r="E173" s="15"/>
      <c r="F173" s="16"/>
      <c r="G173" s="16"/>
      <c r="H173" s="17"/>
    </row>
    <row r="174">
      <c r="A174" s="7"/>
      <c r="E174" s="15"/>
      <c r="F174" s="16"/>
      <c r="G174" s="16"/>
      <c r="H174" s="17"/>
    </row>
    <row r="175">
      <c r="A175" s="7"/>
      <c r="E175" s="15"/>
      <c r="F175" s="16"/>
      <c r="G175" s="16"/>
      <c r="H175" s="17"/>
    </row>
    <row r="176">
      <c r="A176" s="7"/>
      <c r="E176" s="15"/>
      <c r="F176" s="16"/>
      <c r="G176" s="16"/>
      <c r="H176" s="17"/>
    </row>
    <row r="177">
      <c r="A177" s="7"/>
      <c r="E177" s="15"/>
      <c r="F177" s="16"/>
      <c r="G177" s="16"/>
      <c r="H177" s="17"/>
    </row>
    <row r="178">
      <c r="A178" s="7"/>
      <c r="E178" s="15"/>
      <c r="F178" s="16"/>
      <c r="G178" s="16"/>
      <c r="H178" s="17"/>
    </row>
    <row r="179">
      <c r="A179" s="7"/>
      <c r="E179" s="15"/>
      <c r="F179" s="16"/>
      <c r="G179" s="16"/>
      <c r="H179" s="17"/>
    </row>
    <row r="180">
      <c r="A180" s="7"/>
      <c r="E180" s="15"/>
      <c r="F180" s="16"/>
      <c r="G180" s="16"/>
      <c r="H180" s="17"/>
    </row>
    <row r="181">
      <c r="A181" s="7"/>
      <c r="E181" s="15"/>
      <c r="F181" s="16"/>
      <c r="G181" s="16"/>
      <c r="H181" s="17"/>
    </row>
    <row r="182">
      <c r="A182" s="7"/>
      <c r="E182" s="15"/>
      <c r="F182" s="16"/>
      <c r="G182" s="16"/>
      <c r="H182" s="17"/>
    </row>
    <row r="183">
      <c r="A183" s="7"/>
      <c r="E183" s="15"/>
      <c r="F183" s="16"/>
      <c r="G183" s="16"/>
      <c r="H183" s="17"/>
    </row>
    <row r="184">
      <c r="A184" s="7"/>
      <c r="E184" s="15"/>
      <c r="F184" s="16"/>
      <c r="G184" s="16"/>
      <c r="H184" s="17"/>
    </row>
    <row r="185">
      <c r="A185" s="7"/>
      <c r="E185" s="15"/>
      <c r="F185" s="16"/>
      <c r="G185" s="16"/>
      <c r="H185" s="17"/>
    </row>
    <row r="186">
      <c r="A186" s="7"/>
      <c r="E186" s="15"/>
      <c r="F186" s="16"/>
      <c r="G186" s="16"/>
      <c r="H186" s="17"/>
    </row>
    <row r="187">
      <c r="A187" s="7"/>
      <c r="E187" s="15"/>
      <c r="F187" s="16"/>
      <c r="G187" s="16"/>
      <c r="H187" s="17"/>
    </row>
    <row r="188">
      <c r="A188" s="7"/>
      <c r="E188" s="15"/>
      <c r="F188" s="16"/>
      <c r="G188" s="16"/>
      <c r="H188" s="17"/>
    </row>
    <row r="189">
      <c r="A189" s="7"/>
      <c r="E189" s="15"/>
      <c r="F189" s="16"/>
      <c r="G189" s="16"/>
      <c r="H189" s="17"/>
    </row>
    <row r="190">
      <c r="A190" s="7"/>
      <c r="E190" s="15"/>
      <c r="F190" s="16"/>
      <c r="G190" s="16"/>
      <c r="H190" s="17"/>
    </row>
    <row r="191">
      <c r="A191" s="7"/>
      <c r="E191" s="15"/>
      <c r="F191" s="16"/>
      <c r="G191" s="16"/>
      <c r="H191" s="17"/>
    </row>
    <row r="192">
      <c r="A192" s="7"/>
      <c r="E192" s="15"/>
      <c r="F192" s="16"/>
      <c r="G192" s="16"/>
      <c r="H192" s="17"/>
    </row>
    <row r="193">
      <c r="A193" s="7"/>
      <c r="E193" s="15"/>
      <c r="F193" s="16"/>
      <c r="G193" s="16"/>
      <c r="H193" s="17"/>
    </row>
    <row r="194">
      <c r="A194" s="7"/>
      <c r="E194" s="15"/>
      <c r="F194" s="16"/>
      <c r="G194" s="16"/>
      <c r="H194" s="17"/>
    </row>
    <row r="195">
      <c r="A195" s="7"/>
      <c r="E195" s="15"/>
      <c r="F195" s="16"/>
      <c r="G195" s="16"/>
      <c r="H195" s="17"/>
    </row>
    <row r="196">
      <c r="A196" s="7"/>
      <c r="E196" s="15"/>
      <c r="F196" s="16"/>
      <c r="G196" s="16"/>
      <c r="H196" s="17"/>
    </row>
    <row r="197">
      <c r="A197" s="7"/>
      <c r="E197" s="15"/>
      <c r="F197" s="16"/>
      <c r="G197" s="16"/>
      <c r="H197" s="17"/>
    </row>
    <row r="198">
      <c r="A198" s="7"/>
      <c r="E198" s="15"/>
      <c r="F198" s="16"/>
      <c r="G198" s="16"/>
      <c r="H198" s="17"/>
    </row>
    <row r="199">
      <c r="A199" s="7"/>
      <c r="E199" s="15"/>
      <c r="F199" s="16"/>
      <c r="G199" s="16"/>
      <c r="H199" s="17"/>
    </row>
    <row r="200">
      <c r="A200" s="7"/>
      <c r="E200" s="15"/>
      <c r="F200" s="16"/>
      <c r="G200" s="16"/>
      <c r="H200" s="17"/>
    </row>
    <row r="201">
      <c r="A201" s="7"/>
      <c r="E201" s="15"/>
      <c r="F201" s="16"/>
      <c r="G201" s="16"/>
      <c r="H201" s="17"/>
    </row>
    <row r="202">
      <c r="A202" s="7"/>
      <c r="E202" s="15"/>
      <c r="F202" s="16"/>
      <c r="G202" s="16"/>
      <c r="H202" s="17"/>
    </row>
    <row r="203">
      <c r="A203" s="7"/>
      <c r="E203" s="15"/>
      <c r="F203" s="16"/>
      <c r="G203" s="16"/>
      <c r="H203" s="17"/>
    </row>
    <row r="204">
      <c r="A204" s="7"/>
      <c r="E204" s="15"/>
      <c r="F204" s="16"/>
      <c r="G204" s="16"/>
      <c r="H204" s="17"/>
    </row>
    <row r="205">
      <c r="A205" s="7"/>
      <c r="E205" s="15"/>
      <c r="F205" s="16"/>
      <c r="G205" s="16"/>
      <c r="H205" s="17"/>
    </row>
    <row r="206">
      <c r="A206" s="7"/>
      <c r="E206" s="15"/>
      <c r="F206" s="16"/>
      <c r="G206" s="16"/>
      <c r="H206" s="17"/>
    </row>
    <row r="207">
      <c r="A207" s="7"/>
      <c r="E207" s="15"/>
      <c r="F207" s="16"/>
      <c r="G207" s="16"/>
      <c r="H207" s="17"/>
    </row>
    <row r="208">
      <c r="A208" s="7"/>
      <c r="E208" s="15"/>
      <c r="F208" s="16"/>
      <c r="G208" s="16"/>
      <c r="H208" s="17"/>
    </row>
    <row r="209">
      <c r="A209" s="7"/>
      <c r="E209" s="15"/>
      <c r="F209" s="16"/>
      <c r="G209" s="16"/>
      <c r="H209" s="17"/>
    </row>
    <row r="210">
      <c r="A210" s="7"/>
      <c r="E210" s="15"/>
      <c r="F210" s="16"/>
      <c r="G210" s="16"/>
      <c r="H210" s="17"/>
    </row>
    <row r="211">
      <c r="A211" s="7"/>
      <c r="E211" s="15"/>
      <c r="F211" s="16"/>
      <c r="G211" s="16"/>
      <c r="H211" s="17"/>
    </row>
    <row r="212">
      <c r="A212" s="7"/>
      <c r="E212" s="15"/>
      <c r="F212" s="16"/>
      <c r="G212" s="16"/>
      <c r="H212" s="17"/>
    </row>
    <row r="213">
      <c r="A213" s="7"/>
      <c r="E213" s="15"/>
      <c r="F213" s="16"/>
      <c r="G213" s="16"/>
      <c r="H213" s="17"/>
    </row>
    <row r="214">
      <c r="A214" s="7"/>
      <c r="E214" s="15"/>
      <c r="F214" s="16"/>
      <c r="G214" s="16"/>
      <c r="H214" s="17"/>
    </row>
    <row r="215">
      <c r="A215" s="7"/>
      <c r="E215" s="15"/>
      <c r="F215" s="16"/>
      <c r="G215" s="16"/>
      <c r="H215" s="17"/>
    </row>
    <row r="216">
      <c r="A216" s="7"/>
      <c r="E216" s="15"/>
      <c r="F216" s="16"/>
      <c r="G216" s="16"/>
      <c r="H216" s="17"/>
    </row>
    <row r="217">
      <c r="A217" s="7"/>
      <c r="E217" s="15"/>
      <c r="F217" s="16"/>
      <c r="G217" s="16"/>
      <c r="H217" s="17"/>
    </row>
    <row r="218">
      <c r="A218" s="7"/>
      <c r="E218" s="15"/>
      <c r="F218" s="16"/>
      <c r="G218" s="16"/>
      <c r="H218" s="17"/>
    </row>
    <row r="219">
      <c r="A219" s="7"/>
      <c r="E219" s="15"/>
      <c r="F219" s="16"/>
      <c r="G219" s="16"/>
      <c r="H219" s="17"/>
    </row>
    <row r="220">
      <c r="A220" s="7"/>
      <c r="E220" s="15"/>
      <c r="F220" s="16"/>
      <c r="G220" s="16"/>
      <c r="H220" s="17"/>
    </row>
    <row r="221">
      <c r="A221" s="7"/>
      <c r="E221" s="15"/>
      <c r="F221" s="16"/>
      <c r="G221" s="16"/>
      <c r="H221" s="17"/>
    </row>
    <row r="222">
      <c r="A222" s="7"/>
      <c r="E222" s="15"/>
      <c r="F222" s="16"/>
      <c r="G222" s="16"/>
      <c r="H222" s="17"/>
    </row>
    <row r="223">
      <c r="A223" s="7"/>
      <c r="E223" s="15"/>
      <c r="F223" s="16"/>
      <c r="G223" s="16"/>
      <c r="H223" s="17"/>
    </row>
    <row r="224">
      <c r="A224" s="7"/>
      <c r="E224" s="15"/>
      <c r="F224" s="16"/>
      <c r="G224" s="16"/>
      <c r="H224" s="17"/>
    </row>
    <row r="225">
      <c r="A225" s="7"/>
      <c r="E225" s="15"/>
      <c r="F225" s="16"/>
      <c r="G225" s="16"/>
      <c r="H225" s="17"/>
    </row>
    <row r="226">
      <c r="A226" s="7"/>
      <c r="E226" s="15"/>
      <c r="F226" s="16"/>
      <c r="G226" s="16"/>
      <c r="H226" s="17"/>
    </row>
    <row r="227">
      <c r="A227" s="7"/>
      <c r="E227" s="15"/>
      <c r="F227" s="16"/>
      <c r="G227" s="16"/>
      <c r="H227" s="17"/>
    </row>
    <row r="228">
      <c r="A228" s="7"/>
      <c r="E228" s="15"/>
      <c r="F228" s="16"/>
      <c r="G228" s="16"/>
      <c r="H228" s="17"/>
    </row>
    <row r="229">
      <c r="A229" s="7"/>
      <c r="E229" s="15"/>
      <c r="F229" s="16"/>
      <c r="G229" s="16"/>
      <c r="H229" s="17"/>
    </row>
    <row r="230">
      <c r="A230" s="7"/>
      <c r="E230" s="15"/>
      <c r="F230" s="16"/>
      <c r="G230" s="16"/>
      <c r="H230" s="17"/>
    </row>
    <row r="231">
      <c r="A231" s="7"/>
      <c r="E231" s="15"/>
      <c r="F231" s="16"/>
      <c r="G231" s="16"/>
      <c r="H231" s="17"/>
    </row>
    <row r="232">
      <c r="A232" s="7"/>
      <c r="E232" s="15"/>
      <c r="F232" s="16"/>
      <c r="G232" s="16"/>
      <c r="H232" s="17"/>
    </row>
    <row r="233">
      <c r="A233" s="7"/>
      <c r="E233" s="15"/>
      <c r="F233" s="16"/>
      <c r="G233" s="16"/>
      <c r="H233" s="17"/>
    </row>
    <row r="234">
      <c r="A234" s="7"/>
      <c r="E234" s="15"/>
      <c r="F234" s="16"/>
      <c r="G234" s="16"/>
      <c r="H234" s="17"/>
    </row>
    <row r="235">
      <c r="A235" s="7"/>
      <c r="E235" s="15"/>
      <c r="F235" s="16"/>
      <c r="G235" s="16"/>
      <c r="H235" s="17"/>
    </row>
    <row r="236">
      <c r="A236" s="7"/>
      <c r="E236" s="15"/>
      <c r="F236" s="16"/>
      <c r="G236" s="16"/>
      <c r="H236" s="17"/>
    </row>
    <row r="237">
      <c r="A237" s="7"/>
      <c r="E237" s="15"/>
      <c r="F237" s="16"/>
      <c r="G237" s="16"/>
      <c r="H237" s="17"/>
    </row>
    <row r="238">
      <c r="A238" s="7"/>
      <c r="E238" s="15"/>
      <c r="F238" s="16"/>
      <c r="G238" s="16"/>
      <c r="H238" s="17"/>
    </row>
    <row r="239">
      <c r="A239" s="7"/>
      <c r="E239" s="15"/>
      <c r="F239" s="16"/>
      <c r="G239" s="16"/>
      <c r="H239" s="17"/>
    </row>
    <row r="240">
      <c r="A240" s="7"/>
      <c r="E240" s="15"/>
      <c r="F240" s="16"/>
      <c r="G240" s="16"/>
      <c r="H240" s="17"/>
    </row>
    <row r="241">
      <c r="A241" s="7"/>
      <c r="E241" s="15"/>
      <c r="F241" s="16"/>
      <c r="G241" s="16"/>
      <c r="H241" s="17"/>
    </row>
    <row r="242">
      <c r="A242" s="7"/>
      <c r="E242" s="15"/>
      <c r="F242" s="16"/>
      <c r="G242" s="16"/>
      <c r="H242" s="17"/>
    </row>
    <row r="243">
      <c r="A243" s="7"/>
      <c r="E243" s="15"/>
      <c r="F243" s="16"/>
      <c r="G243" s="16"/>
      <c r="H243" s="17"/>
    </row>
    <row r="244">
      <c r="A244" s="7"/>
      <c r="E244" s="15"/>
      <c r="F244" s="16"/>
      <c r="G244" s="16"/>
      <c r="H244" s="17"/>
    </row>
    <row r="245">
      <c r="A245" s="7"/>
      <c r="E245" s="15"/>
      <c r="F245" s="16"/>
      <c r="G245" s="16"/>
      <c r="H245" s="17"/>
    </row>
    <row r="246">
      <c r="A246" s="7"/>
      <c r="E246" s="15"/>
      <c r="F246" s="16"/>
      <c r="G246" s="16"/>
      <c r="H246" s="17"/>
    </row>
    <row r="247">
      <c r="A247" s="7"/>
      <c r="E247" s="15"/>
      <c r="F247" s="16"/>
      <c r="G247" s="16"/>
      <c r="H247" s="17"/>
    </row>
    <row r="248">
      <c r="A248" s="7"/>
      <c r="E248" s="15"/>
      <c r="F248" s="16"/>
      <c r="G248" s="16"/>
      <c r="H248" s="17"/>
    </row>
    <row r="249">
      <c r="A249" s="7"/>
      <c r="E249" s="15"/>
      <c r="F249" s="16"/>
      <c r="G249" s="16"/>
      <c r="H249" s="17"/>
    </row>
    <row r="250">
      <c r="A250" s="7"/>
      <c r="E250" s="15"/>
      <c r="F250" s="16"/>
      <c r="G250" s="16"/>
      <c r="H250" s="17"/>
    </row>
    <row r="251">
      <c r="A251" s="7"/>
      <c r="E251" s="15"/>
      <c r="F251" s="16"/>
      <c r="G251" s="16"/>
      <c r="H251" s="17"/>
    </row>
    <row r="252">
      <c r="A252" s="7"/>
      <c r="E252" s="15"/>
      <c r="F252" s="16"/>
      <c r="G252" s="16"/>
      <c r="H252" s="17"/>
    </row>
    <row r="253">
      <c r="A253" s="7"/>
      <c r="E253" s="15"/>
      <c r="F253" s="16"/>
      <c r="G253" s="16"/>
      <c r="H253" s="17"/>
    </row>
    <row r="254">
      <c r="A254" s="7"/>
      <c r="E254" s="15"/>
      <c r="F254" s="16"/>
      <c r="G254" s="16"/>
      <c r="H254" s="17"/>
    </row>
    <row r="255">
      <c r="A255" s="7"/>
      <c r="E255" s="15"/>
      <c r="F255" s="16"/>
      <c r="G255" s="16"/>
      <c r="H255" s="17"/>
    </row>
    <row r="256">
      <c r="A256" s="7"/>
      <c r="E256" s="15"/>
      <c r="F256" s="16"/>
      <c r="G256" s="16"/>
      <c r="H256" s="17"/>
    </row>
    <row r="257">
      <c r="A257" s="7"/>
      <c r="E257" s="15"/>
      <c r="F257" s="16"/>
      <c r="G257" s="16"/>
      <c r="H257" s="17"/>
    </row>
    <row r="258">
      <c r="A258" s="7"/>
      <c r="E258" s="15"/>
      <c r="F258" s="16"/>
      <c r="G258" s="16"/>
      <c r="H258" s="17"/>
    </row>
    <row r="259">
      <c r="A259" s="7"/>
      <c r="E259" s="15"/>
      <c r="F259" s="16"/>
      <c r="G259" s="16"/>
      <c r="H259" s="17"/>
    </row>
    <row r="260">
      <c r="A260" s="7"/>
      <c r="E260" s="15"/>
      <c r="F260" s="16"/>
      <c r="G260" s="16"/>
      <c r="H260" s="17"/>
    </row>
    <row r="261">
      <c r="A261" s="7"/>
      <c r="E261" s="15"/>
      <c r="F261" s="16"/>
      <c r="G261" s="16"/>
      <c r="H261" s="17"/>
    </row>
    <row r="262">
      <c r="A262" s="7"/>
      <c r="E262" s="15"/>
      <c r="F262" s="16"/>
      <c r="G262" s="16"/>
      <c r="H262" s="17"/>
    </row>
    <row r="263">
      <c r="A263" s="7"/>
      <c r="E263" s="15"/>
      <c r="F263" s="16"/>
      <c r="G263" s="16"/>
      <c r="H263" s="17"/>
    </row>
    <row r="264">
      <c r="A264" s="7"/>
      <c r="E264" s="15"/>
      <c r="F264" s="16"/>
      <c r="G264" s="16"/>
      <c r="H264" s="17"/>
    </row>
    <row r="265">
      <c r="A265" s="7"/>
      <c r="E265" s="15"/>
      <c r="F265" s="16"/>
      <c r="G265" s="16"/>
      <c r="H265" s="17"/>
    </row>
    <row r="266">
      <c r="A266" s="7"/>
      <c r="E266" s="15"/>
      <c r="F266" s="16"/>
      <c r="G266" s="16"/>
      <c r="H266" s="17"/>
    </row>
    <row r="267">
      <c r="A267" s="7"/>
      <c r="E267" s="15"/>
      <c r="F267" s="16"/>
      <c r="G267" s="16"/>
      <c r="H267" s="17"/>
    </row>
    <row r="268">
      <c r="A268" s="7"/>
      <c r="E268" s="15"/>
      <c r="F268" s="16"/>
      <c r="G268" s="16"/>
      <c r="H268" s="17"/>
    </row>
    <row r="269">
      <c r="A269" s="7"/>
      <c r="E269" s="15"/>
      <c r="F269" s="16"/>
      <c r="G269" s="16"/>
      <c r="H269" s="17"/>
    </row>
    <row r="270">
      <c r="A270" s="7"/>
      <c r="E270" s="15"/>
      <c r="F270" s="16"/>
      <c r="G270" s="16"/>
      <c r="H270" s="17"/>
    </row>
    <row r="271">
      <c r="A271" s="7"/>
      <c r="E271" s="15"/>
      <c r="F271" s="16"/>
      <c r="G271" s="16"/>
      <c r="H271" s="17"/>
    </row>
    <row r="272">
      <c r="A272" s="7"/>
      <c r="E272" s="15"/>
      <c r="F272" s="16"/>
      <c r="G272" s="16"/>
      <c r="H272" s="17"/>
    </row>
    <row r="273">
      <c r="A273" s="7"/>
      <c r="E273" s="15"/>
      <c r="F273" s="16"/>
      <c r="G273" s="16"/>
      <c r="H273" s="17"/>
    </row>
    <row r="274">
      <c r="A274" s="7"/>
      <c r="E274" s="15"/>
      <c r="F274" s="16"/>
      <c r="G274" s="16"/>
      <c r="H274" s="17"/>
    </row>
    <row r="275">
      <c r="A275" s="7"/>
      <c r="E275" s="15"/>
      <c r="F275" s="16"/>
      <c r="G275" s="16"/>
      <c r="H275" s="17"/>
    </row>
    <row r="276">
      <c r="A276" s="7"/>
      <c r="E276" s="15"/>
      <c r="F276" s="16"/>
      <c r="G276" s="16"/>
      <c r="H276" s="17"/>
    </row>
    <row r="277">
      <c r="A277" s="7"/>
      <c r="E277" s="15"/>
      <c r="F277" s="16"/>
      <c r="G277" s="16"/>
      <c r="H277" s="17"/>
    </row>
    <row r="278">
      <c r="A278" s="7"/>
      <c r="E278" s="15"/>
      <c r="F278" s="16"/>
      <c r="G278" s="16"/>
      <c r="H278" s="17"/>
    </row>
    <row r="279">
      <c r="A279" s="7"/>
      <c r="E279" s="15"/>
      <c r="F279" s="16"/>
      <c r="G279" s="16"/>
      <c r="H279" s="17"/>
    </row>
    <row r="280">
      <c r="A280" s="7"/>
      <c r="E280" s="15"/>
      <c r="F280" s="16"/>
      <c r="G280" s="16"/>
      <c r="H280" s="17"/>
    </row>
    <row r="281">
      <c r="A281" s="7"/>
      <c r="E281" s="15"/>
      <c r="F281" s="16"/>
      <c r="G281" s="16"/>
      <c r="H281" s="17"/>
    </row>
    <row r="282">
      <c r="A282" s="7"/>
      <c r="E282" s="15"/>
      <c r="F282" s="16"/>
      <c r="G282" s="16"/>
      <c r="H282" s="17"/>
    </row>
    <row r="283">
      <c r="A283" s="7"/>
      <c r="E283" s="15"/>
      <c r="F283" s="16"/>
      <c r="G283" s="16"/>
      <c r="H283" s="17"/>
    </row>
    <row r="284">
      <c r="A284" s="7"/>
      <c r="E284" s="15"/>
      <c r="F284" s="16"/>
      <c r="G284" s="16"/>
      <c r="H284" s="17"/>
    </row>
    <row r="285">
      <c r="A285" s="7"/>
      <c r="E285" s="15"/>
      <c r="F285" s="16"/>
      <c r="G285" s="16"/>
      <c r="H285" s="17"/>
    </row>
    <row r="286">
      <c r="A286" s="7"/>
      <c r="E286" s="15"/>
      <c r="F286" s="16"/>
      <c r="G286" s="16"/>
      <c r="H286" s="17"/>
    </row>
    <row r="287">
      <c r="A287" s="7"/>
      <c r="E287" s="15"/>
      <c r="F287" s="16"/>
      <c r="G287" s="16"/>
      <c r="H287" s="17"/>
    </row>
    <row r="288">
      <c r="A288" s="7"/>
      <c r="E288" s="15"/>
      <c r="F288" s="16"/>
      <c r="G288" s="16"/>
      <c r="H288" s="17"/>
    </row>
    <row r="289">
      <c r="A289" s="7"/>
      <c r="E289" s="15"/>
      <c r="F289" s="16"/>
      <c r="G289" s="16"/>
      <c r="H289" s="17"/>
    </row>
    <row r="290">
      <c r="A290" s="7"/>
      <c r="E290" s="15"/>
      <c r="F290" s="16"/>
      <c r="G290" s="16"/>
      <c r="H290" s="17"/>
    </row>
    <row r="291">
      <c r="A291" s="7"/>
      <c r="E291" s="15"/>
      <c r="F291" s="16"/>
      <c r="G291" s="16"/>
      <c r="H291" s="17"/>
    </row>
    <row r="292">
      <c r="A292" s="7"/>
      <c r="E292" s="15"/>
      <c r="F292" s="16"/>
      <c r="G292" s="16"/>
      <c r="H292" s="17"/>
    </row>
    <row r="293">
      <c r="A293" s="7"/>
      <c r="E293" s="15"/>
      <c r="F293" s="16"/>
      <c r="G293" s="16"/>
      <c r="H293" s="17"/>
    </row>
    <row r="294">
      <c r="A294" s="7"/>
      <c r="E294" s="15"/>
      <c r="F294" s="16"/>
      <c r="G294" s="16"/>
      <c r="H294" s="17"/>
    </row>
    <row r="295">
      <c r="A295" s="7"/>
      <c r="E295" s="15"/>
      <c r="F295" s="16"/>
      <c r="G295" s="16"/>
      <c r="H295" s="17"/>
    </row>
    <row r="296">
      <c r="A296" s="7"/>
      <c r="E296" s="15"/>
      <c r="F296" s="16"/>
      <c r="G296" s="16"/>
      <c r="H296" s="17"/>
    </row>
    <row r="297">
      <c r="A297" s="7"/>
      <c r="E297" s="15"/>
      <c r="F297" s="16"/>
      <c r="G297" s="16"/>
      <c r="H297" s="17"/>
    </row>
    <row r="298">
      <c r="A298" s="7"/>
      <c r="E298" s="15"/>
      <c r="F298" s="16"/>
      <c r="G298" s="16"/>
      <c r="H298" s="17"/>
    </row>
    <row r="299">
      <c r="A299" s="7"/>
      <c r="E299" s="15"/>
      <c r="F299" s="16"/>
      <c r="G299" s="16"/>
      <c r="H299" s="17"/>
    </row>
    <row r="300">
      <c r="A300" s="7"/>
      <c r="E300" s="15"/>
      <c r="F300" s="16"/>
      <c r="G300" s="16"/>
      <c r="H300" s="17"/>
    </row>
    <row r="301">
      <c r="A301" s="7"/>
      <c r="E301" s="15"/>
      <c r="F301" s="16"/>
      <c r="G301" s="16"/>
      <c r="H301" s="17"/>
    </row>
    <row r="302">
      <c r="A302" s="7"/>
      <c r="E302" s="15"/>
      <c r="F302" s="16"/>
      <c r="G302" s="16"/>
      <c r="H302" s="17"/>
    </row>
    <row r="303">
      <c r="A303" s="7"/>
      <c r="E303" s="15"/>
      <c r="F303" s="16"/>
      <c r="G303" s="16"/>
      <c r="H303" s="17"/>
    </row>
    <row r="304">
      <c r="A304" s="7"/>
      <c r="E304" s="15"/>
      <c r="F304" s="16"/>
      <c r="G304" s="16"/>
      <c r="H304" s="17"/>
    </row>
    <row r="305">
      <c r="A305" s="7"/>
      <c r="E305" s="15"/>
      <c r="F305" s="16"/>
      <c r="G305" s="16"/>
      <c r="H305" s="17"/>
    </row>
    <row r="306">
      <c r="A306" s="7"/>
      <c r="E306" s="15"/>
      <c r="F306" s="16"/>
      <c r="G306" s="16"/>
      <c r="H306" s="17"/>
    </row>
    <row r="307">
      <c r="A307" s="7"/>
      <c r="E307" s="15"/>
      <c r="F307" s="16"/>
      <c r="G307" s="16"/>
      <c r="H307" s="17"/>
    </row>
    <row r="308">
      <c r="A308" s="7"/>
      <c r="E308" s="15"/>
      <c r="F308" s="16"/>
      <c r="G308" s="16"/>
      <c r="H308" s="17"/>
    </row>
    <row r="309">
      <c r="A309" s="7"/>
      <c r="E309" s="15"/>
      <c r="F309" s="16"/>
      <c r="G309" s="16"/>
      <c r="H309" s="17"/>
    </row>
    <row r="310">
      <c r="A310" s="7"/>
      <c r="E310" s="15"/>
      <c r="F310" s="16"/>
      <c r="G310" s="16"/>
      <c r="H310" s="17"/>
    </row>
    <row r="311">
      <c r="A311" s="7"/>
      <c r="E311" s="15"/>
      <c r="F311" s="16"/>
      <c r="G311" s="16"/>
      <c r="H311" s="17"/>
    </row>
    <row r="312">
      <c r="A312" s="7"/>
      <c r="E312" s="15"/>
      <c r="F312" s="16"/>
      <c r="G312" s="16"/>
      <c r="H312" s="17"/>
    </row>
    <row r="313">
      <c r="A313" s="7"/>
      <c r="E313" s="15"/>
      <c r="F313" s="16"/>
      <c r="G313" s="16"/>
      <c r="H313" s="17"/>
    </row>
    <row r="314">
      <c r="A314" s="7"/>
      <c r="E314" s="15"/>
      <c r="F314" s="16"/>
      <c r="G314" s="16"/>
      <c r="H314" s="17"/>
    </row>
    <row r="315">
      <c r="A315" s="7"/>
      <c r="E315" s="15"/>
      <c r="F315" s="16"/>
      <c r="G315" s="16"/>
      <c r="H315" s="17"/>
    </row>
    <row r="316">
      <c r="A316" s="7"/>
      <c r="E316" s="15"/>
      <c r="F316" s="16"/>
      <c r="G316" s="16"/>
      <c r="H316" s="17"/>
    </row>
    <row r="317">
      <c r="A317" s="7"/>
      <c r="E317" s="15"/>
      <c r="F317" s="16"/>
      <c r="G317" s="16"/>
      <c r="H317" s="17"/>
    </row>
    <row r="318">
      <c r="A318" s="7"/>
      <c r="E318" s="15"/>
      <c r="F318" s="16"/>
      <c r="G318" s="16"/>
      <c r="H318" s="17"/>
    </row>
    <row r="319">
      <c r="A319" s="7"/>
      <c r="E319" s="15"/>
      <c r="F319" s="16"/>
      <c r="G319" s="16"/>
      <c r="H319" s="17"/>
    </row>
    <row r="320">
      <c r="A320" s="7"/>
      <c r="E320" s="15"/>
      <c r="F320" s="16"/>
      <c r="G320" s="16"/>
      <c r="H320" s="17"/>
    </row>
    <row r="321">
      <c r="A321" s="7"/>
      <c r="E321" s="15"/>
      <c r="F321" s="16"/>
      <c r="G321" s="16"/>
      <c r="H321" s="17"/>
    </row>
    <row r="322">
      <c r="A322" s="7"/>
      <c r="E322" s="15"/>
      <c r="F322" s="16"/>
      <c r="G322" s="16"/>
      <c r="H322" s="17"/>
    </row>
    <row r="323">
      <c r="A323" s="7"/>
      <c r="E323" s="15"/>
      <c r="F323" s="16"/>
      <c r="G323" s="16"/>
      <c r="H323" s="17"/>
    </row>
    <row r="324">
      <c r="A324" s="7"/>
      <c r="E324" s="15"/>
      <c r="F324" s="16"/>
      <c r="G324" s="16"/>
      <c r="H324" s="17"/>
    </row>
    <row r="325">
      <c r="A325" s="7"/>
      <c r="E325" s="15"/>
      <c r="F325" s="16"/>
      <c r="G325" s="16"/>
      <c r="H325" s="17"/>
    </row>
    <row r="326">
      <c r="A326" s="7"/>
      <c r="E326" s="15"/>
      <c r="F326" s="16"/>
      <c r="G326" s="16"/>
      <c r="H326" s="17"/>
    </row>
    <row r="327">
      <c r="A327" s="7"/>
      <c r="E327" s="15"/>
      <c r="F327" s="16"/>
      <c r="G327" s="16"/>
      <c r="H327" s="17"/>
    </row>
    <row r="328">
      <c r="A328" s="7"/>
      <c r="E328" s="15"/>
      <c r="F328" s="16"/>
      <c r="G328" s="16"/>
      <c r="H328" s="17"/>
    </row>
    <row r="329">
      <c r="A329" s="7"/>
      <c r="E329" s="15"/>
      <c r="F329" s="16"/>
      <c r="G329" s="16"/>
      <c r="H329" s="17"/>
    </row>
    <row r="330">
      <c r="A330" s="7"/>
      <c r="E330" s="15"/>
      <c r="F330" s="16"/>
      <c r="G330" s="16"/>
      <c r="H330" s="17"/>
    </row>
    <row r="331">
      <c r="A331" s="7"/>
      <c r="E331" s="15"/>
      <c r="F331" s="16"/>
      <c r="G331" s="16"/>
      <c r="H331" s="17"/>
    </row>
    <row r="332">
      <c r="A332" s="7"/>
      <c r="E332" s="15"/>
      <c r="F332" s="16"/>
      <c r="G332" s="16"/>
      <c r="H332" s="17"/>
    </row>
    <row r="333">
      <c r="A333" s="7"/>
      <c r="E333" s="15"/>
      <c r="F333" s="16"/>
      <c r="G333" s="16"/>
      <c r="H333" s="17"/>
    </row>
    <row r="334">
      <c r="A334" s="7"/>
      <c r="E334" s="15"/>
      <c r="F334" s="16"/>
      <c r="G334" s="16"/>
      <c r="H334" s="17"/>
    </row>
    <row r="335">
      <c r="A335" s="7"/>
      <c r="E335" s="15"/>
      <c r="F335" s="16"/>
      <c r="G335" s="16"/>
      <c r="H335" s="17"/>
    </row>
    <row r="336">
      <c r="A336" s="7"/>
      <c r="E336" s="15"/>
      <c r="F336" s="16"/>
      <c r="G336" s="16"/>
      <c r="H336" s="17"/>
    </row>
    <row r="337">
      <c r="A337" s="7"/>
      <c r="E337" s="15"/>
      <c r="F337" s="16"/>
      <c r="G337" s="16"/>
      <c r="H337" s="17"/>
    </row>
    <row r="338">
      <c r="A338" s="7"/>
      <c r="E338" s="15"/>
      <c r="F338" s="16"/>
      <c r="G338" s="16"/>
      <c r="H338" s="17"/>
    </row>
    <row r="339">
      <c r="A339" s="7"/>
      <c r="E339" s="15"/>
      <c r="F339" s="16"/>
      <c r="G339" s="16"/>
      <c r="H339" s="17"/>
    </row>
    <row r="340">
      <c r="A340" s="7"/>
      <c r="E340" s="15"/>
      <c r="F340" s="16"/>
      <c r="G340" s="16"/>
      <c r="H340" s="17"/>
    </row>
    <row r="341">
      <c r="A341" s="7"/>
      <c r="E341" s="15"/>
      <c r="F341" s="16"/>
      <c r="G341" s="16"/>
      <c r="H341" s="17"/>
    </row>
    <row r="342">
      <c r="A342" s="7"/>
      <c r="E342" s="15"/>
      <c r="F342" s="16"/>
      <c r="G342" s="16"/>
      <c r="H342" s="17"/>
    </row>
    <row r="343">
      <c r="A343" s="7"/>
      <c r="E343" s="15"/>
      <c r="F343" s="16"/>
      <c r="G343" s="16"/>
      <c r="H343" s="17"/>
    </row>
    <row r="344">
      <c r="A344" s="7"/>
      <c r="E344" s="15"/>
      <c r="F344" s="16"/>
      <c r="G344" s="16"/>
      <c r="H344" s="17"/>
    </row>
    <row r="345">
      <c r="A345" s="7"/>
      <c r="E345" s="15"/>
      <c r="F345" s="16"/>
      <c r="G345" s="16"/>
      <c r="H345" s="17"/>
    </row>
    <row r="346">
      <c r="A346" s="7"/>
      <c r="E346" s="15"/>
      <c r="F346" s="16"/>
      <c r="G346" s="16"/>
      <c r="H346" s="17"/>
    </row>
    <row r="347">
      <c r="A347" s="7"/>
      <c r="E347" s="15"/>
      <c r="F347" s="16"/>
      <c r="G347" s="16"/>
      <c r="H347" s="17"/>
    </row>
    <row r="348">
      <c r="A348" s="7"/>
      <c r="E348" s="15"/>
      <c r="F348" s="16"/>
      <c r="G348" s="16"/>
      <c r="H348" s="17"/>
    </row>
    <row r="349">
      <c r="A349" s="7"/>
      <c r="E349" s="15"/>
      <c r="F349" s="16"/>
      <c r="G349" s="16"/>
      <c r="H349" s="17"/>
    </row>
    <row r="350">
      <c r="A350" s="7"/>
      <c r="E350" s="15"/>
      <c r="F350" s="16"/>
      <c r="G350" s="16"/>
      <c r="H350" s="17"/>
    </row>
    <row r="351">
      <c r="A351" s="7"/>
      <c r="E351" s="15"/>
      <c r="F351" s="16"/>
      <c r="G351" s="16"/>
      <c r="H351" s="17"/>
    </row>
    <row r="352">
      <c r="A352" s="7"/>
      <c r="E352" s="15"/>
      <c r="F352" s="16"/>
      <c r="G352" s="16"/>
      <c r="H352" s="17"/>
    </row>
    <row r="353">
      <c r="A353" s="7"/>
      <c r="E353" s="15"/>
      <c r="F353" s="16"/>
      <c r="G353" s="16"/>
      <c r="H353" s="17"/>
    </row>
    <row r="354">
      <c r="A354" s="7"/>
      <c r="E354" s="15"/>
      <c r="F354" s="16"/>
      <c r="G354" s="16"/>
      <c r="H354" s="17"/>
    </row>
    <row r="355">
      <c r="A355" s="7"/>
      <c r="E355" s="15"/>
      <c r="F355" s="16"/>
      <c r="G355" s="16"/>
      <c r="H355" s="17"/>
    </row>
    <row r="356">
      <c r="A356" s="7"/>
      <c r="E356" s="15"/>
      <c r="F356" s="16"/>
      <c r="G356" s="16"/>
      <c r="H356" s="17"/>
    </row>
    <row r="357">
      <c r="A357" s="7"/>
      <c r="E357" s="15"/>
      <c r="F357" s="16"/>
      <c r="G357" s="16"/>
      <c r="H357" s="17"/>
    </row>
    <row r="358">
      <c r="A358" s="7"/>
      <c r="E358" s="15"/>
      <c r="F358" s="16"/>
      <c r="G358" s="16"/>
      <c r="H358" s="17"/>
    </row>
    <row r="359">
      <c r="A359" s="7"/>
      <c r="E359" s="15"/>
      <c r="F359" s="16"/>
      <c r="G359" s="16"/>
      <c r="H359" s="17"/>
    </row>
    <row r="360">
      <c r="A360" s="7"/>
      <c r="E360" s="15"/>
      <c r="F360" s="16"/>
      <c r="G360" s="16"/>
      <c r="H360" s="17"/>
    </row>
    <row r="361">
      <c r="A361" s="7"/>
      <c r="E361" s="15"/>
      <c r="F361" s="16"/>
      <c r="G361" s="16"/>
      <c r="H361" s="17"/>
    </row>
    <row r="362">
      <c r="A362" s="7"/>
      <c r="E362" s="15"/>
      <c r="F362" s="16"/>
      <c r="G362" s="16"/>
      <c r="H362" s="17"/>
    </row>
    <row r="363">
      <c r="A363" s="7"/>
      <c r="E363" s="15"/>
      <c r="F363" s="16"/>
      <c r="G363" s="16"/>
      <c r="H363" s="17"/>
    </row>
    <row r="364">
      <c r="A364" s="7"/>
      <c r="E364" s="15"/>
      <c r="F364" s="16"/>
      <c r="G364" s="16"/>
      <c r="H364" s="17"/>
    </row>
    <row r="365">
      <c r="A365" s="7"/>
      <c r="E365" s="15"/>
      <c r="F365" s="16"/>
      <c r="G365" s="16"/>
      <c r="H365" s="17"/>
    </row>
    <row r="366">
      <c r="A366" s="7"/>
      <c r="E366" s="15"/>
      <c r="F366" s="16"/>
      <c r="G366" s="16"/>
      <c r="H366" s="17"/>
    </row>
    <row r="367">
      <c r="A367" s="7"/>
      <c r="E367" s="15"/>
      <c r="F367" s="16"/>
      <c r="G367" s="16"/>
      <c r="H367" s="17"/>
    </row>
    <row r="368">
      <c r="A368" s="7"/>
      <c r="E368" s="15"/>
      <c r="F368" s="16"/>
      <c r="G368" s="16"/>
      <c r="H368" s="17"/>
    </row>
    <row r="369">
      <c r="A369" s="7"/>
      <c r="E369" s="15"/>
      <c r="F369" s="16"/>
      <c r="G369" s="16"/>
      <c r="H369" s="17"/>
    </row>
    <row r="370">
      <c r="A370" s="7"/>
      <c r="E370" s="15"/>
      <c r="F370" s="16"/>
      <c r="G370" s="16"/>
      <c r="H370" s="17"/>
    </row>
    <row r="371">
      <c r="A371" s="7"/>
      <c r="E371" s="15"/>
      <c r="F371" s="16"/>
      <c r="G371" s="16"/>
      <c r="H371" s="17"/>
    </row>
    <row r="372">
      <c r="A372" s="7"/>
      <c r="E372" s="15"/>
      <c r="F372" s="16"/>
      <c r="G372" s="16"/>
      <c r="H372" s="17"/>
    </row>
    <row r="373">
      <c r="A373" s="7"/>
      <c r="E373" s="15"/>
      <c r="F373" s="16"/>
      <c r="G373" s="16"/>
      <c r="H373" s="17"/>
    </row>
    <row r="374">
      <c r="A374" s="7"/>
      <c r="E374" s="15"/>
      <c r="F374" s="16"/>
      <c r="G374" s="16"/>
      <c r="H374" s="17"/>
    </row>
    <row r="375">
      <c r="A375" s="7"/>
      <c r="E375" s="15"/>
      <c r="F375" s="16"/>
      <c r="G375" s="16"/>
      <c r="H375" s="17"/>
    </row>
    <row r="376">
      <c r="A376" s="7"/>
      <c r="E376" s="15"/>
      <c r="F376" s="16"/>
      <c r="G376" s="16"/>
      <c r="H376" s="17"/>
    </row>
    <row r="377">
      <c r="A377" s="7"/>
      <c r="E377" s="15"/>
      <c r="F377" s="16"/>
      <c r="G377" s="16"/>
      <c r="H377" s="17"/>
    </row>
    <row r="378">
      <c r="A378" s="7"/>
      <c r="E378" s="15"/>
      <c r="F378" s="16"/>
      <c r="G378" s="16"/>
      <c r="H378" s="17"/>
    </row>
    <row r="379">
      <c r="A379" s="7"/>
      <c r="E379" s="15"/>
      <c r="F379" s="16"/>
      <c r="G379" s="16"/>
      <c r="H379" s="17"/>
    </row>
    <row r="380">
      <c r="A380" s="7"/>
      <c r="E380" s="15"/>
      <c r="F380" s="16"/>
      <c r="G380" s="16"/>
      <c r="H380" s="17"/>
    </row>
    <row r="381">
      <c r="A381" s="7"/>
      <c r="E381" s="15"/>
      <c r="F381" s="16"/>
      <c r="G381" s="16"/>
      <c r="H381" s="17"/>
    </row>
    <row r="382">
      <c r="A382" s="7"/>
      <c r="E382" s="15"/>
      <c r="F382" s="16"/>
      <c r="G382" s="16"/>
      <c r="H382" s="17"/>
    </row>
    <row r="383">
      <c r="A383" s="7"/>
      <c r="E383" s="15"/>
      <c r="F383" s="16"/>
      <c r="G383" s="16"/>
      <c r="H383" s="17"/>
    </row>
    <row r="384">
      <c r="A384" s="7"/>
      <c r="E384" s="15"/>
      <c r="F384" s="16"/>
      <c r="G384" s="16"/>
      <c r="H384" s="17"/>
    </row>
    <row r="385">
      <c r="A385" s="7"/>
      <c r="E385" s="15"/>
      <c r="F385" s="16"/>
      <c r="G385" s="16"/>
      <c r="H385" s="17"/>
    </row>
    <row r="386">
      <c r="A386" s="7"/>
      <c r="E386" s="15"/>
      <c r="F386" s="16"/>
      <c r="G386" s="16"/>
      <c r="H386" s="17"/>
    </row>
    <row r="387">
      <c r="A387" s="7"/>
      <c r="E387" s="15"/>
      <c r="F387" s="16"/>
      <c r="G387" s="16"/>
      <c r="H387" s="17"/>
    </row>
    <row r="388">
      <c r="A388" s="7"/>
      <c r="E388" s="15"/>
      <c r="F388" s="16"/>
      <c r="G388" s="16"/>
      <c r="H388" s="17"/>
    </row>
    <row r="389">
      <c r="A389" s="7"/>
      <c r="E389" s="15"/>
      <c r="F389" s="16"/>
      <c r="G389" s="16"/>
      <c r="H389" s="17"/>
    </row>
    <row r="390">
      <c r="A390" s="7"/>
      <c r="E390" s="15"/>
      <c r="F390" s="16"/>
      <c r="G390" s="16"/>
      <c r="H390" s="17"/>
    </row>
    <row r="391">
      <c r="A391" s="7"/>
      <c r="E391" s="15"/>
      <c r="F391" s="16"/>
      <c r="G391" s="16"/>
      <c r="H391" s="17"/>
    </row>
    <row r="392">
      <c r="A392" s="7"/>
      <c r="E392" s="15"/>
      <c r="F392" s="16"/>
      <c r="G392" s="16"/>
      <c r="H392" s="17"/>
    </row>
    <row r="393">
      <c r="A393" s="7"/>
      <c r="E393" s="15"/>
      <c r="F393" s="16"/>
      <c r="G393" s="16"/>
      <c r="H393" s="17"/>
    </row>
    <row r="394">
      <c r="A394" s="7"/>
      <c r="E394" s="15"/>
      <c r="F394" s="16"/>
      <c r="G394" s="16"/>
      <c r="H394" s="17"/>
    </row>
    <row r="395">
      <c r="A395" s="7"/>
      <c r="E395" s="15"/>
      <c r="F395" s="16"/>
      <c r="G395" s="16"/>
      <c r="H395" s="17"/>
    </row>
    <row r="396">
      <c r="A396" s="7"/>
      <c r="E396" s="15"/>
      <c r="F396" s="16"/>
      <c r="G396" s="16"/>
      <c r="H396" s="17"/>
    </row>
    <row r="397">
      <c r="A397" s="7"/>
      <c r="E397" s="15"/>
      <c r="F397" s="16"/>
      <c r="G397" s="16"/>
      <c r="H397" s="17"/>
    </row>
    <row r="398">
      <c r="A398" s="7"/>
      <c r="E398" s="15"/>
      <c r="F398" s="16"/>
      <c r="G398" s="16"/>
      <c r="H398" s="17"/>
    </row>
    <row r="399">
      <c r="A399" s="7"/>
      <c r="E399" s="15"/>
      <c r="F399" s="16"/>
      <c r="G399" s="16"/>
      <c r="H399" s="17"/>
    </row>
    <row r="400">
      <c r="A400" s="7"/>
      <c r="E400" s="15"/>
      <c r="F400" s="16"/>
      <c r="G400" s="16"/>
      <c r="H400" s="17"/>
    </row>
    <row r="401">
      <c r="A401" s="7"/>
      <c r="E401" s="15"/>
      <c r="F401" s="16"/>
      <c r="G401" s="16"/>
      <c r="H401" s="17"/>
    </row>
    <row r="402">
      <c r="A402" s="7"/>
      <c r="E402" s="15"/>
      <c r="F402" s="16"/>
      <c r="G402" s="16"/>
      <c r="H402" s="17"/>
    </row>
    <row r="403">
      <c r="A403" s="7"/>
      <c r="E403" s="15"/>
      <c r="F403" s="16"/>
      <c r="G403" s="16"/>
      <c r="H403" s="17"/>
    </row>
    <row r="404">
      <c r="A404" s="7"/>
      <c r="E404" s="15"/>
      <c r="F404" s="16"/>
      <c r="G404" s="16"/>
      <c r="H404" s="17"/>
    </row>
    <row r="405">
      <c r="A405" s="7"/>
      <c r="E405" s="15"/>
      <c r="F405" s="16"/>
      <c r="G405" s="16"/>
      <c r="H405" s="17"/>
    </row>
    <row r="406">
      <c r="A406" s="7"/>
      <c r="E406" s="15"/>
      <c r="F406" s="16"/>
      <c r="G406" s="16"/>
      <c r="H406" s="17"/>
    </row>
    <row r="407">
      <c r="A407" s="7"/>
      <c r="E407" s="15"/>
      <c r="F407" s="16"/>
      <c r="G407" s="16"/>
      <c r="H407" s="17"/>
    </row>
    <row r="408">
      <c r="A408" s="7"/>
      <c r="E408" s="15"/>
      <c r="F408" s="16"/>
      <c r="G408" s="16"/>
      <c r="H408" s="17"/>
    </row>
    <row r="409">
      <c r="A409" s="7"/>
      <c r="E409" s="15"/>
      <c r="F409" s="16"/>
      <c r="G409" s="16"/>
      <c r="H409" s="17"/>
    </row>
    <row r="410">
      <c r="A410" s="7"/>
      <c r="E410" s="15"/>
      <c r="F410" s="16"/>
      <c r="G410" s="16"/>
      <c r="H410" s="17"/>
    </row>
    <row r="411">
      <c r="A411" s="7"/>
      <c r="E411" s="15"/>
      <c r="F411" s="16"/>
      <c r="G411" s="16"/>
      <c r="H411" s="17"/>
    </row>
    <row r="412">
      <c r="A412" s="7"/>
      <c r="E412" s="15"/>
      <c r="F412" s="16"/>
      <c r="G412" s="16"/>
      <c r="H412" s="17"/>
    </row>
    <row r="413">
      <c r="A413" s="7"/>
      <c r="E413" s="15"/>
      <c r="F413" s="16"/>
      <c r="G413" s="16"/>
      <c r="H413" s="17"/>
    </row>
    <row r="414">
      <c r="A414" s="7"/>
      <c r="E414" s="15"/>
      <c r="F414" s="16"/>
      <c r="G414" s="16"/>
      <c r="H414" s="17"/>
    </row>
    <row r="415">
      <c r="A415" s="7"/>
      <c r="E415" s="15"/>
      <c r="F415" s="16"/>
      <c r="G415" s="16"/>
      <c r="H415" s="17"/>
    </row>
    <row r="416">
      <c r="A416" s="7"/>
      <c r="E416" s="15"/>
      <c r="F416" s="16"/>
      <c r="G416" s="16"/>
      <c r="H416" s="17"/>
    </row>
    <row r="417">
      <c r="A417" s="7"/>
      <c r="E417" s="15"/>
      <c r="F417" s="16"/>
      <c r="G417" s="16"/>
      <c r="H417" s="17"/>
    </row>
    <row r="418">
      <c r="A418" s="7"/>
      <c r="E418" s="15"/>
      <c r="F418" s="16"/>
      <c r="G418" s="16"/>
      <c r="H418" s="17"/>
    </row>
    <row r="419">
      <c r="A419" s="7"/>
      <c r="E419" s="15"/>
      <c r="F419" s="16"/>
      <c r="G419" s="16"/>
      <c r="H419" s="17"/>
    </row>
    <row r="420">
      <c r="A420" s="7"/>
      <c r="E420" s="15"/>
      <c r="F420" s="16"/>
      <c r="G420" s="16"/>
      <c r="H420" s="17"/>
    </row>
    <row r="421">
      <c r="A421" s="7"/>
      <c r="E421" s="15"/>
      <c r="F421" s="16"/>
      <c r="G421" s="16"/>
      <c r="H421" s="17"/>
    </row>
    <row r="422">
      <c r="A422" s="7"/>
      <c r="E422" s="15"/>
      <c r="F422" s="16"/>
      <c r="G422" s="16"/>
      <c r="H422" s="17"/>
    </row>
    <row r="423">
      <c r="A423" s="7"/>
      <c r="E423" s="15"/>
      <c r="F423" s="16"/>
      <c r="G423" s="16"/>
      <c r="H423" s="17"/>
    </row>
    <row r="424">
      <c r="A424" s="7"/>
      <c r="E424" s="15"/>
      <c r="F424" s="16"/>
      <c r="G424" s="16"/>
      <c r="H424" s="17"/>
    </row>
    <row r="425">
      <c r="A425" s="7"/>
      <c r="E425" s="15"/>
      <c r="F425" s="16"/>
      <c r="G425" s="16"/>
      <c r="H425" s="17"/>
    </row>
    <row r="426">
      <c r="A426" s="7"/>
      <c r="E426" s="15"/>
      <c r="F426" s="16"/>
      <c r="G426" s="16"/>
      <c r="H426" s="17"/>
    </row>
    <row r="427">
      <c r="A427" s="7"/>
      <c r="E427" s="15"/>
      <c r="F427" s="16"/>
      <c r="G427" s="16"/>
      <c r="H427" s="17"/>
    </row>
    <row r="428">
      <c r="A428" s="7"/>
      <c r="E428" s="15"/>
      <c r="F428" s="16"/>
      <c r="G428" s="16"/>
      <c r="H428" s="17"/>
    </row>
    <row r="429">
      <c r="A429" s="7"/>
      <c r="E429" s="15"/>
      <c r="F429" s="16"/>
      <c r="G429" s="16"/>
      <c r="H429" s="17"/>
    </row>
    <row r="430">
      <c r="A430" s="7"/>
      <c r="E430" s="15"/>
      <c r="F430" s="16"/>
      <c r="G430" s="16"/>
      <c r="H430" s="17"/>
    </row>
    <row r="431">
      <c r="A431" s="7"/>
      <c r="E431" s="15"/>
      <c r="F431" s="16"/>
      <c r="G431" s="16"/>
      <c r="H431" s="17"/>
    </row>
    <row r="432">
      <c r="A432" s="7"/>
      <c r="E432" s="15"/>
      <c r="F432" s="16"/>
      <c r="G432" s="16"/>
      <c r="H432" s="17"/>
    </row>
    <row r="433">
      <c r="A433" s="7"/>
      <c r="E433" s="15"/>
      <c r="F433" s="16"/>
      <c r="G433" s="16"/>
      <c r="H433" s="17"/>
    </row>
    <row r="434">
      <c r="A434" s="7"/>
      <c r="E434" s="15"/>
      <c r="F434" s="16"/>
      <c r="G434" s="16"/>
      <c r="H434" s="17"/>
    </row>
    <row r="435">
      <c r="A435" s="7"/>
      <c r="E435" s="15"/>
      <c r="F435" s="16"/>
      <c r="G435" s="16"/>
      <c r="H435" s="17"/>
    </row>
    <row r="436">
      <c r="A436" s="7"/>
      <c r="E436" s="15"/>
      <c r="F436" s="16"/>
      <c r="G436" s="16"/>
      <c r="H436" s="17"/>
    </row>
    <row r="437">
      <c r="A437" s="7"/>
      <c r="E437" s="15"/>
      <c r="F437" s="16"/>
      <c r="G437" s="16"/>
      <c r="H437" s="17"/>
    </row>
    <row r="438">
      <c r="A438" s="7"/>
      <c r="E438" s="15"/>
      <c r="F438" s="16"/>
      <c r="G438" s="16"/>
      <c r="H438" s="17"/>
    </row>
    <row r="439">
      <c r="A439" s="7"/>
      <c r="E439" s="15"/>
      <c r="F439" s="16"/>
      <c r="G439" s="16"/>
      <c r="H439" s="17"/>
    </row>
    <row r="440">
      <c r="A440" s="7"/>
      <c r="E440" s="15"/>
      <c r="F440" s="16"/>
      <c r="G440" s="16"/>
      <c r="H440" s="17"/>
    </row>
    <row r="441">
      <c r="A441" s="7"/>
      <c r="E441" s="15"/>
      <c r="F441" s="16"/>
      <c r="G441" s="16"/>
      <c r="H441" s="17"/>
    </row>
    <row r="442">
      <c r="A442" s="7"/>
      <c r="E442" s="15"/>
      <c r="F442" s="16"/>
      <c r="G442" s="16"/>
      <c r="H442" s="17"/>
    </row>
    <row r="443">
      <c r="A443" s="7"/>
      <c r="E443" s="15"/>
      <c r="F443" s="16"/>
      <c r="G443" s="16"/>
      <c r="H443" s="17"/>
    </row>
    <row r="444">
      <c r="A444" s="7"/>
      <c r="E444" s="15"/>
      <c r="F444" s="16"/>
      <c r="G444" s="16"/>
      <c r="H444" s="17"/>
    </row>
    <row r="445">
      <c r="A445" s="7"/>
      <c r="E445" s="15"/>
      <c r="F445" s="16"/>
      <c r="G445" s="16"/>
      <c r="H445" s="17"/>
    </row>
    <row r="446">
      <c r="A446" s="7"/>
      <c r="E446" s="15"/>
      <c r="F446" s="16"/>
      <c r="G446" s="16"/>
      <c r="H446" s="17"/>
    </row>
    <row r="447">
      <c r="A447" s="7"/>
      <c r="E447" s="15"/>
      <c r="F447" s="16"/>
      <c r="G447" s="16"/>
      <c r="H447" s="17"/>
    </row>
    <row r="448">
      <c r="A448" s="7"/>
      <c r="E448" s="15"/>
      <c r="F448" s="16"/>
      <c r="G448" s="16"/>
      <c r="H448" s="17"/>
    </row>
    <row r="449">
      <c r="A449" s="7"/>
      <c r="E449" s="15"/>
      <c r="F449" s="16"/>
      <c r="G449" s="16"/>
      <c r="H449" s="17"/>
    </row>
    <row r="450">
      <c r="A450" s="7"/>
      <c r="E450" s="15"/>
      <c r="F450" s="16"/>
      <c r="G450" s="16"/>
      <c r="H450" s="17"/>
    </row>
    <row r="451">
      <c r="A451" s="7"/>
      <c r="E451" s="15"/>
      <c r="F451" s="16"/>
      <c r="G451" s="16"/>
      <c r="H451" s="17"/>
    </row>
    <row r="452">
      <c r="A452" s="7"/>
      <c r="E452" s="15"/>
      <c r="F452" s="16"/>
      <c r="G452" s="16"/>
      <c r="H452" s="17"/>
    </row>
    <row r="453">
      <c r="A453" s="7"/>
      <c r="E453" s="15"/>
      <c r="F453" s="16"/>
      <c r="G453" s="16"/>
      <c r="H453" s="17"/>
    </row>
    <row r="454">
      <c r="A454" s="7"/>
      <c r="E454" s="15"/>
      <c r="F454" s="16"/>
      <c r="G454" s="16"/>
      <c r="H454" s="17"/>
    </row>
    <row r="455">
      <c r="A455" s="7"/>
      <c r="E455" s="15"/>
      <c r="F455" s="16"/>
      <c r="G455" s="16"/>
      <c r="H455" s="17"/>
    </row>
    <row r="456">
      <c r="A456" s="7"/>
      <c r="E456" s="15"/>
      <c r="F456" s="16"/>
      <c r="G456" s="16"/>
      <c r="H456" s="17"/>
    </row>
    <row r="457">
      <c r="A457" s="7"/>
      <c r="E457" s="15"/>
      <c r="F457" s="16"/>
      <c r="G457" s="16"/>
      <c r="H457" s="17"/>
    </row>
    <row r="458">
      <c r="A458" s="7"/>
      <c r="E458" s="15"/>
      <c r="F458" s="16"/>
      <c r="G458" s="16"/>
      <c r="H458" s="17"/>
    </row>
    <row r="459">
      <c r="A459" s="7"/>
      <c r="E459" s="15"/>
      <c r="F459" s="16"/>
      <c r="G459" s="16"/>
      <c r="H459" s="17"/>
    </row>
    <row r="460">
      <c r="A460" s="7"/>
      <c r="E460" s="15"/>
      <c r="F460" s="16"/>
      <c r="G460" s="16"/>
      <c r="H460" s="17"/>
    </row>
    <row r="461">
      <c r="A461" s="7"/>
      <c r="E461" s="15"/>
      <c r="F461" s="16"/>
      <c r="G461" s="16"/>
      <c r="H461" s="17"/>
    </row>
    <row r="462">
      <c r="A462" s="7"/>
      <c r="E462" s="15"/>
      <c r="F462" s="16"/>
      <c r="G462" s="16"/>
      <c r="H462" s="17"/>
    </row>
    <row r="463">
      <c r="A463" s="7"/>
      <c r="E463" s="15"/>
      <c r="F463" s="16"/>
      <c r="G463" s="16"/>
      <c r="H463" s="17"/>
    </row>
    <row r="464">
      <c r="A464" s="7"/>
      <c r="E464" s="15"/>
      <c r="F464" s="16"/>
      <c r="G464" s="16"/>
      <c r="H464" s="17"/>
    </row>
    <row r="465">
      <c r="A465" s="7"/>
      <c r="E465" s="15"/>
      <c r="F465" s="16"/>
      <c r="G465" s="16"/>
      <c r="H465" s="17"/>
    </row>
    <row r="466">
      <c r="A466" s="7"/>
      <c r="E466" s="15"/>
      <c r="F466" s="16"/>
      <c r="G466" s="16"/>
      <c r="H466" s="17"/>
    </row>
    <row r="467">
      <c r="A467" s="7"/>
      <c r="E467" s="15"/>
      <c r="F467" s="16"/>
      <c r="G467" s="16"/>
      <c r="H467" s="17"/>
    </row>
    <row r="468">
      <c r="A468" s="7"/>
      <c r="E468" s="15"/>
      <c r="F468" s="16"/>
      <c r="G468" s="16"/>
      <c r="H468" s="17"/>
    </row>
    <row r="469">
      <c r="A469" s="7"/>
      <c r="E469" s="15"/>
      <c r="F469" s="16"/>
      <c r="G469" s="16"/>
      <c r="H469" s="17"/>
    </row>
    <row r="470">
      <c r="A470" s="7"/>
      <c r="E470" s="15"/>
      <c r="F470" s="16"/>
      <c r="G470" s="16"/>
      <c r="H470" s="17"/>
    </row>
    <row r="471">
      <c r="A471" s="7"/>
      <c r="E471" s="15"/>
      <c r="F471" s="16"/>
      <c r="G471" s="16"/>
      <c r="H471" s="17"/>
    </row>
    <row r="472">
      <c r="A472" s="7"/>
      <c r="E472" s="15"/>
      <c r="F472" s="16"/>
      <c r="G472" s="16"/>
      <c r="H472" s="17"/>
    </row>
    <row r="473">
      <c r="A473" s="7"/>
      <c r="E473" s="15"/>
      <c r="F473" s="16"/>
      <c r="G473" s="16"/>
      <c r="H473" s="17"/>
    </row>
    <row r="474">
      <c r="A474" s="7"/>
      <c r="E474" s="15"/>
      <c r="F474" s="16"/>
      <c r="G474" s="16"/>
      <c r="H474" s="17"/>
    </row>
    <row r="475">
      <c r="A475" s="7"/>
      <c r="E475" s="15"/>
      <c r="F475" s="16"/>
      <c r="G475" s="16"/>
      <c r="H475" s="17"/>
    </row>
    <row r="476">
      <c r="A476" s="7"/>
      <c r="E476" s="15"/>
      <c r="F476" s="16"/>
      <c r="G476" s="16"/>
      <c r="H476" s="17"/>
    </row>
    <row r="477">
      <c r="A477" s="7"/>
      <c r="E477" s="15"/>
      <c r="F477" s="16"/>
      <c r="G477" s="16"/>
      <c r="H477" s="17"/>
    </row>
    <row r="478">
      <c r="A478" s="7"/>
      <c r="E478" s="15"/>
      <c r="F478" s="16"/>
      <c r="G478" s="16"/>
      <c r="H478" s="17"/>
    </row>
    <row r="479">
      <c r="A479" s="7"/>
      <c r="E479" s="15"/>
      <c r="F479" s="16"/>
      <c r="G479" s="16"/>
      <c r="H479" s="17"/>
    </row>
    <row r="480">
      <c r="A480" s="7"/>
      <c r="E480" s="15"/>
      <c r="F480" s="16"/>
      <c r="G480" s="16"/>
      <c r="H480" s="17"/>
    </row>
    <row r="481">
      <c r="A481" s="7"/>
      <c r="E481" s="15"/>
      <c r="F481" s="16"/>
      <c r="G481" s="16"/>
      <c r="H481" s="17"/>
    </row>
    <row r="482">
      <c r="A482" s="7"/>
      <c r="E482" s="15"/>
      <c r="F482" s="16"/>
      <c r="G482" s="16"/>
      <c r="H482" s="17"/>
    </row>
    <row r="483">
      <c r="A483" s="7"/>
      <c r="E483" s="15"/>
      <c r="F483" s="16"/>
      <c r="G483" s="16"/>
      <c r="H483" s="17"/>
    </row>
    <row r="484">
      <c r="A484" s="7"/>
      <c r="E484" s="15"/>
      <c r="F484" s="16"/>
      <c r="G484" s="16"/>
      <c r="H484" s="17"/>
    </row>
    <row r="485">
      <c r="A485" s="7"/>
      <c r="E485" s="15"/>
      <c r="F485" s="16"/>
      <c r="G485" s="16"/>
      <c r="H485" s="17"/>
    </row>
    <row r="486">
      <c r="A486" s="7"/>
      <c r="E486" s="15"/>
      <c r="F486" s="16"/>
      <c r="G486" s="16"/>
      <c r="H486" s="17"/>
    </row>
    <row r="487">
      <c r="A487" s="7"/>
      <c r="E487" s="15"/>
      <c r="F487" s="16"/>
      <c r="G487" s="16"/>
      <c r="H487" s="17"/>
    </row>
    <row r="488">
      <c r="A488" s="7"/>
      <c r="E488" s="15"/>
      <c r="F488" s="16"/>
      <c r="G488" s="16"/>
      <c r="H488" s="17"/>
    </row>
    <row r="489">
      <c r="A489" s="7"/>
      <c r="E489" s="15"/>
      <c r="F489" s="16"/>
      <c r="G489" s="16"/>
      <c r="H489" s="17"/>
    </row>
    <row r="490">
      <c r="A490" s="7"/>
      <c r="E490" s="15"/>
      <c r="F490" s="16"/>
      <c r="G490" s="16"/>
      <c r="H490" s="17"/>
    </row>
    <row r="491">
      <c r="A491" s="7"/>
      <c r="E491" s="15"/>
      <c r="F491" s="16"/>
      <c r="G491" s="16"/>
      <c r="H491" s="17"/>
    </row>
    <row r="492">
      <c r="A492" s="7"/>
      <c r="E492" s="15"/>
      <c r="F492" s="16"/>
      <c r="G492" s="16"/>
      <c r="H492" s="17"/>
    </row>
    <row r="493">
      <c r="A493" s="7"/>
      <c r="E493" s="15"/>
      <c r="F493" s="16"/>
      <c r="G493" s="16"/>
      <c r="H493" s="17"/>
    </row>
    <row r="494">
      <c r="A494" s="7"/>
      <c r="E494" s="15"/>
      <c r="F494" s="16"/>
      <c r="G494" s="16"/>
      <c r="H494" s="17"/>
    </row>
    <row r="495">
      <c r="A495" s="7"/>
      <c r="E495" s="15"/>
      <c r="F495" s="16"/>
      <c r="G495" s="16"/>
      <c r="H495" s="17"/>
    </row>
    <row r="496">
      <c r="A496" s="7"/>
      <c r="E496" s="15"/>
      <c r="F496" s="16"/>
      <c r="G496" s="16"/>
      <c r="H496" s="17"/>
    </row>
    <row r="497">
      <c r="A497" s="7"/>
      <c r="E497" s="15"/>
      <c r="F497" s="16"/>
      <c r="G497" s="16"/>
      <c r="H497" s="17"/>
    </row>
    <row r="498">
      <c r="A498" s="7"/>
      <c r="E498" s="15"/>
      <c r="F498" s="16"/>
      <c r="G498" s="16"/>
      <c r="H498" s="17"/>
    </row>
    <row r="499">
      <c r="A499" s="7"/>
      <c r="E499" s="15"/>
      <c r="F499" s="16"/>
      <c r="G499" s="16"/>
      <c r="H499" s="17"/>
    </row>
    <row r="500">
      <c r="A500" s="7"/>
      <c r="E500" s="15"/>
      <c r="F500" s="16"/>
      <c r="G500" s="16"/>
      <c r="H500" s="17"/>
    </row>
    <row r="501">
      <c r="A501" s="7"/>
      <c r="E501" s="15"/>
      <c r="F501" s="16"/>
      <c r="G501" s="16"/>
      <c r="H501" s="17"/>
    </row>
    <row r="502">
      <c r="A502" s="7"/>
      <c r="E502" s="15"/>
      <c r="F502" s="16"/>
      <c r="G502" s="16"/>
      <c r="H502" s="17"/>
    </row>
    <row r="503">
      <c r="A503" s="7"/>
      <c r="E503" s="15"/>
      <c r="F503" s="16"/>
      <c r="G503" s="16"/>
      <c r="H503" s="17"/>
    </row>
    <row r="504">
      <c r="A504" s="7"/>
      <c r="E504" s="15"/>
      <c r="F504" s="16"/>
      <c r="G504" s="16"/>
      <c r="H504" s="17"/>
    </row>
    <row r="505">
      <c r="A505" s="7"/>
      <c r="E505" s="15"/>
      <c r="F505" s="16"/>
      <c r="G505" s="16"/>
      <c r="H505" s="17"/>
    </row>
    <row r="506">
      <c r="A506" s="7"/>
      <c r="E506" s="15"/>
      <c r="F506" s="16"/>
      <c r="G506" s="16"/>
      <c r="H506" s="17"/>
    </row>
    <row r="507">
      <c r="A507" s="7"/>
      <c r="E507" s="15"/>
      <c r="F507" s="16"/>
      <c r="G507" s="16"/>
      <c r="H507" s="17"/>
    </row>
    <row r="508">
      <c r="A508" s="7"/>
      <c r="E508" s="15"/>
      <c r="F508" s="16"/>
      <c r="G508" s="16"/>
      <c r="H508" s="17"/>
    </row>
    <row r="509">
      <c r="A509" s="7"/>
      <c r="E509" s="15"/>
      <c r="F509" s="16"/>
      <c r="G509" s="16"/>
      <c r="H509" s="17"/>
    </row>
    <row r="510">
      <c r="A510" s="7"/>
      <c r="E510" s="15"/>
      <c r="F510" s="16"/>
      <c r="G510" s="16"/>
      <c r="H510" s="17"/>
    </row>
    <row r="511">
      <c r="A511" s="7"/>
      <c r="E511" s="15"/>
      <c r="F511" s="16"/>
      <c r="G511" s="16"/>
      <c r="H511" s="17"/>
    </row>
    <row r="512">
      <c r="A512" s="7"/>
      <c r="E512" s="15"/>
      <c r="F512" s="16"/>
      <c r="G512" s="16"/>
      <c r="H512" s="17"/>
    </row>
    <row r="513">
      <c r="A513" s="7"/>
      <c r="E513" s="15"/>
      <c r="F513" s="16"/>
      <c r="G513" s="16"/>
      <c r="H513" s="17"/>
    </row>
    <row r="514">
      <c r="A514" s="7"/>
      <c r="E514" s="15"/>
      <c r="F514" s="16"/>
      <c r="G514" s="16"/>
      <c r="H514" s="17"/>
    </row>
    <row r="515">
      <c r="A515" s="7"/>
      <c r="E515" s="15"/>
      <c r="F515" s="16"/>
      <c r="G515" s="16"/>
      <c r="H515" s="17"/>
    </row>
    <row r="516">
      <c r="A516" s="7"/>
      <c r="E516" s="15"/>
      <c r="F516" s="16"/>
      <c r="G516" s="16"/>
      <c r="H516" s="17"/>
    </row>
    <row r="517">
      <c r="A517" s="7"/>
      <c r="E517" s="15"/>
      <c r="F517" s="16"/>
      <c r="G517" s="16"/>
      <c r="H517" s="17"/>
    </row>
    <row r="518">
      <c r="A518" s="7"/>
      <c r="E518" s="15"/>
      <c r="F518" s="16"/>
      <c r="G518" s="16"/>
      <c r="H518" s="17"/>
    </row>
    <row r="519">
      <c r="A519" s="7"/>
      <c r="E519" s="15"/>
      <c r="F519" s="16"/>
      <c r="G519" s="16"/>
      <c r="H519" s="17"/>
    </row>
    <row r="520">
      <c r="A520" s="7"/>
      <c r="E520" s="15"/>
      <c r="F520" s="16"/>
      <c r="G520" s="16"/>
      <c r="H520" s="17"/>
    </row>
    <row r="521">
      <c r="A521" s="7"/>
      <c r="E521" s="15"/>
      <c r="F521" s="16"/>
      <c r="G521" s="16"/>
      <c r="H521" s="17"/>
    </row>
    <row r="522">
      <c r="A522" s="7"/>
      <c r="E522" s="15"/>
      <c r="F522" s="16"/>
      <c r="G522" s="16"/>
      <c r="H522" s="17"/>
    </row>
    <row r="523">
      <c r="A523" s="7"/>
      <c r="E523" s="15"/>
      <c r="F523" s="16"/>
      <c r="G523" s="16"/>
      <c r="H523" s="17"/>
    </row>
    <row r="524">
      <c r="A524" s="7"/>
      <c r="E524" s="15"/>
      <c r="F524" s="16"/>
      <c r="G524" s="16"/>
      <c r="H524" s="17"/>
    </row>
    <row r="525">
      <c r="A525" s="7"/>
      <c r="E525" s="15"/>
      <c r="F525" s="16"/>
      <c r="G525" s="16"/>
      <c r="H525" s="17"/>
    </row>
    <row r="526">
      <c r="A526" s="7"/>
      <c r="E526" s="15"/>
      <c r="F526" s="16"/>
      <c r="G526" s="16"/>
      <c r="H526" s="17"/>
    </row>
    <row r="527">
      <c r="A527" s="7"/>
      <c r="E527" s="15"/>
      <c r="F527" s="16"/>
      <c r="G527" s="16"/>
      <c r="H527" s="17"/>
    </row>
    <row r="528">
      <c r="A528" s="7"/>
      <c r="E528" s="15"/>
      <c r="F528" s="16"/>
      <c r="G528" s="16"/>
      <c r="H528" s="17"/>
    </row>
    <row r="529">
      <c r="A529" s="7"/>
      <c r="E529" s="15"/>
      <c r="F529" s="16"/>
      <c r="G529" s="16"/>
      <c r="H529" s="17"/>
    </row>
    <row r="530">
      <c r="A530" s="7"/>
      <c r="E530" s="15"/>
      <c r="F530" s="16"/>
      <c r="G530" s="16"/>
      <c r="H530" s="17"/>
    </row>
    <row r="531">
      <c r="A531" s="7"/>
      <c r="E531" s="15"/>
      <c r="F531" s="16"/>
      <c r="G531" s="16"/>
      <c r="H531" s="17"/>
    </row>
    <row r="532">
      <c r="A532" s="7"/>
      <c r="E532" s="15"/>
      <c r="F532" s="16"/>
      <c r="G532" s="16"/>
      <c r="H532" s="17"/>
    </row>
    <row r="533">
      <c r="A533" s="7"/>
      <c r="E533" s="15"/>
      <c r="F533" s="16"/>
      <c r="G533" s="16"/>
      <c r="H533" s="17"/>
    </row>
    <row r="534">
      <c r="A534" s="7"/>
      <c r="E534" s="15"/>
      <c r="F534" s="16"/>
      <c r="G534" s="16"/>
      <c r="H534" s="17"/>
    </row>
    <row r="535">
      <c r="A535" s="7"/>
      <c r="E535" s="15"/>
      <c r="F535" s="16"/>
      <c r="G535" s="16"/>
      <c r="H535" s="17"/>
    </row>
    <row r="536">
      <c r="A536" s="7"/>
      <c r="E536" s="15"/>
      <c r="F536" s="16"/>
      <c r="G536" s="16"/>
      <c r="H536" s="17"/>
    </row>
    <row r="537">
      <c r="A537" s="7"/>
      <c r="E537" s="15"/>
      <c r="F537" s="16"/>
      <c r="G537" s="16"/>
      <c r="H537" s="17"/>
    </row>
    <row r="538">
      <c r="A538" s="7"/>
      <c r="E538" s="15"/>
      <c r="F538" s="16"/>
      <c r="G538" s="16"/>
      <c r="H538" s="17"/>
    </row>
    <row r="539">
      <c r="A539" s="7"/>
      <c r="E539" s="15"/>
      <c r="F539" s="16"/>
      <c r="G539" s="16"/>
      <c r="H539" s="17"/>
    </row>
    <row r="540">
      <c r="A540" s="7"/>
      <c r="E540" s="15"/>
      <c r="F540" s="16"/>
      <c r="G540" s="16"/>
      <c r="H540" s="17"/>
    </row>
    <row r="541">
      <c r="A541" s="7"/>
      <c r="E541" s="15"/>
      <c r="F541" s="16"/>
      <c r="G541" s="16"/>
      <c r="H541" s="17"/>
    </row>
    <row r="542">
      <c r="A542" s="7"/>
      <c r="E542" s="15"/>
      <c r="F542" s="16"/>
      <c r="G542" s="16"/>
      <c r="H542" s="17"/>
    </row>
    <row r="543">
      <c r="A543" s="7"/>
      <c r="E543" s="15"/>
      <c r="F543" s="16"/>
      <c r="G543" s="16"/>
      <c r="H543" s="17"/>
    </row>
    <row r="544">
      <c r="A544" s="7"/>
      <c r="E544" s="15"/>
      <c r="F544" s="16"/>
      <c r="G544" s="16"/>
      <c r="H544" s="17"/>
    </row>
    <row r="545">
      <c r="A545" s="7"/>
      <c r="E545" s="15"/>
      <c r="F545" s="16"/>
      <c r="G545" s="16"/>
      <c r="H545" s="17"/>
    </row>
    <row r="546">
      <c r="A546" s="7"/>
      <c r="E546" s="15"/>
      <c r="F546" s="16"/>
      <c r="G546" s="16"/>
      <c r="H546" s="17"/>
    </row>
    <row r="547">
      <c r="A547" s="7"/>
      <c r="E547" s="15"/>
      <c r="F547" s="16"/>
      <c r="G547" s="16"/>
      <c r="H547" s="17"/>
    </row>
    <row r="548">
      <c r="A548" s="7"/>
      <c r="E548" s="15"/>
      <c r="F548" s="16"/>
      <c r="G548" s="16"/>
      <c r="H548" s="17"/>
    </row>
    <row r="549">
      <c r="A549" s="7"/>
      <c r="E549" s="15"/>
      <c r="F549" s="16"/>
      <c r="G549" s="16"/>
      <c r="H549" s="17"/>
    </row>
    <row r="550">
      <c r="A550" s="7"/>
      <c r="E550" s="15"/>
      <c r="F550" s="16"/>
      <c r="G550" s="16"/>
      <c r="H550" s="17"/>
    </row>
    <row r="551">
      <c r="A551" s="7"/>
      <c r="E551" s="15"/>
      <c r="F551" s="16"/>
      <c r="G551" s="16"/>
      <c r="H551" s="17"/>
    </row>
    <row r="552">
      <c r="A552" s="7"/>
      <c r="E552" s="15"/>
      <c r="F552" s="16"/>
      <c r="G552" s="16"/>
      <c r="H552" s="17"/>
    </row>
    <row r="553">
      <c r="A553" s="7"/>
      <c r="E553" s="15"/>
      <c r="F553" s="16"/>
      <c r="G553" s="16"/>
      <c r="H553" s="17"/>
    </row>
    <row r="554">
      <c r="A554" s="7"/>
      <c r="E554" s="15"/>
      <c r="F554" s="16"/>
      <c r="G554" s="16"/>
      <c r="H554" s="17"/>
    </row>
    <row r="555">
      <c r="A555" s="7"/>
      <c r="E555" s="15"/>
      <c r="F555" s="16"/>
      <c r="G555" s="16"/>
      <c r="H555" s="17"/>
    </row>
    <row r="556">
      <c r="A556" s="7"/>
      <c r="E556" s="15"/>
      <c r="F556" s="16"/>
      <c r="G556" s="16"/>
      <c r="H556" s="17"/>
    </row>
    <row r="557">
      <c r="A557" s="7"/>
      <c r="E557" s="15"/>
      <c r="F557" s="16"/>
      <c r="G557" s="16"/>
      <c r="H557" s="17"/>
    </row>
    <row r="558">
      <c r="A558" s="7"/>
      <c r="E558" s="15"/>
      <c r="F558" s="16"/>
      <c r="G558" s="16"/>
      <c r="H558" s="17"/>
    </row>
    <row r="559">
      <c r="A559" s="7"/>
      <c r="E559" s="15"/>
      <c r="F559" s="16"/>
      <c r="G559" s="16"/>
      <c r="H559" s="17"/>
    </row>
    <row r="560">
      <c r="A560" s="7"/>
      <c r="E560" s="15"/>
      <c r="F560" s="16"/>
      <c r="G560" s="16"/>
      <c r="H560" s="17"/>
    </row>
    <row r="561">
      <c r="A561" s="7"/>
      <c r="E561" s="15"/>
      <c r="F561" s="16"/>
      <c r="G561" s="16"/>
      <c r="H561" s="17"/>
    </row>
    <row r="562">
      <c r="A562" s="7"/>
      <c r="E562" s="15"/>
      <c r="F562" s="16"/>
      <c r="G562" s="16"/>
      <c r="H562" s="17"/>
    </row>
    <row r="563">
      <c r="A563" s="7"/>
      <c r="E563" s="15"/>
      <c r="F563" s="16"/>
      <c r="G563" s="16"/>
      <c r="H563" s="17"/>
    </row>
    <row r="564">
      <c r="A564" s="7"/>
      <c r="E564" s="15"/>
      <c r="F564" s="16"/>
      <c r="G564" s="16"/>
      <c r="H564" s="17"/>
    </row>
    <row r="565">
      <c r="A565" s="7"/>
      <c r="E565" s="15"/>
      <c r="F565" s="16"/>
      <c r="G565" s="16"/>
      <c r="H565" s="17"/>
    </row>
    <row r="566">
      <c r="A566" s="7"/>
      <c r="E566" s="15"/>
      <c r="F566" s="16"/>
      <c r="G566" s="16"/>
      <c r="H566" s="17"/>
    </row>
    <row r="567">
      <c r="A567" s="7"/>
      <c r="E567" s="15"/>
      <c r="F567" s="16"/>
      <c r="G567" s="16"/>
      <c r="H567" s="17"/>
    </row>
    <row r="568">
      <c r="A568" s="7"/>
      <c r="E568" s="15"/>
      <c r="F568" s="16"/>
      <c r="G568" s="16"/>
      <c r="H568" s="17"/>
    </row>
    <row r="569">
      <c r="A569" s="7"/>
      <c r="E569" s="15"/>
      <c r="F569" s="16"/>
      <c r="G569" s="16"/>
      <c r="H569" s="17"/>
    </row>
    <row r="570">
      <c r="A570" s="7"/>
      <c r="E570" s="15"/>
      <c r="F570" s="16"/>
      <c r="G570" s="16"/>
      <c r="H570" s="17"/>
    </row>
    <row r="571">
      <c r="A571" s="7"/>
      <c r="E571" s="15"/>
      <c r="F571" s="16"/>
      <c r="G571" s="16"/>
      <c r="H571" s="17"/>
    </row>
    <row r="572">
      <c r="A572" s="7"/>
      <c r="E572" s="15"/>
      <c r="F572" s="16"/>
      <c r="G572" s="16"/>
      <c r="H572" s="17"/>
    </row>
    <row r="573">
      <c r="A573" s="7"/>
      <c r="E573" s="15"/>
      <c r="F573" s="16"/>
      <c r="G573" s="16"/>
      <c r="H573" s="17"/>
    </row>
    <row r="574">
      <c r="A574" s="7"/>
      <c r="E574" s="15"/>
      <c r="F574" s="16"/>
      <c r="G574" s="16"/>
      <c r="H574" s="17"/>
    </row>
    <row r="575">
      <c r="A575" s="7"/>
      <c r="E575" s="15"/>
      <c r="F575" s="16"/>
      <c r="G575" s="16"/>
      <c r="H575" s="17"/>
    </row>
    <row r="576">
      <c r="A576" s="7"/>
      <c r="E576" s="15"/>
      <c r="F576" s="16"/>
      <c r="G576" s="16"/>
      <c r="H576" s="17"/>
    </row>
    <row r="577">
      <c r="A577" s="7"/>
      <c r="E577" s="15"/>
      <c r="F577" s="16"/>
      <c r="G577" s="16"/>
      <c r="H577" s="17"/>
    </row>
    <row r="578">
      <c r="A578" s="7"/>
      <c r="E578" s="15"/>
      <c r="F578" s="16"/>
      <c r="G578" s="16"/>
      <c r="H578" s="17"/>
    </row>
    <row r="579">
      <c r="A579" s="7"/>
      <c r="E579" s="15"/>
      <c r="F579" s="16"/>
      <c r="G579" s="16"/>
      <c r="H579" s="17"/>
    </row>
    <row r="580">
      <c r="A580" s="7"/>
      <c r="E580" s="15"/>
      <c r="F580" s="16"/>
      <c r="G580" s="16"/>
      <c r="H580" s="17"/>
    </row>
    <row r="581">
      <c r="A581" s="7"/>
      <c r="E581" s="15"/>
      <c r="F581" s="16"/>
      <c r="G581" s="16"/>
      <c r="H581" s="17"/>
    </row>
    <row r="582">
      <c r="A582" s="7"/>
      <c r="E582" s="15"/>
      <c r="F582" s="16"/>
      <c r="G582" s="16"/>
      <c r="H582" s="17"/>
    </row>
    <row r="583">
      <c r="A583" s="7"/>
      <c r="E583" s="15"/>
      <c r="F583" s="16"/>
      <c r="G583" s="16"/>
      <c r="H583" s="17"/>
    </row>
    <row r="584">
      <c r="A584" s="7"/>
      <c r="E584" s="15"/>
      <c r="F584" s="16"/>
      <c r="G584" s="16"/>
      <c r="H584" s="17"/>
    </row>
    <row r="585">
      <c r="A585" s="7"/>
      <c r="E585" s="15"/>
      <c r="F585" s="16"/>
      <c r="G585" s="16"/>
      <c r="H585" s="17"/>
    </row>
    <row r="586">
      <c r="A586" s="7"/>
      <c r="E586" s="15"/>
      <c r="F586" s="16"/>
      <c r="G586" s="16"/>
      <c r="H586" s="17"/>
    </row>
    <row r="587">
      <c r="A587" s="7"/>
      <c r="E587" s="15"/>
      <c r="F587" s="16"/>
      <c r="G587" s="16"/>
      <c r="H587" s="17"/>
    </row>
    <row r="588">
      <c r="A588" s="7"/>
      <c r="E588" s="15"/>
      <c r="F588" s="16"/>
      <c r="G588" s="16"/>
      <c r="H588" s="17"/>
    </row>
    <row r="589">
      <c r="A589" s="7"/>
      <c r="E589" s="15"/>
      <c r="F589" s="16"/>
      <c r="G589" s="16"/>
      <c r="H589" s="17"/>
    </row>
    <row r="590">
      <c r="A590" s="7"/>
      <c r="E590" s="15"/>
      <c r="F590" s="16"/>
      <c r="G590" s="16"/>
      <c r="H590" s="17"/>
    </row>
    <row r="591">
      <c r="A591" s="7"/>
      <c r="E591" s="15"/>
      <c r="F591" s="16"/>
      <c r="G591" s="16"/>
      <c r="H591" s="17"/>
    </row>
    <row r="592">
      <c r="A592" s="7"/>
      <c r="E592" s="15"/>
      <c r="F592" s="16"/>
      <c r="G592" s="16"/>
      <c r="H592" s="17"/>
    </row>
    <row r="593">
      <c r="A593" s="7"/>
      <c r="E593" s="15"/>
      <c r="F593" s="16"/>
      <c r="G593" s="16"/>
      <c r="H593" s="17"/>
    </row>
    <row r="594">
      <c r="A594" s="7"/>
      <c r="E594" s="15"/>
      <c r="F594" s="16"/>
      <c r="G594" s="16"/>
      <c r="H594" s="17"/>
    </row>
    <row r="595">
      <c r="A595" s="7"/>
      <c r="E595" s="15"/>
      <c r="F595" s="16"/>
      <c r="G595" s="16"/>
      <c r="H595" s="17"/>
    </row>
    <row r="596">
      <c r="A596" s="7"/>
      <c r="E596" s="15"/>
      <c r="F596" s="16"/>
      <c r="G596" s="16"/>
      <c r="H596" s="17"/>
    </row>
    <row r="597">
      <c r="A597" s="7"/>
      <c r="E597" s="15"/>
      <c r="F597" s="16"/>
      <c r="G597" s="16"/>
      <c r="H597" s="17"/>
    </row>
    <row r="598">
      <c r="A598" s="7"/>
      <c r="E598" s="15"/>
      <c r="F598" s="16"/>
      <c r="G598" s="16"/>
      <c r="H598" s="17"/>
    </row>
    <row r="599">
      <c r="A599" s="7"/>
      <c r="E599" s="15"/>
      <c r="F599" s="16"/>
      <c r="G599" s="16"/>
      <c r="H599" s="17"/>
    </row>
    <row r="600">
      <c r="A600" s="7"/>
      <c r="E600" s="15"/>
      <c r="F600" s="16"/>
      <c r="G600" s="16"/>
      <c r="H600" s="17"/>
    </row>
    <row r="601">
      <c r="A601" s="7"/>
      <c r="E601" s="15"/>
      <c r="F601" s="16"/>
      <c r="G601" s="16"/>
      <c r="H601" s="17"/>
    </row>
    <row r="602">
      <c r="A602" s="7"/>
      <c r="E602" s="15"/>
      <c r="F602" s="16"/>
      <c r="G602" s="16"/>
      <c r="H602" s="17"/>
    </row>
    <row r="603">
      <c r="A603" s="7"/>
      <c r="E603" s="15"/>
      <c r="F603" s="16"/>
      <c r="G603" s="16"/>
      <c r="H603" s="17"/>
    </row>
    <row r="604">
      <c r="A604" s="7"/>
      <c r="E604" s="15"/>
      <c r="F604" s="16"/>
      <c r="G604" s="16"/>
      <c r="H604" s="17"/>
    </row>
    <row r="605">
      <c r="A605" s="7"/>
      <c r="E605" s="15"/>
      <c r="F605" s="16"/>
      <c r="G605" s="16"/>
      <c r="H605" s="17"/>
    </row>
    <row r="606">
      <c r="A606" s="7"/>
      <c r="E606" s="15"/>
      <c r="F606" s="16"/>
      <c r="G606" s="16"/>
      <c r="H606" s="17"/>
    </row>
    <row r="607">
      <c r="A607" s="7"/>
      <c r="E607" s="15"/>
      <c r="F607" s="16"/>
      <c r="G607" s="16"/>
      <c r="H607" s="17"/>
    </row>
    <row r="608">
      <c r="A608" s="7"/>
      <c r="E608" s="15"/>
      <c r="F608" s="16"/>
      <c r="G608" s="16"/>
      <c r="H608" s="17"/>
    </row>
    <row r="609">
      <c r="A609" s="7"/>
      <c r="E609" s="15"/>
      <c r="F609" s="16"/>
      <c r="G609" s="16"/>
      <c r="H609" s="17"/>
    </row>
    <row r="610">
      <c r="A610" s="7"/>
      <c r="E610" s="15"/>
      <c r="F610" s="16"/>
      <c r="G610" s="16"/>
      <c r="H610" s="17"/>
    </row>
    <row r="611">
      <c r="A611" s="7"/>
      <c r="E611" s="15"/>
      <c r="F611" s="16"/>
      <c r="G611" s="16"/>
      <c r="H611" s="17"/>
    </row>
    <row r="612">
      <c r="A612" s="7"/>
      <c r="E612" s="15"/>
      <c r="F612" s="16"/>
      <c r="G612" s="16"/>
      <c r="H612" s="17"/>
    </row>
    <row r="613">
      <c r="A613" s="7"/>
      <c r="E613" s="15"/>
      <c r="F613" s="16"/>
      <c r="G613" s="16"/>
      <c r="H613" s="17"/>
    </row>
    <row r="614">
      <c r="A614" s="7"/>
      <c r="E614" s="15"/>
      <c r="F614" s="16"/>
      <c r="G614" s="16"/>
      <c r="H614" s="17"/>
    </row>
    <row r="615">
      <c r="A615" s="7"/>
      <c r="E615" s="15"/>
      <c r="F615" s="16"/>
      <c r="G615" s="16"/>
      <c r="H615" s="17"/>
    </row>
    <row r="616">
      <c r="A616" s="7"/>
      <c r="E616" s="15"/>
      <c r="F616" s="16"/>
      <c r="G616" s="16"/>
      <c r="H616" s="17"/>
    </row>
    <row r="617">
      <c r="A617" s="7"/>
      <c r="E617" s="15"/>
      <c r="F617" s="16"/>
      <c r="G617" s="16"/>
      <c r="H617" s="17"/>
    </row>
    <row r="618">
      <c r="A618" s="7"/>
      <c r="E618" s="15"/>
      <c r="F618" s="16"/>
      <c r="G618" s="16"/>
      <c r="H618" s="17"/>
    </row>
    <row r="619">
      <c r="A619" s="7"/>
      <c r="E619" s="15"/>
      <c r="F619" s="16"/>
      <c r="G619" s="16"/>
      <c r="H619" s="17"/>
    </row>
    <row r="620">
      <c r="A620" s="7"/>
      <c r="E620" s="15"/>
      <c r="F620" s="16"/>
      <c r="G620" s="16"/>
      <c r="H620" s="17"/>
    </row>
    <row r="621">
      <c r="A621" s="7"/>
      <c r="E621" s="15"/>
      <c r="F621" s="16"/>
      <c r="G621" s="16"/>
      <c r="H621" s="17"/>
    </row>
    <row r="622">
      <c r="A622" s="7"/>
      <c r="E622" s="15"/>
      <c r="F622" s="16"/>
      <c r="G622" s="16"/>
      <c r="H622" s="17"/>
    </row>
    <row r="623">
      <c r="A623" s="7"/>
      <c r="E623" s="15"/>
      <c r="F623" s="16"/>
      <c r="G623" s="16"/>
      <c r="H623" s="17"/>
    </row>
    <row r="624">
      <c r="A624" s="7"/>
      <c r="E624" s="15"/>
      <c r="F624" s="16"/>
      <c r="G624" s="16"/>
      <c r="H624" s="17"/>
    </row>
    <row r="625">
      <c r="A625" s="7"/>
      <c r="E625" s="15"/>
      <c r="F625" s="16"/>
      <c r="G625" s="16"/>
      <c r="H625" s="17"/>
    </row>
    <row r="626">
      <c r="A626" s="7"/>
      <c r="E626" s="15"/>
      <c r="F626" s="16"/>
      <c r="G626" s="16"/>
      <c r="H626" s="17"/>
    </row>
    <row r="627">
      <c r="A627" s="7"/>
      <c r="E627" s="15"/>
      <c r="F627" s="16"/>
      <c r="G627" s="16"/>
      <c r="H627" s="17"/>
    </row>
    <row r="628">
      <c r="A628" s="7"/>
      <c r="E628" s="15"/>
      <c r="F628" s="16"/>
      <c r="G628" s="16"/>
      <c r="H628" s="17"/>
    </row>
    <row r="629">
      <c r="A629" s="7"/>
      <c r="E629" s="15"/>
      <c r="F629" s="16"/>
      <c r="G629" s="16"/>
      <c r="H629" s="17"/>
    </row>
    <row r="630">
      <c r="A630" s="7"/>
      <c r="E630" s="15"/>
      <c r="F630" s="16"/>
      <c r="G630" s="16"/>
      <c r="H630" s="17"/>
    </row>
    <row r="631">
      <c r="A631" s="7"/>
      <c r="E631" s="15"/>
      <c r="F631" s="16"/>
      <c r="G631" s="16"/>
      <c r="H631" s="17"/>
    </row>
    <row r="632">
      <c r="A632" s="7"/>
      <c r="E632" s="15"/>
      <c r="F632" s="16"/>
      <c r="G632" s="16"/>
      <c r="H632" s="17"/>
    </row>
    <row r="633">
      <c r="A633" s="7"/>
      <c r="E633" s="15"/>
      <c r="F633" s="16"/>
      <c r="G633" s="16"/>
      <c r="H633" s="17"/>
    </row>
    <row r="634">
      <c r="A634" s="7"/>
      <c r="E634" s="15"/>
      <c r="F634" s="16"/>
      <c r="G634" s="16"/>
      <c r="H634" s="17"/>
    </row>
    <row r="635">
      <c r="A635" s="7"/>
      <c r="E635" s="15"/>
      <c r="F635" s="16"/>
      <c r="G635" s="16"/>
      <c r="H635" s="17"/>
    </row>
    <row r="636">
      <c r="A636" s="7"/>
      <c r="E636" s="15"/>
      <c r="F636" s="16"/>
      <c r="G636" s="16"/>
      <c r="H636" s="17"/>
    </row>
    <row r="637">
      <c r="A637" s="7"/>
      <c r="E637" s="15"/>
      <c r="F637" s="16"/>
      <c r="G637" s="16"/>
      <c r="H637" s="17"/>
    </row>
    <row r="638">
      <c r="A638" s="7"/>
      <c r="E638" s="15"/>
      <c r="F638" s="16"/>
      <c r="G638" s="16"/>
      <c r="H638" s="17"/>
    </row>
    <row r="639">
      <c r="A639" s="7"/>
      <c r="E639" s="15"/>
      <c r="F639" s="16"/>
      <c r="G639" s="16"/>
      <c r="H639" s="17"/>
    </row>
    <row r="640">
      <c r="A640" s="7"/>
      <c r="E640" s="15"/>
      <c r="F640" s="16"/>
      <c r="G640" s="16"/>
      <c r="H640" s="17"/>
    </row>
    <row r="641">
      <c r="A641" s="7"/>
      <c r="E641" s="15"/>
      <c r="F641" s="16"/>
      <c r="G641" s="16"/>
      <c r="H641" s="17"/>
    </row>
    <row r="642">
      <c r="A642" s="7"/>
      <c r="E642" s="15"/>
      <c r="F642" s="16"/>
      <c r="G642" s="16"/>
      <c r="H642" s="17"/>
    </row>
    <row r="643">
      <c r="A643" s="7"/>
      <c r="E643" s="15"/>
      <c r="F643" s="16"/>
      <c r="G643" s="16"/>
      <c r="H643" s="17"/>
    </row>
    <row r="644">
      <c r="A644" s="7"/>
      <c r="E644" s="15"/>
      <c r="F644" s="16"/>
      <c r="G644" s="16"/>
      <c r="H644" s="17"/>
    </row>
    <row r="645">
      <c r="A645" s="7"/>
      <c r="E645" s="15"/>
      <c r="F645" s="16"/>
      <c r="G645" s="16"/>
      <c r="H645" s="17"/>
    </row>
    <row r="646">
      <c r="A646" s="7"/>
      <c r="E646" s="15"/>
      <c r="F646" s="16"/>
      <c r="G646" s="16"/>
      <c r="H646" s="17"/>
    </row>
    <row r="647">
      <c r="A647" s="7"/>
      <c r="E647" s="15"/>
      <c r="F647" s="16"/>
      <c r="G647" s="16"/>
      <c r="H647" s="17"/>
    </row>
    <row r="648">
      <c r="A648" s="7"/>
      <c r="E648" s="15"/>
      <c r="F648" s="16"/>
      <c r="G648" s="16"/>
      <c r="H648" s="17"/>
    </row>
    <row r="649">
      <c r="A649" s="7"/>
      <c r="E649" s="15"/>
      <c r="F649" s="16"/>
      <c r="G649" s="16"/>
      <c r="H649" s="17"/>
    </row>
    <row r="650">
      <c r="A650" s="7"/>
      <c r="E650" s="15"/>
      <c r="F650" s="16"/>
      <c r="G650" s="16"/>
      <c r="H650" s="17"/>
    </row>
    <row r="651">
      <c r="A651" s="7"/>
      <c r="E651" s="15"/>
      <c r="F651" s="16"/>
      <c r="G651" s="16"/>
      <c r="H651" s="17"/>
    </row>
    <row r="652">
      <c r="A652" s="7"/>
      <c r="E652" s="15"/>
      <c r="F652" s="16"/>
      <c r="G652" s="16"/>
      <c r="H652" s="17"/>
    </row>
    <row r="653">
      <c r="A653" s="7"/>
      <c r="E653" s="15"/>
      <c r="F653" s="16"/>
      <c r="G653" s="16"/>
      <c r="H653" s="17"/>
    </row>
    <row r="654">
      <c r="A654" s="7"/>
      <c r="E654" s="15"/>
      <c r="F654" s="16"/>
      <c r="G654" s="16"/>
      <c r="H654" s="17"/>
    </row>
    <row r="655">
      <c r="A655" s="7"/>
      <c r="E655" s="15"/>
      <c r="F655" s="16"/>
      <c r="G655" s="16"/>
      <c r="H655" s="17"/>
    </row>
    <row r="656">
      <c r="A656" s="7"/>
      <c r="E656" s="15"/>
      <c r="F656" s="16"/>
      <c r="G656" s="16"/>
      <c r="H656" s="17"/>
    </row>
    <row r="657">
      <c r="A657" s="7"/>
      <c r="E657" s="15"/>
      <c r="F657" s="16"/>
      <c r="G657" s="16"/>
      <c r="H657" s="17"/>
    </row>
    <row r="658">
      <c r="A658" s="7"/>
      <c r="E658" s="15"/>
      <c r="F658" s="16"/>
      <c r="G658" s="16"/>
      <c r="H658" s="17"/>
    </row>
    <row r="659">
      <c r="A659" s="7"/>
      <c r="E659" s="15"/>
      <c r="F659" s="16"/>
      <c r="G659" s="16"/>
      <c r="H659" s="17"/>
    </row>
    <row r="660">
      <c r="A660" s="7"/>
      <c r="E660" s="15"/>
      <c r="F660" s="16"/>
      <c r="G660" s="16"/>
      <c r="H660" s="17"/>
    </row>
    <row r="661">
      <c r="A661" s="7"/>
      <c r="E661" s="15"/>
      <c r="F661" s="16"/>
      <c r="G661" s="16"/>
      <c r="H661" s="17"/>
    </row>
    <row r="662">
      <c r="A662" s="7"/>
      <c r="E662" s="15"/>
      <c r="F662" s="16"/>
      <c r="G662" s="16"/>
      <c r="H662" s="17"/>
    </row>
    <row r="663">
      <c r="A663" s="7"/>
      <c r="E663" s="15"/>
      <c r="F663" s="16"/>
      <c r="G663" s="16"/>
      <c r="H663" s="17"/>
    </row>
    <row r="664">
      <c r="A664" s="7"/>
      <c r="E664" s="15"/>
      <c r="F664" s="16"/>
      <c r="G664" s="16"/>
      <c r="H664" s="17"/>
    </row>
    <row r="665">
      <c r="A665" s="7"/>
      <c r="E665" s="15"/>
      <c r="F665" s="16"/>
      <c r="G665" s="16"/>
      <c r="H665" s="17"/>
    </row>
    <row r="666">
      <c r="A666" s="7"/>
      <c r="E666" s="15"/>
      <c r="F666" s="16"/>
      <c r="G666" s="16"/>
      <c r="H666" s="17"/>
    </row>
    <row r="667">
      <c r="A667" s="7"/>
      <c r="E667" s="15"/>
      <c r="F667" s="16"/>
      <c r="G667" s="16"/>
      <c r="H667" s="17"/>
    </row>
    <row r="668">
      <c r="A668" s="7"/>
      <c r="E668" s="15"/>
      <c r="F668" s="16"/>
      <c r="G668" s="16"/>
      <c r="H668" s="17"/>
    </row>
    <row r="669">
      <c r="A669" s="7"/>
      <c r="E669" s="15"/>
      <c r="F669" s="16"/>
      <c r="G669" s="16"/>
      <c r="H669" s="17"/>
    </row>
    <row r="670">
      <c r="A670" s="7"/>
      <c r="E670" s="15"/>
      <c r="F670" s="16"/>
      <c r="G670" s="16"/>
      <c r="H670" s="17"/>
    </row>
    <row r="671">
      <c r="A671" s="7"/>
      <c r="E671" s="15"/>
      <c r="F671" s="16"/>
      <c r="G671" s="16"/>
      <c r="H671" s="17"/>
    </row>
    <row r="672">
      <c r="A672" s="7"/>
      <c r="E672" s="15"/>
      <c r="F672" s="16"/>
      <c r="G672" s="16"/>
      <c r="H672" s="17"/>
    </row>
    <row r="673">
      <c r="A673" s="7"/>
      <c r="E673" s="15"/>
      <c r="F673" s="16"/>
      <c r="G673" s="16"/>
      <c r="H673" s="17"/>
    </row>
    <row r="674">
      <c r="A674" s="7"/>
      <c r="E674" s="15"/>
      <c r="F674" s="16"/>
      <c r="G674" s="16"/>
      <c r="H674" s="17"/>
    </row>
    <row r="675">
      <c r="A675" s="7"/>
      <c r="E675" s="15"/>
      <c r="F675" s="16"/>
      <c r="G675" s="16"/>
      <c r="H675" s="17"/>
    </row>
    <row r="676">
      <c r="A676" s="7"/>
      <c r="E676" s="15"/>
      <c r="F676" s="16"/>
      <c r="G676" s="16"/>
      <c r="H676" s="17"/>
    </row>
    <row r="677">
      <c r="A677" s="7"/>
      <c r="E677" s="15"/>
      <c r="F677" s="16"/>
      <c r="G677" s="16"/>
      <c r="H677" s="17"/>
    </row>
    <row r="678">
      <c r="A678" s="7"/>
      <c r="E678" s="15"/>
      <c r="F678" s="16"/>
      <c r="G678" s="16"/>
      <c r="H678" s="17"/>
    </row>
    <row r="679">
      <c r="A679" s="7"/>
      <c r="E679" s="15"/>
      <c r="F679" s="16"/>
      <c r="G679" s="16"/>
      <c r="H679" s="17"/>
    </row>
    <row r="680">
      <c r="A680" s="7"/>
      <c r="E680" s="15"/>
      <c r="F680" s="16"/>
      <c r="G680" s="16"/>
      <c r="H680" s="17"/>
    </row>
    <row r="681">
      <c r="A681" s="7"/>
      <c r="E681" s="15"/>
      <c r="F681" s="16"/>
      <c r="G681" s="16"/>
      <c r="H681" s="17"/>
    </row>
    <row r="682">
      <c r="A682" s="7"/>
      <c r="E682" s="15"/>
      <c r="F682" s="16"/>
      <c r="G682" s="16"/>
      <c r="H682" s="17"/>
    </row>
    <row r="683">
      <c r="A683" s="7"/>
      <c r="E683" s="15"/>
      <c r="F683" s="16"/>
      <c r="G683" s="16"/>
      <c r="H683" s="17"/>
    </row>
    <row r="684">
      <c r="A684" s="7"/>
      <c r="E684" s="15"/>
      <c r="F684" s="16"/>
      <c r="G684" s="16"/>
      <c r="H684" s="17"/>
    </row>
    <row r="685">
      <c r="A685" s="7"/>
      <c r="E685" s="15"/>
      <c r="F685" s="16"/>
      <c r="G685" s="16"/>
      <c r="H685" s="17"/>
    </row>
    <row r="686">
      <c r="A686" s="7"/>
      <c r="E686" s="15"/>
      <c r="F686" s="16"/>
      <c r="G686" s="16"/>
      <c r="H686" s="17"/>
    </row>
    <row r="687">
      <c r="A687" s="7"/>
      <c r="E687" s="15"/>
      <c r="F687" s="16"/>
      <c r="G687" s="16"/>
      <c r="H687" s="17"/>
    </row>
    <row r="688">
      <c r="A688" s="7"/>
      <c r="E688" s="15"/>
      <c r="F688" s="16"/>
      <c r="G688" s="16"/>
      <c r="H688" s="17"/>
    </row>
    <row r="689">
      <c r="A689" s="7"/>
      <c r="E689" s="15"/>
      <c r="F689" s="16"/>
      <c r="G689" s="16"/>
      <c r="H689" s="17"/>
    </row>
    <row r="690">
      <c r="A690" s="7"/>
      <c r="E690" s="15"/>
      <c r="F690" s="16"/>
      <c r="G690" s="16"/>
      <c r="H690" s="17"/>
    </row>
    <row r="691">
      <c r="A691" s="7"/>
      <c r="E691" s="15"/>
      <c r="F691" s="16"/>
      <c r="G691" s="16"/>
      <c r="H691" s="17"/>
    </row>
    <row r="692">
      <c r="A692" s="7"/>
      <c r="E692" s="15"/>
      <c r="F692" s="16"/>
      <c r="G692" s="16"/>
      <c r="H692" s="17"/>
    </row>
    <row r="693">
      <c r="A693" s="7"/>
      <c r="E693" s="15"/>
      <c r="F693" s="16"/>
      <c r="G693" s="16"/>
      <c r="H693" s="17"/>
    </row>
    <row r="694">
      <c r="A694" s="7"/>
      <c r="E694" s="15"/>
      <c r="F694" s="16"/>
      <c r="G694" s="16"/>
      <c r="H694" s="17"/>
    </row>
    <row r="695">
      <c r="A695" s="7"/>
      <c r="E695" s="15"/>
      <c r="F695" s="16"/>
      <c r="G695" s="16"/>
      <c r="H695" s="17"/>
    </row>
    <row r="696">
      <c r="A696" s="7"/>
      <c r="E696" s="15"/>
      <c r="F696" s="16"/>
      <c r="G696" s="16"/>
      <c r="H696" s="17"/>
    </row>
    <row r="697">
      <c r="A697" s="7"/>
      <c r="E697" s="15"/>
      <c r="F697" s="16"/>
      <c r="G697" s="16"/>
      <c r="H697" s="17"/>
    </row>
    <row r="698">
      <c r="A698" s="7"/>
      <c r="E698" s="15"/>
      <c r="F698" s="16"/>
      <c r="G698" s="16"/>
      <c r="H698" s="17"/>
    </row>
    <row r="699">
      <c r="A699" s="7"/>
      <c r="E699" s="15"/>
      <c r="F699" s="16"/>
      <c r="G699" s="16"/>
      <c r="H699" s="17"/>
    </row>
    <row r="700">
      <c r="A700" s="7"/>
      <c r="E700" s="15"/>
      <c r="F700" s="16"/>
      <c r="G700" s="16"/>
      <c r="H700" s="17"/>
    </row>
    <row r="701">
      <c r="A701" s="7"/>
      <c r="E701" s="15"/>
      <c r="F701" s="16"/>
      <c r="G701" s="16"/>
      <c r="H701" s="17"/>
    </row>
    <row r="702">
      <c r="A702" s="7"/>
      <c r="E702" s="15"/>
      <c r="F702" s="16"/>
      <c r="G702" s="16"/>
      <c r="H702" s="17"/>
    </row>
    <row r="703">
      <c r="A703" s="7"/>
      <c r="E703" s="15"/>
      <c r="F703" s="16"/>
      <c r="G703" s="16"/>
      <c r="H703" s="17"/>
    </row>
    <row r="704">
      <c r="A704" s="7"/>
      <c r="E704" s="15"/>
      <c r="F704" s="16"/>
      <c r="G704" s="16"/>
      <c r="H704" s="17"/>
    </row>
    <row r="705">
      <c r="A705" s="7"/>
      <c r="E705" s="15"/>
      <c r="F705" s="16"/>
      <c r="G705" s="16"/>
      <c r="H705" s="17"/>
    </row>
    <row r="706">
      <c r="A706" s="7"/>
      <c r="E706" s="15"/>
      <c r="F706" s="16"/>
      <c r="G706" s="16"/>
      <c r="H706" s="17"/>
    </row>
    <row r="707">
      <c r="A707" s="7"/>
      <c r="E707" s="15"/>
      <c r="F707" s="16"/>
      <c r="G707" s="16"/>
      <c r="H707" s="17"/>
    </row>
    <row r="708">
      <c r="A708" s="7"/>
      <c r="E708" s="15"/>
      <c r="F708" s="16"/>
      <c r="G708" s="16"/>
      <c r="H708" s="17"/>
    </row>
    <row r="709">
      <c r="A709" s="7"/>
      <c r="E709" s="15"/>
      <c r="F709" s="16"/>
      <c r="G709" s="16"/>
      <c r="H709" s="17"/>
    </row>
    <row r="710">
      <c r="A710" s="7"/>
      <c r="E710" s="15"/>
      <c r="F710" s="16"/>
      <c r="G710" s="16"/>
      <c r="H710" s="17"/>
    </row>
    <row r="711">
      <c r="A711" s="7"/>
      <c r="E711" s="15"/>
      <c r="F711" s="16"/>
      <c r="G711" s="16"/>
      <c r="H711" s="17"/>
    </row>
    <row r="712">
      <c r="A712" s="7"/>
      <c r="E712" s="15"/>
      <c r="F712" s="16"/>
      <c r="G712" s="16"/>
      <c r="H712" s="17"/>
    </row>
    <row r="713">
      <c r="A713" s="7"/>
      <c r="E713" s="15"/>
      <c r="F713" s="16"/>
      <c r="G713" s="16"/>
      <c r="H713" s="17"/>
    </row>
    <row r="714">
      <c r="A714" s="7"/>
      <c r="E714" s="15"/>
      <c r="F714" s="16"/>
      <c r="G714" s="16"/>
      <c r="H714" s="17"/>
    </row>
    <row r="715">
      <c r="A715" s="7"/>
      <c r="E715" s="15"/>
      <c r="F715" s="16"/>
      <c r="G715" s="16"/>
      <c r="H715" s="17"/>
    </row>
    <row r="716">
      <c r="A716" s="7"/>
      <c r="E716" s="15"/>
      <c r="F716" s="16"/>
      <c r="G716" s="16"/>
      <c r="H716" s="17"/>
    </row>
    <row r="717">
      <c r="A717" s="7"/>
      <c r="E717" s="15"/>
      <c r="F717" s="16"/>
      <c r="G717" s="16"/>
      <c r="H717" s="17"/>
    </row>
    <row r="718">
      <c r="A718" s="7"/>
      <c r="E718" s="15"/>
      <c r="F718" s="16"/>
      <c r="G718" s="16"/>
      <c r="H718" s="17"/>
    </row>
    <row r="719">
      <c r="A719" s="7"/>
      <c r="E719" s="15"/>
      <c r="F719" s="16"/>
      <c r="G719" s="16"/>
      <c r="H719" s="17"/>
    </row>
    <row r="720">
      <c r="A720" s="7"/>
      <c r="E720" s="15"/>
      <c r="F720" s="16"/>
      <c r="G720" s="16"/>
      <c r="H720" s="17"/>
    </row>
    <row r="721">
      <c r="A721" s="7"/>
      <c r="E721" s="15"/>
      <c r="F721" s="16"/>
      <c r="G721" s="16"/>
      <c r="H721" s="17"/>
    </row>
    <row r="722">
      <c r="A722" s="7"/>
      <c r="E722" s="15"/>
      <c r="F722" s="16"/>
      <c r="G722" s="16"/>
      <c r="H722" s="17"/>
    </row>
    <row r="723">
      <c r="A723" s="7"/>
      <c r="E723" s="15"/>
      <c r="F723" s="16"/>
      <c r="G723" s="16"/>
      <c r="H723" s="17"/>
    </row>
    <row r="724">
      <c r="A724" s="7"/>
      <c r="E724" s="15"/>
      <c r="F724" s="16"/>
      <c r="G724" s="16"/>
      <c r="H724" s="17"/>
    </row>
    <row r="725">
      <c r="A725" s="7"/>
      <c r="E725" s="15"/>
      <c r="F725" s="16"/>
      <c r="G725" s="16"/>
      <c r="H725" s="17"/>
    </row>
    <row r="726">
      <c r="A726" s="7"/>
      <c r="E726" s="15"/>
      <c r="F726" s="16"/>
      <c r="G726" s="16"/>
      <c r="H726" s="17"/>
    </row>
    <row r="727">
      <c r="A727" s="7"/>
      <c r="E727" s="15"/>
      <c r="F727" s="16"/>
      <c r="G727" s="16"/>
      <c r="H727" s="17"/>
    </row>
    <row r="728">
      <c r="A728" s="7"/>
      <c r="E728" s="15"/>
      <c r="F728" s="16"/>
      <c r="G728" s="16"/>
      <c r="H728" s="17"/>
    </row>
    <row r="729">
      <c r="A729" s="7"/>
      <c r="E729" s="15"/>
      <c r="F729" s="16"/>
      <c r="G729" s="16"/>
      <c r="H729" s="17"/>
    </row>
    <row r="730">
      <c r="A730" s="7"/>
      <c r="E730" s="15"/>
      <c r="F730" s="16"/>
      <c r="G730" s="16"/>
      <c r="H730" s="17"/>
    </row>
    <row r="731">
      <c r="A731" s="7"/>
      <c r="E731" s="15"/>
      <c r="F731" s="16"/>
      <c r="G731" s="16"/>
      <c r="H731" s="17"/>
    </row>
    <row r="732">
      <c r="A732" s="7"/>
      <c r="E732" s="15"/>
      <c r="F732" s="16"/>
      <c r="G732" s="16"/>
      <c r="H732" s="17"/>
    </row>
    <row r="733">
      <c r="A733" s="7"/>
      <c r="E733" s="15"/>
      <c r="F733" s="16"/>
      <c r="G733" s="16"/>
      <c r="H733" s="17"/>
    </row>
    <row r="734">
      <c r="A734" s="7"/>
      <c r="E734" s="15"/>
      <c r="F734" s="16"/>
      <c r="G734" s="16"/>
      <c r="H734" s="17"/>
    </row>
    <row r="735">
      <c r="A735" s="7"/>
      <c r="E735" s="15"/>
      <c r="F735" s="16"/>
      <c r="G735" s="16"/>
      <c r="H735" s="17"/>
    </row>
    <row r="736">
      <c r="A736" s="7"/>
      <c r="E736" s="15"/>
      <c r="F736" s="16"/>
      <c r="G736" s="16"/>
      <c r="H736" s="17"/>
    </row>
    <row r="737">
      <c r="A737" s="7"/>
      <c r="E737" s="15"/>
      <c r="F737" s="16"/>
      <c r="G737" s="16"/>
      <c r="H737" s="17"/>
    </row>
    <row r="738">
      <c r="A738" s="7"/>
      <c r="E738" s="15"/>
      <c r="F738" s="16"/>
      <c r="G738" s="16"/>
      <c r="H738" s="17"/>
    </row>
    <row r="739">
      <c r="A739" s="7"/>
      <c r="E739" s="15"/>
      <c r="F739" s="16"/>
      <c r="G739" s="16"/>
      <c r="H739" s="17"/>
    </row>
    <row r="740">
      <c r="A740" s="7"/>
      <c r="E740" s="15"/>
      <c r="F740" s="16"/>
      <c r="G740" s="16"/>
      <c r="H740" s="17"/>
    </row>
    <row r="741">
      <c r="A741" s="7"/>
      <c r="E741" s="15"/>
      <c r="F741" s="16"/>
      <c r="G741" s="16"/>
      <c r="H741" s="17"/>
    </row>
    <row r="742">
      <c r="A742" s="7"/>
      <c r="E742" s="15"/>
      <c r="F742" s="16"/>
      <c r="G742" s="16"/>
      <c r="H742" s="17"/>
    </row>
    <row r="743">
      <c r="A743" s="7"/>
      <c r="E743" s="15"/>
      <c r="F743" s="16"/>
      <c r="G743" s="16"/>
      <c r="H743" s="17"/>
    </row>
    <row r="744">
      <c r="A744" s="7"/>
      <c r="E744" s="15"/>
      <c r="F744" s="16"/>
      <c r="G744" s="16"/>
      <c r="H744" s="17"/>
    </row>
    <row r="745">
      <c r="A745" s="7"/>
      <c r="E745" s="15"/>
      <c r="F745" s="16"/>
      <c r="G745" s="16"/>
      <c r="H745" s="17"/>
    </row>
    <row r="746">
      <c r="A746" s="7"/>
      <c r="E746" s="15"/>
      <c r="F746" s="16"/>
      <c r="G746" s="16"/>
      <c r="H746" s="17"/>
    </row>
    <row r="747">
      <c r="A747" s="7"/>
      <c r="E747" s="15"/>
      <c r="F747" s="16"/>
      <c r="G747" s="16"/>
      <c r="H747" s="17"/>
    </row>
    <row r="748">
      <c r="A748" s="7"/>
      <c r="E748" s="15"/>
      <c r="F748" s="16"/>
      <c r="G748" s="16"/>
      <c r="H748" s="17"/>
    </row>
    <row r="749">
      <c r="A749" s="7"/>
      <c r="E749" s="15"/>
      <c r="F749" s="16"/>
      <c r="G749" s="16"/>
      <c r="H749" s="17"/>
    </row>
    <row r="750">
      <c r="A750" s="7"/>
      <c r="E750" s="15"/>
      <c r="F750" s="16"/>
      <c r="G750" s="16"/>
      <c r="H750" s="17"/>
    </row>
    <row r="751">
      <c r="A751" s="7"/>
      <c r="E751" s="15"/>
      <c r="F751" s="16"/>
      <c r="G751" s="16"/>
      <c r="H751" s="17"/>
    </row>
    <row r="752">
      <c r="A752" s="7"/>
      <c r="E752" s="15"/>
      <c r="F752" s="16"/>
      <c r="G752" s="16"/>
      <c r="H752" s="17"/>
    </row>
    <row r="753">
      <c r="A753" s="7"/>
      <c r="E753" s="15"/>
      <c r="F753" s="16"/>
      <c r="G753" s="16"/>
      <c r="H753" s="17"/>
    </row>
    <row r="754">
      <c r="A754" s="7"/>
      <c r="E754" s="15"/>
      <c r="F754" s="16"/>
      <c r="G754" s="16"/>
      <c r="H754" s="17"/>
    </row>
    <row r="755">
      <c r="A755" s="7"/>
      <c r="E755" s="15"/>
      <c r="F755" s="16"/>
      <c r="G755" s="16"/>
      <c r="H755" s="17"/>
    </row>
    <row r="756">
      <c r="A756" s="7"/>
      <c r="E756" s="15"/>
      <c r="F756" s="16"/>
      <c r="G756" s="16"/>
      <c r="H756" s="17"/>
    </row>
    <row r="757">
      <c r="A757" s="7"/>
      <c r="E757" s="15"/>
      <c r="F757" s="16"/>
      <c r="G757" s="16"/>
      <c r="H757" s="17"/>
    </row>
    <row r="758">
      <c r="A758" s="7"/>
      <c r="E758" s="15"/>
      <c r="F758" s="16"/>
      <c r="G758" s="16"/>
      <c r="H758" s="17"/>
    </row>
    <row r="759">
      <c r="A759" s="7"/>
      <c r="E759" s="15"/>
      <c r="F759" s="16"/>
      <c r="G759" s="16"/>
      <c r="H759" s="17"/>
    </row>
    <row r="760">
      <c r="A760" s="7"/>
      <c r="E760" s="15"/>
      <c r="F760" s="16"/>
      <c r="G760" s="16"/>
      <c r="H760" s="17"/>
    </row>
    <row r="761">
      <c r="A761" s="7"/>
      <c r="E761" s="15"/>
      <c r="F761" s="16"/>
      <c r="G761" s="16"/>
      <c r="H761" s="17"/>
    </row>
    <row r="762">
      <c r="A762" s="7"/>
      <c r="E762" s="15"/>
      <c r="F762" s="16"/>
      <c r="G762" s="16"/>
      <c r="H762" s="17"/>
    </row>
    <row r="763">
      <c r="A763" s="7"/>
      <c r="E763" s="15"/>
      <c r="F763" s="16"/>
      <c r="G763" s="16"/>
      <c r="H763" s="17"/>
    </row>
    <row r="764">
      <c r="A764" s="7"/>
      <c r="E764" s="15"/>
      <c r="F764" s="16"/>
      <c r="G764" s="16"/>
      <c r="H764" s="17"/>
    </row>
    <row r="765">
      <c r="A765" s="7"/>
      <c r="E765" s="15"/>
      <c r="F765" s="16"/>
      <c r="G765" s="16"/>
      <c r="H765" s="17"/>
    </row>
    <row r="766">
      <c r="A766" s="7"/>
      <c r="E766" s="15"/>
      <c r="F766" s="16"/>
      <c r="G766" s="16"/>
      <c r="H766" s="17"/>
    </row>
    <row r="767">
      <c r="A767" s="7"/>
      <c r="E767" s="15"/>
      <c r="F767" s="16"/>
      <c r="G767" s="16"/>
      <c r="H767" s="17"/>
    </row>
    <row r="768">
      <c r="A768" s="7"/>
      <c r="E768" s="15"/>
      <c r="F768" s="16"/>
      <c r="G768" s="16"/>
      <c r="H768" s="17"/>
    </row>
    <row r="769">
      <c r="A769" s="7"/>
      <c r="E769" s="15"/>
      <c r="F769" s="16"/>
      <c r="G769" s="16"/>
      <c r="H769" s="17"/>
    </row>
    <row r="770">
      <c r="A770" s="7"/>
      <c r="E770" s="15"/>
      <c r="F770" s="16"/>
      <c r="G770" s="16"/>
      <c r="H770" s="17"/>
    </row>
    <row r="771">
      <c r="A771" s="7"/>
      <c r="E771" s="15"/>
      <c r="F771" s="16"/>
      <c r="G771" s="16"/>
      <c r="H771" s="17"/>
    </row>
    <row r="772">
      <c r="A772" s="7"/>
      <c r="E772" s="15"/>
      <c r="F772" s="16"/>
      <c r="G772" s="16"/>
      <c r="H772" s="17"/>
    </row>
    <row r="773">
      <c r="A773" s="7"/>
      <c r="E773" s="15"/>
      <c r="F773" s="16"/>
      <c r="G773" s="16"/>
      <c r="H773" s="17"/>
    </row>
    <row r="774">
      <c r="A774" s="7"/>
      <c r="E774" s="15"/>
      <c r="F774" s="16"/>
      <c r="G774" s="16"/>
      <c r="H774" s="17"/>
    </row>
    <row r="775">
      <c r="A775" s="7"/>
      <c r="E775" s="15"/>
      <c r="F775" s="16"/>
      <c r="G775" s="16"/>
      <c r="H775" s="17"/>
    </row>
    <row r="776">
      <c r="A776" s="7"/>
      <c r="E776" s="15"/>
      <c r="F776" s="16"/>
      <c r="G776" s="16"/>
      <c r="H776" s="17"/>
    </row>
    <row r="777">
      <c r="A777" s="7"/>
      <c r="E777" s="15"/>
      <c r="F777" s="16"/>
      <c r="G777" s="16"/>
      <c r="H777" s="17"/>
    </row>
    <row r="778">
      <c r="A778" s="7"/>
      <c r="E778" s="15"/>
      <c r="F778" s="16"/>
      <c r="G778" s="16"/>
      <c r="H778" s="17"/>
    </row>
    <row r="779">
      <c r="A779" s="7"/>
      <c r="E779" s="15"/>
      <c r="F779" s="16"/>
      <c r="G779" s="16"/>
      <c r="H779" s="17"/>
    </row>
    <row r="780">
      <c r="A780" s="7"/>
      <c r="E780" s="15"/>
      <c r="F780" s="16"/>
      <c r="G780" s="16"/>
      <c r="H780" s="17"/>
    </row>
    <row r="781">
      <c r="A781" s="7"/>
      <c r="E781" s="15"/>
      <c r="F781" s="16"/>
      <c r="G781" s="16"/>
      <c r="H781" s="17"/>
    </row>
    <row r="782">
      <c r="A782" s="7"/>
      <c r="E782" s="15"/>
      <c r="F782" s="16"/>
      <c r="G782" s="16"/>
      <c r="H782" s="17"/>
    </row>
    <row r="783">
      <c r="A783" s="7"/>
      <c r="E783" s="15"/>
      <c r="F783" s="16"/>
      <c r="G783" s="16"/>
      <c r="H783" s="17"/>
    </row>
    <row r="784">
      <c r="A784" s="7"/>
      <c r="E784" s="15"/>
      <c r="F784" s="16"/>
      <c r="G784" s="16"/>
      <c r="H784" s="17"/>
    </row>
    <row r="785">
      <c r="A785" s="7"/>
      <c r="E785" s="15"/>
      <c r="F785" s="16"/>
      <c r="G785" s="16"/>
      <c r="H785" s="17"/>
    </row>
    <row r="786">
      <c r="A786" s="7"/>
      <c r="E786" s="15"/>
      <c r="F786" s="16"/>
      <c r="G786" s="16"/>
      <c r="H786" s="17"/>
    </row>
    <row r="787">
      <c r="A787" s="7"/>
      <c r="E787" s="15"/>
      <c r="F787" s="16"/>
      <c r="G787" s="16"/>
      <c r="H787" s="17"/>
    </row>
    <row r="788">
      <c r="A788" s="7"/>
      <c r="E788" s="15"/>
      <c r="F788" s="16"/>
      <c r="G788" s="16"/>
      <c r="H788" s="17"/>
    </row>
    <row r="789">
      <c r="A789" s="7"/>
      <c r="E789" s="15"/>
      <c r="F789" s="16"/>
      <c r="G789" s="16"/>
      <c r="H789" s="17"/>
    </row>
    <row r="790">
      <c r="A790" s="7"/>
      <c r="E790" s="15"/>
      <c r="F790" s="16"/>
      <c r="G790" s="16"/>
      <c r="H790" s="17"/>
    </row>
    <row r="791">
      <c r="A791" s="7"/>
      <c r="E791" s="15"/>
      <c r="F791" s="16"/>
      <c r="G791" s="16"/>
      <c r="H791" s="17"/>
    </row>
    <row r="792">
      <c r="A792" s="7"/>
      <c r="E792" s="15"/>
      <c r="F792" s="16"/>
      <c r="G792" s="16"/>
      <c r="H792" s="17"/>
    </row>
    <row r="793">
      <c r="A793" s="7"/>
      <c r="E793" s="15"/>
      <c r="F793" s="16"/>
      <c r="G793" s="16"/>
      <c r="H793" s="17"/>
    </row>
    <row r="794">
      <c r="A794" s="7"/>
      <c r="E794" s="15"/>
      <c r="F794" s="16"/>
      <c r="G794" s="16"/>
      <c r="H794" s="17"/>
    </row>
    <row r="795">
      <c r="A795" s="7"/>
      <c r="E795" s="15"/>
      <c r="F795" s="16"/>
      <c r="G795" s="16"/>
      <c r="H795" s="17"/>
    </row>
    <row r="796">
      <c r="A796" s="7"/>
      <c r="E796" s="15"/>
      <c r="F796" s="16"/>
      <c r="G796" s="16"/>
      <c r="H796" s="17"/>
    </row>
    <row r="797">
      <c r="A797" s="7"/>
      <c r="E797" s="15"/>
      <c r="F797" s="16"/>
      <c r="G797" s="16"/>
      <c r="H797" s="17"/>
    </row>
    <row r="798">
      <c r="A798" s="7"/>
      <c r="E798" s="15"/>
      <c r="F798" s="16"/>
      <c r="G798" s="16"/>
      <c r="H798" s="17"/>
    </row>
    <row r="799">
      <c r="A799" s="7"/>
      <c r="E799" s="15"/>
      <c r="F799" s="16"/>
      <c r="G799" s="16"/>
      <c r="H799" s="17"/>
    </row>
    <row r="800">
      <c r="A800" s="7"/>
      <c r="E800" s="15"/>
      <c r="F800" s="16"/>
      <c r="G800" s="16"/>
      <c r="H800" s="17"/>
    </row>
    <row r="801">
      <c r="A801" s="7"/>
      <c r="E801" s="15"/>
      <c r="F801" s="16"/>
      <c r="G801" s="16"/>
      <c r="H801" s="17"/>
    </row>
    <row r="802">
      <c r="A802" s="7"/>
      <c r="E802" s="15"/>
      <c r="F802" s="16"/>
      <c r="G802" s="16"/>
      <c r="H802" s="17"/>
    </row>
    <row r="803">
      <c r="A803" s="7"/>
      <c r="E803" s="15"/>
      <c r="F803" s="16"/>
      <c r="G803" s="16"/>
      <c r="H803" s="17"/>
    </row>
    <row r="804">
      <c r="A804" s="7"/>
      <c r="E804" s="15"/>
      <c r="F804" s="16"/>
      <c r="G804" s="16"/>
      <c r="H804" s="17"/>
    </row>
    <row r="805">
      <c r="A805" s="7"/>
      <c r="E805" s="15"/>
      <c r="F805" s="16"/>
      <c r="G805" s="16"/>
      <c r="H805" s="17"/>
    </row>
    <row r="806">
      <c r="A806" s="7"/>
      <c r="E806" s="15"/>
      <c r="F806" s="16"/>
      <c r="G806" s="16"/>
      <c r="H806" s="17"/>
    </row>
    <row r="807">
      <c r="A807" s="7"/>
      <c r="E807" s="15"/>
      <c r="F807" s="16"/>
      <c r="G807" s="16"/>
      <c r="H807" s="17"/>
    </row>
    <row r="808">
      <c r="A808" s="7"/>
      <c r="E808" s="15"/>
      <c r="F808" s="16"/>
      <c r="G808" s="16"/>
      <c r="H808" s="17"/>
    </row>
    <row r="809">
      <c r="A809" s="7"/>
      <c r="E809" s="15"/>
      <c r="F809" s="16"/>
      <c r="G809" s="16"/>
      <c r="H809" s="17"/>
    </row>
    <row r="810">
      <c r="A810" s="7"/>
      <c r="E810" s="15"/>
      <c r="F810" s="16"/>
      <c r="G810" s="16"/>
      <c r="H810" s="17"/>
    </row>
    <row r="811">
      <c r="A811" s="7"/>
      <c r="E811" s="15"/>
      <c r="F811" s="16"/>
      <c r="G811" s="16"/>
      <c r="H811" s="17"/>
    </row>
    <row r="812">
      <c r="A812" s="7"/>
      <c r="E812" s="15"/>
      <c r="F812" s="16"/>
      <c r="G812" s="16"/>
      <c r="H812" s="17"/>
    </row>
    <row r="813">
      <c r="A813" s="7"/>
      <c r="E813" s="15"/>
      <c r="F813" s="16"/>
      <c r="G813" s="16"/>
      <c r="H813" s="17"/>
    </row>
    <row r="814">
      <c r="A814" s="7"/>
      <c r="E814" s="15"/>
      <c r="F814" s="16"/>
      <c r="G814" s="16"/>
      <c r="H814" s="17"/>
    </row>
    <row r="815">
      <c r="A815" s="7"/>
      <c r="E815" s="15"/>
      <c r="F815" s="16"/>
      <c r="G815" s="16"/>
      <c r="H815" s="17"/>
    </row>
    <row r="816">
      <c r="A816" s="7"/>
      <c r="E816" s="15"/>
      <c r="F816" s="16"/>
      <c r="G816" s="16"/>
      <c r="H816" s="17"/>
    </row>
    <row r="817">
      <c r="A817" s="7"/>
      <c r="E817" s="15"/>
      <c r="F817" s="16"/>
      <c r="G817" s="16"/>
      <c r="H817" s="17"/>
    </row>
    <row r="818">
      <c r="A818" s="7"/>
      <c r="E818" s="15"/>
      <c r="F818" s="16"/>
      <c r="G818" s="16"/>
      <c r="H818" s="17"/>
    </row>
    <row r="819">
      <c r="A819" s="7"/>
      <c r="E819" s="15"/>
      <c r="F819" s="16"/>
      <c r="G819" s="16"/>
      <c r="H819" s="17"/>
    </row>
    <row r="820">
      <c r="A820" s="7"/>
      <c r="E820" s="15"/>
      <c r="F820" s="16"/>
      <c r="G820" s="16"/>
      <c r="H820" s="17"/>
    </row>
    <row r="821">
      <c r="A821" s="7"/>
      <c r="E821" s="15"/>
      <c r="F821" s="16"/>
      <c r="G821" s="16"/>
      <c r="H821" s="17"/>
    </row>
    <row r="822">
      <c r="A822" s="7"/>
      <c r="E822" s="15"/>
      <c r="F822" s="16"/>
      <c r="G822" s="16"/>
      <c r="H822" s="17"/>
    </row>
    <row r="823">
      <c r="A823" s="7"/>
      <c r="E823" s="15"/>
      <c r="F823" s="16"/>
      <c r="G823" s="16"/>
      <c r="H823" s="17"/>
    </row>
    <row r="824">
      <c r="A824" s="7"/>
      <c r="E824" s="15"/>
      <c r="F824" s="16"/>
      <c r="G824" s="16"/>
      <c r="H824" s="17"/>
    </row>
    <row r="825">
      <c r="A825" s="7"/>
      <c r="E825" s="15"/>
      <c r="F825" s="16"/>
      <c r="G825" s="16"/>
      <c r="H825" s="17"/>
    </row>
    <row r="826">
      <c r="A826" s="7"/>
      <c r="E826" s="15"/>
      <c r="F826" s="16"/>
      <c r="G826" s="16"/>
      <c r="H826" s="17"/>
    </row>
    <row r="827">
      <c r="A827" s="7"/>
      <c r="E827" s="15"/>
      <c r="F827" s="16"/>
      <c r="G827" s="16"/>
      <c r="H827" s="17"/>
    </row>
    <row r="828">
      <c r="A828" s="7"/>
      <c r="E828" s="15"/>
      <c r="F828" s="16"/>
      <c r="G828" s="16"/>
      <c r="H828" s="17"/>
    </row>
    <row r="829">
      <c r="A829" s="7"/>
      <c r="E829" s="15"/>
      <c r="F829" s="16"/>
      <c r="G829" s="16"/>
      <c r="H829" s="17"/>
    </row>
    <row r="830">
      <c r="A830" s="7"/>
      <c r="E830" s="15"/>
      <c r="F830" s="16"/>
      <c r="G830" s="16"/>
      <c r="H830" s="17"/>
    </row>
    <row r="831">
      <c r="A831" s="7"/>
      <c r="E831" s="15"/>
      <c r="F831" s="16"/>
      <c r="G831" s="16"/>
      <c r="H831" s="17"/>
    </row>
    <row r="832">
      <c r="A832" s="7"/>
      <c r="E832" s="15"/>
      <c r="F832" s="16"/>
      <c r="G832" s="16"/>
      <c r="H832" s="17"/>
    </row>
    <row r="833">
      <c r="A833" s="7"/>
      <c r="E833" s="15"/>
      <c r="F833" s="16"/>
      <c r="G833" s="16"/>
      <c r="H833" s="17"/>
    </row>
    <row r="834">
      <c r="A834" s="7"/>
      <c r="E834" s="15"/>
      <c r="F834" s="16"/>
      <c r="G834" s="16"/>
      <c r="H834" s="17"/>
    </row>
    <row r="835">
      <c r="A835" s="7"/>
      <c r="E835" s="15"/>
      <c r="F835" s="16"/>
      <c r="G835" s="16"/>
      <c r="H835" s="17"/>
    </row>
    <row r="836">
      <c r="A836" s="7"/>
      <c r="E836" s="15"/>
      <c r="F836" s="16"/>
      <c r="G836" s="16"/>
      <c r="H836" s="17"/>
    </row>
    <row r="837">
      <c r="A837" s="7"/>
      <c r="E837" s="15"/>
      <c r="F837" s="16"/>
      <c r="G837" s="16"/>
      <c r="H837" s="17"/>
    </row>
    <row r="838">
      <c r="A838" s="7"/>
      <c r="E838" s="15"/>
      <c r="F838" s="16"/>
      <c r="G838" s="16"/>
      <c r="H838" s="17"/>
    </row>
    <row r="839">
      <c r="A839" s="7"/>
      <c r="E839" s="15"/>
      <c r="F839" s="16"/>
      <c r="G839" s="16"/>
      <c r="H839" s="17"/>
    </row>
    <row r="840">
      <c r="A840" s="7"/>
      <c r="E840" s="15"/>
      <c r="F840" s="16"/>
      <c r="G840" s="16"/>
      <c r="H840" s="17"/>
    </row>
    <row r="841">
      <c r="A841" s="7"/>
      <c r="E841" s="15"/>
      <c r="F841" s="16"/>
      <c r="G841" s="16"/>
      <c r="H841" s="17"/>
    </row>
    <row r="842">
      <c r="A842" s="7"/>
      <c r="E842" s="15"/>
      <c r="F842" s="16"/>
      <c r="G842" s="16"/>
      <c r="H842" s="17"/>
    </row>
    <row r="843">
      <c r="A843" s="7"/>
      <c r="E843" s="15"/>
      <c r="F843" s="16"/>
      <c r="G843" s="16"/>
      <c r="H843" s="17"/>
    </row>
    <row r="844">
      <c r="A844" s="7"/>
      <c r="E844" s="15"/>
      <c r="F844" s="16"/>
      <c r="G844" s="16"/>
      <c r="H844" s="17"/>
    </row>
    <row r="845">
      <c r="A845" s="7"/>
      <c r="E845" s="15"/>
      <c r="F845" s="16"/>
      <c r="G845" s="16"/>
      <c r="H845" s="17"/>
    </row>
    <row r="846">
      <c r="A846" s="7"/>
      <c r="E846" s="15"/>
      <c r="F846" s="16"/>
      <c r="G846" s="16"/>
      <c r="H846" s="17"/>
    </row>
    <row r="847">
      <c r="A847" s="7"/>
      <c r="E847" s="15"/>
      <c r="F847" s="16"/>
      <c r="G847" s="16"/>
      <c r="H847" s="17"/>
    </row>
    <row r="848">
      <c r="A848" s="7"/>
      <c r="E848" s="15"/>
      <c r="F848" s="16"/>
      <c r="G848" s="16"/>
      <c r="H848" s="17"/>
    </row>
    <row r="849">
      <c r="A849" s="7"/>
      <c r="E849" s="15"/>
      <c r="F849" s="16"/>
      <c r="G849" s="16"/>
      <c r="H849" s="17"/>
    </row>
    <row r="850">
      <c r="A850" s="7"/>
      <c r="E850" s="15"/>
      <c r="F850" s="16"/>
      <c r="G850" s="16"/>
      <c r="H850" s="17"/>
    </row>
    <row r="851">
      <c r="A851" s="7"/>
      <c r="E851" s="15"/>
      <c r="F851" s="16"/>
      <c r="G851" s="16"/>
      <c r="H851" s="17"/>
    </row>
    <row r="852">
      <c r="A852" s="7"/>
      <c r="E852" s="15"/>
      <c r="F852" s="16"/>
      <c r="G852" s="16"/>
      <c r="H852" s="17"/>
    </row>
    <row r="853">
      <c r="A853" s="7"/>
      <c r="E853" s="15"/>
      <c r="F853" s="16"/>
      <c r="G853" s="16"/>
      <c r="H853" s="17"/>
    </row>
    <row r="854">
      <c r="A854" s="7"/>
      <c r="E854" s="15"/>
      <c r="F854" s="16"/>
      <c r="G854" s="16"/>
      <c r="H854" s="17"/>
    </row>
    <row r="855">
      <c r="A855" s="7"/>
      <c r="E855" s="15"/>
      <c r="F855" s="16"/>
      <c r="G855" s="16"/>
      <c r="H855" s="17"/>
    </row>
    <row r="856">
      <c r="A856" s="7"/>
      <c r="E856" s="15"/>
      <c r="F856" s="16"/>
      <c r="G856" s="16"/>
      <c r="H856" s="17"/>
    </row>
    <row r="857">
      <c r="A857" s="7"/>
      <c r="E857" s="15"/>
      <c r="F857" s="16"/>
      <c r="G857" s="16"/>
      <c r="H857" s="17"/>
    </row>
    <row r="858">
      <c r="A858" s="7"/>
      <c r="E858" s="15"/>
      <c r="F858" s="16"/>
      <c r="G858" s="16"/>
      <c r="H858" s="17"/>
    </row>
    <row r="859">
      <c r="A859" s="7"/>
      <c r="E859" s="15"/>
      <c r="F859" s="16"/>
      <c r="G859" s="16"/>
      <c r="H859" s="17"/>
    </row>
    <row r="860">
      <c r="A860" s="7"/>
      <c r="E860" s="15"/>
      <c r="F860" s="16"/>
      <c r="G860" s="16"/>
      <c r="H860" s="17"/>
    </row>
    <row r="861">
      <c r="A861" s="7"/>
      <c r="E861" s="15"/>
      <c r="F861" s="16"/>
      <c r="G861" s="16"/>
      <c r="H861" s="17"/>
    </row>
    <row r="862">
      <c r="A862" s="7"/>
      <c r="E862" s="15"/>
      <c r="F862" s="16"/>
      <c r="G862" s="16"/>
      <c r="H862" s="17"/>
    </row>
    <row r="863">
      <c r="A863" s="7"/>
      <c r="E863" s="15"/>
      <c r="F863" s="16"/>
      <c r="G863" s="16"/>
      <c r="H863" s="17"/>
    </row>
    <row r="864">
      <c r="A864" s="7"/>
      <c r="E864" s="15"/>
      <c r="F864" s="16"/>
      <c r="G864" s="16"/>
      <c r="H864" s="17"/>
    </row>
    <row r="865">
      <c r="A865" s="7"/>
      <c r="E865" s="15"/>
      <c r="F865" s="16"/>
      <c r="G865" s="16"/>
      <c r="H865" s="17"/>
    </row>
    <row r="866">
      <c r="A866" s="7"/>
      <c r="E866" s="15"/>
      <c r="F866" s="16"/>
      <c r="G866" s="16"/>
      <c r="H866" s="17"/>
    </row>
    <row r="867">
      <c r="A867" s="7"/>
      <c r="E867" s="15"/>
      <c r="F867" s="16"/>
      <c r="G867" s="16"/>
      <c r="H867" s="17"/>
    </row>
    <row r="868">
      <c r="A868" s="7"/>
      <c r="E868" s="15"/>
      <c r="F868" s="16"/>
      <c r="G868" s="16"/>
      <c r="H868" s="17"/>
    </row>
    <row r="869">
      <c r="A869" s="7"/>
      <c r="E869" s="15"/>
      <c r="F869" s="16"/>
      <c r="G869" s="16"/>
      <c r="H869" s="17"/>
    </row>
    <row r="870">
      <c r="A870" s="7"/>
      <c r="E870" s="15"/>
      <c r="F870" s="16"/>
      <c r="G870" s="16"/>
      <c r="H870" s="17"/>
    </row>
    <row r="871">
      <c r="A871" s="7"/>
      <c r="E871" s="15"/>
      <c r="F871" s="16"/>
      <c r="G871" s="16"/>
      <c r="H871" s="17"/>
    </row>
    <row r="872">
      <c r="A872" s="7"/>
      <c r="E872" s="15"/>
      <c r="F872" s="16"/>
      <c r="G872" s="16"/>
      <c r="H872" s="17"/>
    </row>
    <row r="873">
      <c r="A873" s="7"/>
      <c r="E873" s="15"/>
      <c r="F873" s="16"/>
      <c r="G873" s="16"/>
      <c r="H873" s="17"/>
    </row>
    <row r="874">
      <c r="A874" s="7"/>
      <c r="E874" s="15"/>
      <c r="F874" s="16"/>
      <c r="G874" s="16"/>
      <c r="H874" s="17"/>
    </row>
    <row r="875">
      <c r="A875" s="7"/>
      <c r="E875" s="15"/>
      <c r="F875" s="16"/>
      <c r="G875" s="16"/>
      <c r="H875" s="17"/>
    </row>
    <row r="876">
      <c r="A876" s="7"/>
      <c r="E876" s="15"/>
      <c r="F876" s="16"/>
      <c r="G876" s="16"/>
      <c r="H876" s="17"/>
    </row>
    <row r="877">
      <c r="A877" s="7"/>
      <c r="E877" s="15"/>
      <c r="F877" s="16"/>
      <c r="G877" s="16"/>
      <c r="H877" s="17"/>
    </row>
    <row r="878">
      <c r="A878" s="7"/>
      <c r="E878" s="15"/>
      <c r="F878" s="16"/>
      <c r="G878" s="16"/>
      <c r="H878" s="17"/>
    </row>
    <row r="879">
      <c r="A879" s="7"/>
      <c r="E879" s="15"/>
      <c r="F879" s="16"/>
      <c r="G879" s="16"/>
      <c r="H879" s="17"/>
    </row>
    <row r="880">
      <c r="A880" s="7"/>
      <c r="E880" s="15"/>
      <c r="F880" s="16"/>
      <c r="G880" s="16"/>
      <c r="H880" s="17"/>
    </row>
    <row r="881">
      <c r="A881" s="7"/>
      <c r="E881" s="15"/>
      <c r="F881" s="16"/>
      <c r="G881" s="16"/>
      <c r="H881" s="17"/>
    </row>
    <row r="882">
      <c r="A882" s="7"/>
      <c r="E882" s="15"/>
      <c r="F882" s="16"/>
      <c r="G882" s="16"/>
      <c r="H882" s="17"/>
    </row>
    <row r="883">
      <c r="A883" s="7"/>
      <c r="E883" s="15"/>
      <c r="F883" s="16"/>
      <c r="G883" s="16"/>
      <c r="H883" s="17"/>
    </row>
    <row r="884">
      <c r="A884" s="7"/>
      <c r="E884" s="15"/>
      <c r="F884" s="16"/>
      <c r="G884" s="16"/>
      <c r="H884" s="17"/>
    </row>
    <row r="885">
      <c r="A885" s="7"/>
      <c r="E885" s="15"/>
      <c r="F885" s="16"/>
      <c r="G885" s="16"/>
      <c r="H885" s="17"/>
    </row>
    <row r="886">
      <c r="A886" s="7"/>
      <c r="E886" s="15"/>
      <c r="F886" s="16"/>
      <c r="G886" s="16"/>
      <c r="H886" s="17"/>
    </row>
    <row r="887">
      <c r="A887" s="7"/>
      <c r="E887" s="15"/>
      <c r="F887" s="16"/>
      <c r="G887" s="16"/>
      <c r="H887" s="17"/>
    </row>
    <row r="888">
      <c r="A888" s="7"/>
      <c r="E888" s="15"/>
      <c r="F888" s="16"/>
      <c r="G888" s="16"/>
      <c r="H888" s="17"/>
    </row>
    <row r="889">
      <c r="A889" s="7"/>
      <c r="E889" s="15"/>
      <c r="F889" s="16"/>
      <c r="G889" s="16"/>
      <c r="H889" s="17"/>
    </row>
    <row r="890">
      <c r="A890" s="7"/>
      <c r="E890" s="15"/>
      <c r="F890" s="16"/>
      <c r="G890" s="16"/>
      <c r="H890" s="17"/>
    </row>
    <row r="891">
      <c r="A891" s="7"/>
      <c r="E891" s="15"/>
      <c r="F891" s="16"/>
      <c r="G891" s="16"/>
      <c r="H891" s="17"/>
    </row>
    <row r="892">
      <c r="A892" s="7"/>
      <c r="E892" s="15"/>
      <c r="F892" s="16"/>
      <c r="G892" s="16"/>
      <c r="H892" s="17"/>
    </row>
    <row r="893">
      <c r="A893" s="7"/>
      <c r="E893" s="15"/>
      <c r="F893" s="16"/>
      <c r="G893" s="16"/>
      <c r="H893" s="17"/>
    </row>
    <row r="894">
      <c r="A894" s="7"/>
      <c r="E894" s="15"/>
      <c r="F894" s="16"/>
      <c r="G894" s="16"/>
      <c r="H894" s="17"/>
    </row>
    <row r="895">
      <c r="A895" s="7"/>
      <c r="E895" s="15"/>
      <c r="F895" s="16"/>
      <c r="G895" s="16"/>
      <c r="H895" s="17"/>
    </row>
    <row r="896">
      <c r="A896" s="7"/>
      <c r="E896" s="15"/>
      <c r="F896" s="16"/>
      <c r="G896" s="16"/>
      <c r="H896" s="17"/>
    </row>
    <row r="897">
      <c r="A897" s="7"/>
      <c r="E897" s="15"/>
      <c r="F897" s="16"/>
      <c r="G897" s="16"/>
      <c r="H897" s="17"/>
    </row>
    <row r="898">
      <c r="A898" s="7"/>
      <c r="E898" s="15"/>
      <c r="F898" s="16"/>
      <c r="G898" s="16"/>
      <c r="H898" s="17"/>
    </row>
    <row r="899">
      <c r="A899" s="7"/>
      <c r="E899" s="15"/>
      <c r="F899" s="16"/>
      <c r="G899" s="16"/>
      <c r="H899" s="17"/>
    </row>
    <row r="900">
      <c r="A900" s="7"/>
      <c r="E900" s="15"/>
      <c r="F900" s="16"/>
      <c r="G900" s="16"/>
      <c r="H900" s="17"/>
    </row>
    <row r="901">
      <c r="A901" s="7"/>
      <c r="E901" s="15"/>
      <c r="F901" s="16"/>
      <c r="G901" s="16"/>
      <c r="H901" s="17"/>
    </row>
    <row r="902">
      <c r="A902" s="7"/>
      <c r="E902" s="15"/>
      <c r="F902" s="16"/>
      <c r="G902" s="16"/>
      <c r="H902" s="17"/>
    </row>
    <row r="903">
      <c r="A903" s="7"/>
      <c r="E903" s="15"/>
      <c r="F903" s="16"/>
      <c r="G903" s="16"/>
      <c r="H903" s="17"/>
    </row>
    <row r="904">
      <c r="A904" s="7"/>
      <c r="E904" s="15"/>
      <c r="F904" s="16"/>
      <c r="G904" s="16"/>
      <c r="H904" s="17"/>
    </row>
    <row r="905">
      <c r="A905" s="7"/>
      <c r="E905" s="15"/>
      <c r="F905" s="16"/>
      <c r="G905" s="16"/>
      <c r="H905" s="17"/>
    </row>
    <row r="906">
      <c r="A906" s="7"/>
      <c r="E906" s="15"/>
      <c r="F906" s="16"/>
      <c r="G906" s="16"/>
      <c r="H906" s="17"/>
    </row>
    <row r="907">
      <c r="A907" s="7"/>
      <c r="E907" s="15"/>
      <c r="F907" s="16"/>
      <c r="G907" s="16"/>
      <c r="H907" s="17"/>
    </row>
    <row r="908">
      <c r="A908" s="7"/>
      <c r="E908" s="15"/>
      <c r="F908" s="16"/>
      <c r="G908" s="16"/>
      <c r="H908" s="17"/>
    </row>
    <row r="909">
      <c r="A909" s="7"/>
      <c r="E909" s="15"/>
      <c r="F909" s="16"/>
      <c r="G909" s="16"/>
      <c r="H909" s="17"/>
    </row>
    <row r="910">
      <c r="A910" s="7"/>
      <c r="E910" s="15"/>
      <c r="F910" s="16"/>
      <c r="G910" s="16"/>
      <c r="H910" s="17"/>
    </row>
    <row r="911">
      <c r="A911" s="7"/>
      <c r="E911" s="15"/>
      <c r="F911" s="16"/>
      <c r="G911" s="16"/>
      <c r="H911" s="17"/>
    </row>
    <row r="912">
      <c r="A912" s="7"/>
      <c r="E912" s="15"/>
      <c r="F912" s="16"/>
      <c r="G912" s="16"/>
      <c r="H912" s="17"/>
    </row>
    <row r="913">
      <c r="A913" s="7"/>
      <c r="E913" s="15"/>
      <c r="F913" s="16"/>
      <c r="G913" s="16"/>
      <c r="H913" s="17"/>
    </row>
    <row r="914">
      <c r="A914" s="7"/>
      <c r="E914" s="15"/>
      <c r="F914" s="16"/>
      <c r="G914" s="16"/>
      <c r="H914" s="17"/>
    </row>
    <row r="915">
      <c r="A915" s="7"/>
      <c r="E915" s="15"/>
      <c r="F915" s="16"/>
      <c r="G915" s="16"/>
      <c r="H915" s="17"/>
    </row>
    <row r="916">
      <c r="A916" s="7"/>
      <c r="E916" s="15"/>
      <c r="F916" s="16"/>
      <c r="G916" s="16"/>
      <c r="H916" s="17"/>
    </row>
    <row r="917">
      <c r="A917" s="7"/>
      <c r="E917" s="15"/>
      <c r="F917" s="16"/>
      <c r="G917" s="16"/>
      <c r="H917" s="17"/>
    </row>
    <row r="918">
      <c r="A918" s="7"/>
      <c r="E918" s="15"/>
      <c r="F918" s="16"/>
      <c r="G918" s="16"/>
      <c r="H918" s="17"/>
    </row>
    <row r="919">
      <c r="A919" s="7"/>
      <c r="E919" s="15"/>
      <c r="F919" s="16"/>
      <c r="G919" s="16"/>
      <c r="H919" s="17"/>
    </row>
    <row r="920">
      <c r="A920" s="7"/>
      <c r="E920" s="15"/>
      <c r="F920" s="16"/>
      <c r="G920" s="16"/>
      <c r="H920" s="17"/>
    </row>
    <row r="921">
      <c r="A921" s="7"/>
      <c r="E921" s="15"/>
      <c r="F921" s="16"/>
      <c r="G921" s="16"/>
      <c r="H921" s="17"/>
    </row>
    <row r="922">
      <c r="A922" s="7"/>
      <c r="E922" s="15"/>
      <c r="F922" s="16"/>
      <c r="G922" s="16"/>
      <c r="H922" s="17"/>
    </row>
    <row r="923">
      <c r="A923" s="7"/>
      <c r="E923" s="15"/>
      <c r="F923" s="16"/>
      <c r="G923" s="16"/>
      <c r="H923" s="17"/>
    </row>
    <row r="924">
      <c r="A924" s="7"/>
      <c r="E924" s="15"/>
      <c r="F924" s="16"/>
      <c r="G924" s="16"/>
      <c r="H924" s="17"/>
    </row>
    <row r="925">
      <c r="A925" s="7"/>
      <c r="E925" s="15"/>
      <c r="F925" s="16"/>
      <c r="G925" s="16"/>
      <c r="H925" s="17"/>
    </row>
    <row r="926">
      <c r="A926" s="7"/>
      <c r="E926" s="15"/>
      <c r="F926" s="16"/>
      <c r="G926" s="16"/>
      <c r="H926" s="17"/>
    </row>
    <row r="927">
      <c r="A927" s="7"/>
      <c r="E927" s="15"/>
      <c r="F927" s="16"/>
      <c r="G927" s="16"/>
      <c r="H927" s="17"/>
    </row>
    <row r="928">
      <c r="A928" s="7"/>
      <c r="E928" s="15"/>
      <c r="F928" s="16"/>
      <c r="G928" s="16"/>
      <c r="H928" s="17"/>
    </row>
    <row r="929">
      <c r="A929" s="7"/>
      <c r="E929" s="15"/>
      <c r="F929" s="16"/>
      <c r="G929" s="16"/>
      <c r="H929" s="17"/>
    </row>
    <row r="930">
      <c r="A930" s="7"/>
      <c r="E930" s="15"/>
      <c r="F930" s="16"/>
      <c r="G930" s="16"/>
      <c r="H930" s="17"/>
    </row>
    <row r="931">
      <c r="A931" s="7"/>
      <c r="E931" s="15"/>
      <c r="F931" s="16"/>
      <c r="G931" s="16"/>
      <c r="H931" s="17"/>
    </row>
    <row r="932">
      <c r="A932" s="7"/>
      <c r="E932" s="15"/>
      <c r="F932" s="16"/>
      <c r="G932" s="16"/>
      <c r="H932" s="17"/>
    </row>
    <row r="933">
      <c r="A933" s="7"/>
      <c r="E933" s="15"/>
      <c r="F933" s="16"/>
      <c r="G933" s="16"/>
      <c r="H933" s="17"/>
    </row>
    <row r="934">
      <c r="A934" s="7"/>
      <c r="E934" s="15"/>
      <c r="F934" s="16"/>
      <c r="G934" s="16"/>
      <c r="H934" s="17"/>
    </row>
    <row r="935">
      <c r="A935" s="7"/>
      <c r="E935" s="15"/>
      <c r="F935" s="16"/>
      <c r="G935" s="16"/>
      <c r="H935" s="17"/>
    </row>
    <row r="936">
      <c r="A936" s="7"/>
      <c r="E936" s="15"/>
      <c r="F936" s="16"/>
      <c r="G936" s="16"/>
      <c r="H936" s="17"/>
    </row>
    <row r="937">
      <c r="A937" s="7"/>
      <c r="E937" s="15"/>
      <c r="F937" s="16"/>
      <c r="G937" s="16"/>
      <c r="H937" s="17"/>
    </row>
    <row r="938">
      <c r="A938" s="7"/>
      <c r="E938" s="15"/>
      <c r="F938" s="16"/>
      <c r="G938" s="16"/>
      <c r="H938" s="17"/>
    </row>
    <row r="939">
      <c r="A939" s="7"/>
      <c r="E939" s="15"/>
      <c r="F939" s="16"/>
      <c r="G939" s="16"/>
      <c r="H939" s="17"/>
    </row>
    <row r="940">
      <c r="A940" s="7"/>
      <c r="E940" s="15"/>
      <c r="F940" s="16"/>
      <c r="G940" s="16"/>
      <c r="H940" s="17"/>
    </row>
    <row r="941">
      <c r="A941" s="7"/>
      <c r="E941" s="15"/>
      <c r="F941" s="16"/>
      <c r="G941" s="16"/>
      <c r="H941" s="17"/>
    </row>
    <row r="942">
      <c r="A942" s="7"/>
      <c r="E942" s="15"/>
      <c r="F942" s="16"/>
      <c r="G942" s="16"/>
      <c r="H942" s="17"/>
    </row>
    <row r="943">
      <c r="A943" s="7"/>
      <c r="E943" s="15"/>
      <c r="F943" s="16"/>
      <c r="G943" s="16"/>
      <c r="H943" s="17"/>
    </row>
    <row r="944">
      <c r="A944" s="7"/>
      <c r="E944" s="15"/>
      <c r="F944" s="16"/>
      <c r="G944" s="16"/>
      <c r="H944" s="17"/>
    </row>
    <row r="945">
      <c r="A945" s="7"/>
      <c r="E945" s="15"/>
      <c r="F945" s="16"/>
      <c r="G945" s="16"/>
      <c r="H945" s="17"/>
    </row>
    <row r="946">
      <c r="A946" s="7"/>
      <c r="E946" s="15"/>
      <c r="F946" s="16"/>
      <c r="G946" s="16"/>
      <c r="H946" s="17"/>
    </row>
    <row r="947">
      <c r="A947" s="7"/>
      <c r="E947" s="15"/>
      <c r="F947" s="16"/>
      <c r="G947" s="16"/>
      <c r="H947" s="17"/>
    </row>
    <row r="948">
      <c r="A948" s="7"/>
      <c r="E948" s="15"/>
      <c r="F948" s="16"/>
      <c r="G948" s="16"/>
      <c r="H948" s="17"/>
    </row>
    <row r="949">
      <c r="A949" s="7"/>
      <c r="E949" s="15"/>
      <c r="F949" s="16"/>
      <c r="G949" s="16"/>
      <c r="H949" s="17"/>
    </row>
    <row r="950">
      <c r="A950" s="7"/>
      <c r="E950" s="15"/>
      <c r="F950" s="16"/>
      <c r="G950" s="16"/>
      <c r="H950" s="17"/>
    </row>
    <row r="951">
      <c r="A951" s="7"/>
      <c r="E951" s="15"/>
      <c r="F951" s="16"/>
      <c r="G951" s="16"/>
      <c r="H951" s="17"/>
    </row>
    <row r="952">
      <c r="A952" s="7"/>
      <c r="E952" s="15"/>
      <c r="F952" s="16"/>
      <c r="G952" s="16"/>
      <c r="H952" s="17"/>
    </row>
    <row r="953">
      <c r="A953" s="7"/>
      <c r="E953" s="15"/>
      <c r="F953" s="16"/>
      <c r="G953" s="16"/>
      <c r="H953" s="17"/>
    </row>
    <row r="954">
      <c r="A954" s="7"/>
      <c r="E954" s="15"/>
      <c r="F954" s="16"/>
      <c r="G954" s="16"/>
      <c r="H954" s="17"/>
    </row>
    <row r="955">
      <c r="A955" s="7"/>
      <c r="E955" s="15"/>
      <c r="F955" s="16"/>
      <c r="G955" s="16"/>
      <c r="H955" s="17"/>
    </row>
    <row r="956">
      <c r="A956" s="7"/>
      <c r="E956" s="15"/>
      <c r="F956" s="16"/>
      <c r="G956" s="16"/>
      <c r="H956" s="17"/>
    </row>
    <row r="957">
      <c r="A957" s="7"/>
      <c r="E957" s="15"/>
      <c r="F957" s="16"/>
      <c r="G957" s="16"/>
      <c r="H957" s="17"/>
    </row>
    <row r="958">
      <c r="A958" s="7"/>
      <c r="E958" s="15"/>
      <c r="F958" s="16"/>
      <c r="G958" s="16"/>
      <c r="H958" s="17"/>
    </row>
    <row r="959">
      <c r="A959" s="7"/>
      <c r="E959" s="15"/>
      <c r="F959" s="16"/>
      <c r="G959" s="16"/>
      <c r="H959" s="17"/>
    </row>
    <row r="960">
      <c r="A960" s="7"/>
      <c r="E960" s="15"/>
      <c r="F960" s="16"/>
      <c r="G960" s="16"/>
      <c r="H960" s="17"/>
    </row>
    <row r="961">
      <c r="A961" s="7"/>
      <c r="E961" s="15"/>
      <c r="F961" s="16"/>
      <c r="G961" s="16"/>
      <c r="H961" s="17"/>
    </row>
    <row r="962">
      <c r="A962" s="7"/>
      <c r="E962" s="15"/>
      <c r="F962" s="16"/>
      <c r="G962" s="16"/>
      <c r="H962" s="17"/>
    </row>
    <row r="963">
      <c r="A963" s="7"/>
      <c r="E963" s="15"/>
      <c r="F963" s="16"/>
      <c r="G963" s="16"/>
      <c r="H963" s="17"/>
    </row>
    <row r="964">
      <c r="A964" s="7"/>
      <c r="E964" s="15"/>
      <c r="F964" s="16"/>
      <c r="G964" s="16"/>
      <c r="H964" s="17"/>
    </row>
    <row r="965">
      <c r="A965" s="7"/>
      <c r="E965" s="15"/>
      <c r="F965" s="16"/>
      <c r="G965" s="16"/>
      <c r="H965" s="17"/>
    </row>
    <row r="966">
      <c r="A966" s="7"/>
      <c r="E966" s="15"/>
      <c r="F966" s="16"/>
      <c r="G966" s="16"/>
      <c r="H966" s="17"/>
    </row>
    <row r="967">
      <c r="A967" s="7"/>
      <c r="E967" s="15"/>
      <c r="F967" s="16"/>
      <c r="G967" s="16"/>
      <c r="H967" s="17"/>
    </row>
    <row r="968">
      <c r="A968" s="7"/>
      <c r="E968" s="15"/>
      <c r="F968" s="16"/>
      <c r="G968" s="16"/>
      <c r="H968" s="17"/>
    </row>
    <row r="969">
      <c r="A969" s="7"/>
      <c r="E969" s="15"/>
      <c r="F969" s="16"/>
      <c r="G969" s="16"/>
      <c r="H969" s="17"/>
    </row>
    <row r="970">
      <c r="A970" s="7"/>
      <c r="E970" s="15"/>
      <c r="F970" s="16"/>
      <c r="G970" s="16"/>
      <c r="H970" s="17"/>
    </row>
    <row r="971">
      <c r="A971" s="7"/>
      <c r="E971" s="15"/>
      <c r="F971" s="16"/>
      <c r="G971" s="16"/>
      <c r="H971" s="17"/>
    </row>
    <row r="972">
      <c r="A972" s="7"/>
      <c r="E972" s="15"/>
      <c r="F972" s="16"/>
      <c r="G972" s="16"/>
      <c r="H972" s="17"/>
    </row>
    <row r="973">
      <c r="A973" s="7"/>
      <c r="E973" s="15"/>
      <c r="F973" s="16"/>
      <c r="G973" s="16"/>
      <c r="H973" s="17"/>
    </row>
    <row r="974">
      <c r="A974" s="7"/>
      <c r="E974" s="15"/>
      <c r="F974" s="16"/>
      <c r="G974" s="16"/>
      <c r="H974" s="17"/>
    </row>
    <row r="975">
      <c r="A975" s="7"/>
      <c r="E975" s="15"/>
      <c r="F975" s="16"/>
      <c r="G975" s="16"/>
      <c r="H975" s="17"/>
    </row>
    <row r="976">
      <c r="A976" s="7"/>
      <c r="E976" s="15"/>
      <c r="F976" s="16"/>
      <c r="G976" s="16"/>
      <c r="H976" s="17"/>
    </row>
    <row r="977">
      <c r="A977" s="7"/>
      <c r="E977" s="15"/>
      <c r="F977" s="16"/>
      <c r="G977" s="16"/>
      <c r="H977" s="17"/>
    </row>
    <row r="978">
      <c r="A978" s="7"/>
      <c r="E978" s="15"/>
      <c r="F978" s="16"/>
      <c r="G978" s="16"/>
      <c r="H978" s="17"/>
    </row>
    <row r="979">
      <c r="A979" s="7"/>
      <c r="E979" s="15"/>
      <c r="F979" s="16"/>
      <c r="G979" s="16"/>
      <c r="H979" s="17"/>
    </row>
    <row r="980">
      <c r="A980" s="7"/>
      <c r="E980" s="15"/>
      <c r="F980" s="16"/>
      <c r="G980" s="16"/>
      <c r="H980" s="17"/>
    </row>
    <row r="981">
      <c r="A981" s="7"/>
      <c r="E981" s="15"/>
      <c r="F981" s="16"/>
      <c r="G981" s="16"/>
      <c r="H981" s="17"/>
    </row>
    <row r="982">
      <c r="A982" s="7"/>
      <c r="E982" s="15"/>
      <c r="F982" s="16"/>
      <c r="G982" s="16"/>
      <c r="H982" s="17"/>
    </row>
    <row r="983">
      <c r="A983" s="7"/>
      <c r="E983" s="15"/>
      <c r="F983" s="16"/>
      <c r="G983" s="16"/>
      <c r="H983" s="17"/>
    </row>
    <row r="984">
      <c r="A984" s="7"/>
      <c r="E984" s="15"/>
      <c r="F984" s="16"/>
      <c r="G984" s="16"/>
      <c r="H984" s="17"/>
    </row>
    <row r="985">
      <c r="A985" s="7"/>
      <c r="E985" s="15"/>
      <c r="F985" s="16"/>
      <c r="G985" s="16"/>
      <c r="H985" s="17"/>
    </row>
    <row r="986">
      <c r="A986" s="7"/>
      <c r="E986" s="15"/>
      <c r="F986" s="16"/>
      <c r="G986" s="16"/>
      <c r="H986" s="17"/>
    </row>
    <row r="987">
      <c r="A987" s="7"/>
      <c r="E987" s="15"/>
      <c r="F987" s="16"/>
      <c r="G987" s="16"/>
      <c r="H987" s="17"/>
    </row>
    <row r="988">
      <c r="A988" s="7"/>
      <c r="E988" s="15"/>
      <c r="F988" s="16"/>
      <c r="G988" s="16"/>
      <c r="H988" s="17"/>
    </row>
    <row r="989">
      <c r="A989" s="7"/>
      <c r="E989" s="15"/>
      <c r="F989" s="16"/>
      <c r="G989" s="16"/>
      <c r="H989" s="17"/>
    </row>
    <row r="990">
      <c r="A990" s="7"/>
      <c r="E990" s="15"/>
      <c r="F990" s="16"/>
      <c r="G990" s="16"/>
      <c r="H990" s="17"/>
    </row>
    <row r="991">
      <c r="A991" s="7"/>
      <c r="E991" s="15"/>
      <c r="F991" s="16"/>
      <c r="G991" s="16"/>
      <c r="H991" s="17"/>
    </row>
    <row r="992">
      <c r="A992" s="7"/>
      <c r="E992" s="15"/>
      <c r="F992" s="16"/>
      <c r="G992" s="16"/>
      <c r="H992" s="17"/>
    </row>
    <row r="993">
      <c r="A993" s="7"/>
      <c r="E993" s="15"/>
      <c r="F993" s="16"/>
      <c r="G993" s="16"/>
      <c r="H993" s="17"/>
    </row>
    <row r="994">
      <c r="A994" s="7"/>
      <c r="E994" s="15"/>
      <c r="F994" s="16"/>
      <c r="G994" s="16"/>
      <c r="H994" s="17"/>
    </row>
    <row r="995">
      <c r="A995" s="7"/>
      <c r="E995" s="15"/>
      <c r="F995" s="16"/>
      <c r="G995" s="16"/>
      <c r="H995" s="17"/>
    </row>
    <row r="996">
      <c r="A996" s="7"/>
      <c r="E996" s="15"/>
      <c r="F996" s="16"/>
      <c r="G996" s="16"/>
      <c r="H996" s="17"/>
    </row>
    <row r="997">
      <c r="A997" s="7"/>
      <c r="E997" s="15"/>
      <c r="F997" s="16"/>
      <c r="G997" s="16"/>
      <c r="H997" s="17"/>
    </row>
  </sheetData>
  <mergeCells count="3">
    <mergeCell ref="B3:B13"/>
    <mergeCell ref="B15:B17"/>
    <mergeCell ref="B24:B25"/>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25.13"/>
    <col customWidth="1" min="2" max="2" width="21.0"/>
    <col customWidth="1" min="3" max="3" width="27.88"/>
    <col customWidth="1" min="5" max="5" width="15.25"/>
    <col customWidth="1" min="6" max="6" width="14.75"/>
    <col customWidth="1" min="7" max="7" width="15.0"/>
    <col customWidth="1" min="8" max="8" width="130.75"/>
  </cols>
  <sheetData>
    <row r="1">
      <c r="A1" s="36" t="s">
        <v>37</v>
      </c>
      <c r="Z1" s="2" t="s">
        <v>38</v>
      </c>
    </row>
    <row r="2">
      <c r="A2" s="37" t="s">
        <v>39</v>
      </c>
    </row>
    <row r="3">
      <c r="A3" s="36" t="s">
        <v>40</v>
      </c>
    </row>
    <row r="4">
      <c r="A4" s="37" t="s">
        <v>41</v>
      </c>
    </row>
    <row r="5">
      <c r="A5" s="38" t="str">
        <f>"This sheet looks at the selected shop type (currently '"  &amp;A2&amp; "'), and creates an inventory from the item pool for that shop, as displayed in the 'Store' tab."</f>
        <v>This sheet looks at the selected shop type (currently 'Smithy'), and creates an inventory from the item pool for that shop, as displayed in the 'Store' tab.</v>
      </c>
    </row>
    <row r="6">
      <c r="A6" s="38" t="str">
        <f>"This " &amp;A2&amp; " inventory features " &amp; COUNTA(D9:D2000) &amp; " items, from a pool of " &amp; COUNTA(Stores!D6:D2000) &amp; " potential items shown on the 'Stores' tab."</f>
        <v>This Smithy inventory features 25 items, from a pool of 56 potential items shown on the 'Stores' tab.</v>
      </c>
    </row>
    <row r="7">
      <c r="A7" s="36" t="s">
        <v>42</v>
      </c>
    </row>
    <row r="8">
      <c r="A8" s="39" t="str">
        <f>Pricebook!A1</f>
        <v>Good</v>
      </c>
      <c r="B8" s="40" t="str">
        <f>Pricebook!B1</f>
        <v>Base Buy Price</v>
      </c>
      <c r="C8" s="39" t="str">
        <f>Pricebook!C1</f>
        <v>Quantity / Weight</v>
      </c>
      <c r="D8" s="39" t="str">
        <f>Pricebook!D1</f>
        <v>Category</v>
      </c>
      <c r="E8" s="40" t="str">
        <f>Pricebook!E1</f>
        <v>Min. Buy Price</v>
      </c>
      <c r="F8" s="40" t="str">
        <f>Pricebook!F1</f>
        <v>Low Sell Price</v>
      </c>
      <c r="G8" s="40" t="str">
        <f>Pricebook!G1</f>
        <v>Max. Sell Price</v>
      </c>
      <c r="H8" s="39" t="str">
        <f>Pricebook!H1</f>
        <v>Notes</v>
      </c>
    </row>
    <row r="9">
      <c r="A9" s="38" t="str">
        <f t="array" ref="A9:H220">SORT(ReferenceTables!AG2:AN213,4,true)</f>
        <v>Tankard</v>
      </c>
      <c r="B9" s="41">
        <v>0.02</v>
      </c>
      <c r="C9" s="38" t="s">
        <v>43</v>
      </c>
      <c r="D9" s="38" t="s">
        <v>44</v>
      </c>
      <c r="E9" s="41">
        <v>0.0124</v>
      </c>
      <c r="F9" s="41">
        <v>0.01</v>
      </c>
      <c r="G9" s="41">
        <v>0.0162</v>
      </c>
      <c r="H9" s="38"/>
      <c r="Z9" s="38" t="str">
        <f t="shared" ref="Z9:Z509" si="1">((RAND())/StockRandomiser!$F$2)*RAND()</f>
        <v>#REF!</v>
      </c>
    </row>
    <row r="10">
      <c r="A10" s="38" t="s">
        <v>45</v>
      </c>
      <c r="B10" s="41">
        <v>5.0</v>
      </c>
      <c r="C10" s="38" t="s">
        <v>46</v>
      </c>
      <c r="D10" s="38" t="s">
        <v>47</v>
      </c>
      <c r="E10" s="41">
        <v>3.1</v>
      </c>
      <c r="F10" s="41">
        <v>2.5</v>
      </c>
      <c r="G10" s="41">
        <v>4.05</v>
      </c>
      <c r="H10" s="38"/>
      <c r="Z10" s="38" t="str">
        <f t="shared" si="1"/>
        <v>#REF!</v>
      </c>
    </row>
    <row r="11">
      <c r="A11" s="38" t="s">
        <v>48</v>
      </c>
      <c r="B11" s="41">
        <v>2.0</v>
      </c>
      <c r="C11" s="38" t="s">
        <v>49</v>
      </c>
      <c r="D11" s="38" t="s">
        <v>47</v>
      </c>
      <c r="E11" s="41">
        <v>1.24</v>
      </c>
      <c r="F11" s="41">
        <v>1.0</v>
      </c>
      <c r="G11" s="41">
        <v>1.62</v>
      </c>
      <c r="H11" s="38"/>
      <c r="Z11" s="38" t="str">
        <f t="shared" si="1"/>
        <v>#REF!</v>
      </c>
    </row>
    <row r="12">
      <c r="A12" s="38" t="s">
        <v>50</v>
      </c>
      <c r="B12" s="41">
        <v>5.0</v>
      </c>
      <c r="C12" s="38" t="s">
        <v>51</v>
      </c>
      <c r="D12" s="38" t="s">
        <v>52</v>
      </c>
      <c r="E12" s="41">
        <v>3.1</v>
      </c>
      <c r="F12" s="41">
        <v>2.5</v>
      </c>
      <c r="G12" s="41">
        <v>4.05</v>
      </c>
      <c r="H12" s="38"/>
      <c r="Z12" s="38" t="str">
        <f t="shared" si="1"/>
        <v>#REF!</v>
      </c>
    </row>
    <row r="13">
      <c r="A13" s="38" t="s">
        <v>53</v>
      </c>
      <c r="B13" s="41">
        <v>10.0</v>
      </c>
      <c r="C13" s="38" t="s">
        <v>51</v>
      </c>
      <c r="D13" s="38" t="s">
        <v>52</v>
      </c>
      <c r="E13" s="41">
        <v>6.2</v>
      </c>
      <c r="F13" s="41">
        <v>5.0</v>
      </c>
      <c r="G13" s="41">
        <v>8.1</v>
      </c>
      <c r="H13" s="38"/>
      <c r="Z13" s="38" t="str">
        <f t="shared" si="1"/>
        <v>#REF!</v>
      </c>
    </row>
    <row r="14">
      <c r="A14" s="41" t="s">
        <v>54</v>
      </c>
      <c r="B14" s="41">
        <v>0.5</v>
      </c>
      <c r="C14" s="38" t="s">
        <v>43</v>
      </c>
      <c r="D14" s="41" t="s">
        <v>55</v>
      </c>
      <c r="E14" s="41">
        <v>0.31</v>
      </c>
      <c r="F14" s="41">
        <v>0.25</v>
      </c>
      <c r="G14" s="41">
        <v>0.405</v>
      </c>
      <c r="H14" s="38"/>
      <c r="Z14" s="38" t="str">
        <f t="shared" si="1"/>
        <v>#REF!</v>
      </c>
    </row>
    <row r="15">
      <c r="A15" s="38" t="s">
        <v>56</v>
      </c>
      <c r="B15" s="41">
        <v>3.0</v>
      </c>
      <c r="C15" s="38" t="s">
        <v>57</v>
      </c>
      <c r="D15" s="38" t="s">
        <v>58</v>
      </c>
      <c r="E15" s="41">
        <v>1.8599999999999999</v>
      </c>
      <c r="F15" s="41">
        <v>1.5</v>
      </c>
      <c r="G15" s="41">
        <v>2.4299999999999997</v>
      </c>
      <c r="H15" s="38"/>
      <c r="Z15" s="38" t="str">
        <f t="shared" si="1"/>
        <v>#REF!</v>
      </c>
    </row>
    <row r="16">
      <c r="A16" s="38" t="s">
        <v>59</v>
      </c>
      <c r="B16" s="41">
        <v>1.5</v>
      </c>
      <c r="C16" s="38" t="s">
        <v>57</v>
      </c>
      <c r="D16" s="38" t="s">
        <v>58</v>
      </c>
      <c r="E16" s="41">
        <v>0.9299999999999999</v>
      </c>
      <c r="F16" s="41">
        <v>0.75</v>
      </c>
      <c r="G16" s="41">
        <v>1.2149999999999999</v>
      </c>
      <c r="H16" s="38" t="s">
        <v>60</v>
      </c>
      <c r="Z16" s="38" t="str">
        <f t="shared" si="1"/>
        <v>#REF!</v>
      </c>
    </row>
    <row r="17">
      <c r="A17" s="38" t="s">
        <v>61</v>
      </c>
      <c r="B17" s="41">
        <v>1.5</v>
      </c>
      <c r="C17" s="38" t="s">
        <v>62</v>
      </c>
      <c r="D17" s="38" t="s">
        <v>58</v>
      </c>
      <c r="E17" s="41">
        <v>0.9299999999999999</v>
      </c>
      <c r="F17" s="41">
        <v>0.75</v>
      </c>
      <c r="G17" s="41">
        <v>1.2149999999999999</v>
      </c>
      <c r="H17" s="38"/>
      <c r="Z17" s="38" t="str">
        <f t="shared" si="1"/>
        <v>#REF!</v>
      </c>
    </row>
    <row r="18">
      <c r="A18" s="38" t="s">
        <v>63</v>
      </c>
      <c r="B18" s="41">
        <v>56.25</v>
      </c>
      <c r="C18" s="38" t="s">
        <v>43</v>
      </c>
      <c r="D18" s="38" t="s">
        <v>58</v>
      </c>
      <c r="E18" s="41">
        <v>46.125</v>
      </c>
      <c r="F18" s="41">
        <v>28.125</v>
      </c>
      <c r="G18" s="41">
        <v>51.1875</v>
      </c>
      <c r="H18" s="38" t="s">
        <v>64</v>
      </c>
      <c r="Z18" s="38" t="str">
        <f t="shared" si="1"/>
        <v>#REF!</v>
      </c>
    </row>
    <row r="19">
      <c r="A19" s="38" t="s">
        <v>65</v>
      </c>
      <c r="B19" s="41">
        <v>30.0</v>
      </c>
      <c r="C19" s="38" t="s">
        <v>66</v>
      </c>
      <c r="D19" s="38" t="s">
        <v>58</v>
      </c>
      <c r="E19" s="41">
        <v>24.599999999999998</v>
      </c>
      <c r="F19" s="41">
        <v>15.0</v>
      </c>
      <c r="G19" s="41">
        <v>27.299999999999997</v>
      </c>
      <c r="H19" s="38" t="s">
        <v>67</v>
      </c>
      <c r="Z19" s="38" t="str">
        <f t="shared" si="1"/>
        <v>#REF!</v>
      </c>
    </row>
    <row r="20">
      <c r="A20" s="38" t="s">
        <v>68</v>
      </c>
      <c r="B20" s="41">
        <v>3.0</v>
      </c>
      <c r="C20" s="38" t="s">
        <v>57</v>
      </c>
      <c r="D20" s="38" t="s">
        <v>58</v>
      </c>
      <c r="E20" s="41">
        <v>1.8599999999999999</v>
      </c>
      <c r="F20" s="41">
        <v>1.5</v>
      </c>
      <c r="G20" s="41">
        <v>2.4299999999999997</v>
      </c>
      <c r="H20" s="38"/>
      <c r="Z20" s="38" t="str">
        <f t="shared" si="1"/>
        <v>#REF!</v>
      </c>
    </row>
    <row r="21">
      <c r="A21" s="38" t="s">
        <v>69</v>
      </c>
      <c r="B21" s="41">
        <v>15.0</v>
      </c>
      <c r="C21" s="38" t="s">
        <v>66</v>
      </c>
      <c r="D21" s="38" t="s">
        <v>58</v>
      </c>
      <c r="E21" s="41">
        <v>9.3</v>
      </c>
      <c r="F21" s="41">
        <v>7.5</v>
      </c>
      <c r="G21" s="41">
        <v>12.15</v>
      </c>
      <c r="H21" s="38" t="s">
        <v>70</v>
      </c>
      <c r="Z21" s="38" t="str">
        <f t="shared" si="1"/>
        <v>#REF!</v>
      </c>
    </row>
    <row r="22">
      <c r="A22" s="38" t="s">
        <v>71</v>
      </c>
      <c r="B22" s="41">
        <v>75.0</v>
      </c>
      <c r="C22" s="38" t="s">
        <v>72</v>
      </c>
      <c r="D22" s="38" t="s">
        <v>58</v>
      </c>
      <c r="E22" s="41">
        <v>61.49999999999999</v>
      </c>
      <c r="F22" s="41">
        <v>37.5</v>
      </c>
      <c r="G22" s="41">
        <v>68.25</v>
      </c>
      <c r="H22" s="38" t="s">
        <v>73</v>
      </c>
      <c r="Z22" s="38" t="str">
        <f t="shared" si="1"/>
        <v>#REF!</v>
      </c>
    </row>
    <row r="23">
      <c r="A23" s="38" t="s">
        <v>74</v>
      </c>
      <c r="B23" s="41">
        <v>9.0</v>
      </c>
      <c r="C23" s="38" t="s">
        <v>75</v>
      </c>
      <c r="D23" s="38" t="s">
        <v>76</v>
      </c>
      <c r="E23" s="41">
        <v>5.58</v>
      </c>
      <c r="F23" s="41">
        <v>4.5</v>
      </c>
      <c r="G23" s="41">
        <v>7.29</v>
      </c>
      <c r="H23" s="38"/>
      <c r="Z23" s="38" t="str">
        <f t="shared" si="1"/>
        <v>#REF!</v>
      </c>
    </row>
    <row r="24">
      <c r="A24" s="38" t="s">
        <v>77</v>
      </c>
      <c r="B24" s="41">
        <v>15.0</v>
      </c>
      <c r="C24" s="38" t="s">
        <v>75</v>
      </c>
      <c r="D24" s="38" t="s">
        <v>76</v>
      </c>
      <c r="E24" s="41">
        <v>9.3</v>
      </c>
      <c r="F24" s="41">
        <v>7.5</v>
      </c>
      <c r="G24" s="41">
        <v>12.15</v>
      </c>
      <c r="H24" s="38"/>
      <c r="Z24" s="38" t="str">
        <f t="shared" si="1"/>
        <v>#REF!</v>
      </c>
    </row>
    <row r="25">
      <c r="A25" s="38" t="s">
        <v>78</v>
      </c>
      <c r="B25" s="41">
        <v>0.6</v>
      </c>
      <c r="C25" s="38" t="s">
        <v>75</v>
      </c>
      <c r="D25" s="38" t="s">
        <v>76</v>
      </c>
      <c r="E25" s="41">
        <v>0.372</v>
      </c>
      <c r="F25" s="41">
        <v>0.3</v>
      </c>
      <c r="G25" s="41">
        <v>0.486</v>
      </c>
      <c r="H25" s="38"/>
      <c r="Z25" s="38" t="str">
        <f t="shared" si="1"/>
        <v>#REF!</v>
      </c>
    </row>
    <row r="26">
      <c r="A26" s="38" t="s">
        <v>79</v>
      </c>
      <c r="B26" s="41">
        <v>6.0</v>
      </c>
      <c r="C26" s="38" t="s">
        <v>80</v>
      </c>
      <c r="D26" s="38" t="s">
        <v>76</v>
      </c>
      <c r="E26" s="41">
        <v>3.7199999999999998</v>
      </c>
      <c r="F26" s="41">
        <v>3.0</v>
      </c>
      <c r="G26" s="41">
        <v>4.859999999999999</v>
      </c>
      <c r="H26" s="38"/>
      <c r="Z26" s="38" t="str">
        <f t="shared" si="1"/>
        <v>#REF!</v>
      </c>
    </row>
    <row r="27">
      <c r="A27" s="38" t="s">
        <v>81</v>
      </c>
      <c r="B27" s="41">
        <v>6.0</v>
      </c>
      <c r="C27" s="38" t="s">
        <v>51</v>
      </c>
      <c r="D27" s="38" t="s">
        <v>76</v>
      </c>
      <c r="E27" s="41">
        <v>3.7199999999999998</v>
      </c>
      <c r="F27" s="41">
        <v>3.0</v>
      </c>
      <c r="G27" s="41">
        <v>4.859999999999999</v>
      </c>
      <c r="H27" s="38"/>
      <c r="Z27" s="38" t="str">
        <f t="shared" si="1"/>
        <v>#REF!</v>
      </c>
    </row>
    <row r="28">
      <c r="A28" s="38" t="s">
        <v>82</v>
      </c>
      <c r="B28" s="41">
        <v>6.0</v>
      </c>
      <c r="C28" s="38" t="s">
        <v>72</v>
      </c>
      <c r="D28" s="38" t="s">
        <v>76</v>
      </c>
      <c r="E28" s="41">
        <v>3.7199999999999998</v>
      </c>
      <c r="F28" s="41">
        <v>3.0</v>
      </c>
      <c r="G28" s="41">
        <v>4.859999999999999</v>
      </c>
      <c r="H28" s="38"/>
      <c r="Z28" s="38" t="str">
        <f t="shared" si="1"/>
        <v>#REF!</v>
      </c>
    </row>
    <row r="29">
      <c r="A29" s="38" t="s">
        <v>83</v>
      </c>
      <c r="B29" s="41">
        <v>3.0</v>
      </c>
      <c r="C29" s="38" t="s">
        <v>51</v>
      </c>
      <c r="D29" s="38" t="s">
        <v>76</v>
      </c>
      <c r="E29" s="41">
        <v>1.8599999999999999</v>
      </c>
      <c r="F29" s="41">
        <v>1.5</v>
      </c>
      <c r="G29" s="41">
        <v>2.4299999999999997</v>
      </c>
      <c r="H29" s="38"/>
      <c r="Z29" s="38" t="str">
        <f t="shared" si="1"/>
        <v>#REF!</v>
      </c>
    </row>
    <row r="30">
      <c r="A30" s="38" t="s">
        <v>84</v>
      </c>
      <c r="B30" s="41">
        <v>6.0</v>
      </c>
      <c r="C30" s="38" t="s">
        <v>51</v>
      </c>
      <c r="D30" s="38" t="s">
        <v>76</v>
      </c>
      <c r="E30" s="41">
        <v>3.7199999999999998</v>
      </c>
      <c r="F30" s="41">
        <v>3.0</v>
      </c>
      <c r="G30" s="41">
        <v>4.859999999999999</v>
      </c>
      <c r="H30" s="38"/>
      <c r="Z30" s="38" t="str">
        <f t="shared" si="1"/>
        <v>#REF!</v>
      </c>
    </row>
    <row r="31">
      <c r="A31" s="38" t="s">
        <v>85</v>
      </c>
      <c r="B31" s="41">
        <v>15.0</v>
      </c>
      <c r="C31" s="38" t="s">
        <v>51</v>
      </c>
      <c r="D31" s="38" t="s">
        <v>76</v>
      </c>
      <c r="E31" s="41">
        <v>9.3</v>
      </c>
      <c r="F31" s="41">
        <v>7.5</v>
      </c>
      <c r="G31" s="41">
        <v>12.15</v>
      </c>
      <c r="H31" s="38"/>
      <c r="Z31" s="38" t="str">
        <f t="shared" si="1"/>
        <v>#REF!</v>
      </c>
    </row>
    <row r="32">
      <c r="A32" s="38" t="s">
        <v>86</v>
      </c>
      <c r="B32" s="41">
        <v>9.0</v>
      </c>
      <c r="C32" s="38" t="s">
        <v>51</v>
      </c>
      <c r="D32" s="38" t="s">
        <v>76</v>
      </c>
      <c r="E32" s="41">
        <v>5.58</v>
      </c>
      <c r="F32" s="41">
        <v>4.5</v>
      </c>
      <c r="G32" s="41">
        <v>7.29</v>
      </c>
      <c r="H32" s="38"/>
      <c r="Z32" s="38" t="str">
        <f t="shared" si="1"/>
        <v>#REF!</v>
      </c>
    </row>
    <row r="33">
      <c r="A33" s="38" t="s">
        <v>87</v>
      </c>
      <c r="B33" s="41">
        <v>3.0</v>
      </c>
      <c r="C33" s="38" t="s">
        <v>51</v>
      </c>
      <c r="D33" s="38" t="s">
        <v>76</v>
      </c>
      <c r="E33" s="41">
        <v>1.8599999999999999</v>
      </c>
      <c r="F33" s="41">
        <v>1.5</v>
      </c>
      <c r="G33" s="41">
        <v>2.4299999999999997</v>
      </c>
      <c r="H33" s="38"/>
      <c r="Z33" s="38" t="str">
        <f t="shared" si="1"/>
        <v>#REF!</v>
      </c>
    </row>
    <row r="34">
      <c r="A34" s="38"/>
      <c r="B34" s="38"/>
      <c r="C34" s="38"/>
      <c r="D34" s="38"/>
      <c r="E34" s="38"/>
      <c r="F34" s="38"/>
      <c r="G34" s="38"/>
      <c r="H34" s="38"/>
      <c r="Z34" s="38" t="str">
        <f t="shared" si="1"/>
        <v>#REF!</v>
      </c>
    </row>
    <row r="35">
      <c r="A35" s="38"/>
      <c r="B35" s="38"/>
      <c r="C35" s="38"/>
      <c r="D35" s="38"/>
      <c r="E35" s="38"/>
      <c r="F35" s="38"/>
      <c r="G35" s="38"/>
      <c r="H35" s="38"/>
      <c r="Z35" s="38" t="str">
        <f t="shared" si="1"/>
        <v>#REF!</v>
      </c>
    </row>
    <row r="36">
      <c r="A36" s="38"/>
      <c r="B36" s="38"/>
      <c r="C36" s="38"/>
      <c r="D36" s="38"/>
      <c r="E36" s="38"/>
      <c r="F36" s="38"/>
      <c r="G36" s="38"/>
      <c r="H36" s="38"/>
      <c r="Z36" s="38" t="str">
        <f t="shared" si="1"/>
        <v>#REF!</v>
      </c>
    </row>
    <row r="37">
      <c r="A37" s="38"/>
      <c r="B37" s="38"/>
      <c r="C37" s="38"/>
      <c r="D37" s="38"/>
      <c r="E37" s="38"/>
      <c r="F37" s="38"/>
      <c r="G37" s="38"/>
      <c r="H37" s="38"/>
      <c r="Z37" s="38" t="str">
        <f t="shared" si="1"/>
        <v>#REF!</v>
      </c>
    </row>
    <row r="38">
      <c r="A38" s="38"/>
      <c r="B38" s="38"/>
      <c r="C38" s="38"/>
      <c r="D38" s="38"/>
      <c r="E38" s="38"/>
      <c r="F38" s="38"/>
      <c r="G38" s="38"/>
      <c r="H38" s="38"/>
      <c r="Z38" s="38" t="str">
        <f t="shared" si="1"/>
        <v>#REF!</v>
      </c>
    </row>
    <row r="39">
      <c r="A39" s="38"/>
      <c r="B39" s="38"/>
      <c r="C39" s="38"/>
      <c r="D39" s="38"/>
      <c r="E39" s="38"/>
      <c r="F39" s="38"/>
      <c r="G39" s="38"/>
      <c r="H39" s="38"/>
      <c r="Z39" s="38" t="str">
        <f t="shared" si="1"/>
        <v>#REF!</v>
      </c>
    </row>
    <row r="40">
      <c r="A40" s="38"/>
      <c r="B40" s="38"/>
      <c r="C40" s="38"/>
      <c r="D40" s="38"/>
      <c r="E40" s="38"/>
      <c r="F40" s="38"/>
      <c r="G40" s="38"/>
      <c r="H40" s="38"/>
      <c r="Z40" s="38" t="str">
        <f t="shared" si="1"/>
        <v>#REF!</v>
      </c>
    </row>
    <row r="41">
      <c r="A41" s="38"/>
      <c r="B41" s="38"/>
      <c r="C41" s="38"/>
      <c r="D41" s="38"/>
      <c r="E41" s="38"/>
      <c r="F41" s="38"/>
      <c r="G41" s="38"/>
      <c r="H41" s="38"/>
      <c r="Z41" s="38" t="str">
        <f t="shared" si="1"/>
        <v>#REF!</v>
      </c>
    </row>
    <row r="42">
      <c r="A42" s="38"/>
      <c r="B42" s="38"/>
      <c r="C42" s="38"/>
      <c r="D42" s="38"/>
      <c r="E42" s="38"/>
      <c r="F42" s="38"/>
      <c r="G42" s="38"/>
      <c r="H42" s="38"/>
      <c r="Z42" s="38" t="str">
        <f t="shared" si="1"/>
        <v>#REF!</v>
      </c>
    </row>
    <row r="43">
      <c r="A43" s="38"/>
      <c r="B43" s="38"/>
      <c r="C43" s="38"/>
      <c r="D43" s="38"/>
      <c r="E43" s="38"/>
      <c r="F43" s="38"/>
      <c r="G43" s="38"/>
      <c r="H43" s="38"/>
      <c r="Z43" s="38" t="str">
        <f t="shared" si="1"/>
        <v>#REF!</v>
      </c>
    </row>
    <row r="44">
      <c r="A44" s="38"/>
      <c r="B44" s="38"/>
      <c r="C44" s="38"/>
      <c r="D44" s="38"/>
      <c r="E44" s="38"/>
      <c r="F44" s="38"/>
      <c r="G44" s="38"/>
      <c r="H44" s="38"/>
      <c r="Z44" s="38" t="str">
        <f t="shared" si="1"/>
        <v>#REF!</v>
      </c>
    </row>
    <row r="45">
      <c r="A45" s="38"/>
      <c r="B45" s="38"/>
      <c r="C45" s="38"/>
      <c r="D45" s="38"/>
      <c r="E45" s="38"/>
      <c r="F45" s="38"/>
      <c r="G45" s="38"/>
      <c r="H45" s="38"/>
      <c r="Z45" s="38" t="str">
        <f t="shared" si="1"/>
        <v>#REF!</v>
      </c>
    </row>
    <row r="46">
      <c r="A46" s="38"/>
      <c r="B46" s="38"/>
      <c r="C46" s="38"/>
      <c r="D46" s="38"/>
      <c r="E46" s="38"/>
      <c r="F46" s="38"/>
      <c r="G46" s="38"/>
      <c r="H46" s="38"/>
      <c r="Z46" s="38" t="str">
        <f t="shared" si="1"/>
        <v>#REF!</v>
      </c>
    </row>
    <row r="47">
      <c r="A47" s="38"/>
      <c r="B47" s="38"/>
      <c r="C47" s="38"/>
      <c r="D47" s="38"/>
      <c r="E47" s="38"/>
      <c r="F47" s="38"/>
      <c r="G47" s="38"/>
      <c r="H47" s="38"/>
      <c r="Z47" s="38" t="str">
        <f t="shared" si="1"/>
        <v>#REF!</v>
      </c>
    </row>
    <row r="48">
      <c r="A48" s="38"/>
      <c r="B48" s="38"/>
      <c r="C48" s="38"/>
      <c r="D48" s="38"/>
      <c r="E48" s="38"/>
      <c r="F48" s="38"/>
      <c r="G48" s="38"/>
      <c r="H48" s="38"/>
      <c r="Z48" s="38" t="str">
        <f t="shared" si="1"/>
        <v>#REF!</v>
      </c>
    </row>
    <row r="49">
      <c r="A49" s="38"/>
      <c r="B49" s="38"/>
      <c r="C49" s="38"/>
      <c r="D49" s="38"/>
      <c r="E49" s="38"/>
      <c r="F49" s="38"/>
      <c r="G49" s="38"/>
      <c r="H49" s="38"/>
      <c r="Z49" s="38" t="str">
        <f t="shared" si="1"/>
        <v>#REF!</v>
      </c>
    </row>
    <row r="50">
      <c r="A50" s="38"/>
      <c r="B50" s="38"/>
      <c r="C50" s="38"/>
      <c r="D50" s="38"/>
      <c r="E50" s="38"/>
      <c r="F50" s="38"/>
      <c r="G50" s="38"/>
      <c r="H50" s="38"/>
      <c r="Z50" s="38" t="str">
        <f t="shared" si="1"/>
        <v>#REF!</v>
      </c>
    </row>
    <row r="51">
      <c r="A51" s="38"/>
      <c r="B51" s="38"/>
      <c r="C51" s="38"/>
      <c r="D51" s="38"/>
      <c r="E51" s="38"/>
      <c r="F51" s="38"/>
      <c r="G51" s="38"/>
      <c r="H51" s="38"/>
      <c r="Z51" s="38" t="str">
        <f t="shared" si="1"/>
        <v>#REF!</v>
      </c>
    </row>
    <row r="52">
      <c r="A52" s="38"/>
      <c r="B52" s="38"/>
      <c r="C52" s="38"/>
      <c r="D52" s="38"/>
      <c r="E52" s="38"/>
      <c r="F52" s="38"/>
      <c r="G52" s="38"/>
      <c r="H52" s="38"/>
      <c r="Z52" s="38" t="str">
        <f t="shared" si="1"/>
        <v>#REF!</v>
      </c>
    </row>
    <row r="53">
      <c r="A53" s="38"/>
      <c r="B53" s="38"/>
      <c r="C53" s="38"/>
      <c r="D53" s="38"/>
      <c r="E53" s="38"/>
      <c r="F53" s="38"/>
      <c r="G53" s="38"/>
      <c r="H53" s="38"/>
      <c r="Z53" s="38" t="str">
        <f t="shared" si="1"/>
        <v>#REF!</v>
      </c>
    </row>
    <row r="54">
      <c r="A54" s="38"/>
      <c r="B54" s="38"/>
      <c r="C54" s="38"/>
      <c r="D54" s="38"/>
      <c r="E54" s="38"/>
      <c r="F54" s="38"/>
      <c r="G54" s="38"/>
      <c r="H54" s="38"/>
      <c r="Z54" s="38" t="str">
        <f t="shared" si="1"/>
        <v>#REF!</v>
      </c>
    </row>
    <row r="55">
      <c r="A55" s="38"/>
      <c r="B55" s="38"/>
      <c r="C55" s="38"/>
      <c r="D55" s="38"/>
      <c r="E55" s="38"/>
      <c r="F55" s="38"/>
      <c r="G55" s="38"/>
      <c r="H55" s="38"/>
      <c r="Z55" s="38" t="str">
        <f t="shared" si="1"/>
        <v>#REF!</v>
      </c>
    </row>
    <row r="56">
      <c r="A56" s="38"/>
      <c r="B56" s="38"/>
      <c r="C56" s="38"/>
      <c r="D56" s="38"/>
      <c r="E56" s="38"/>
      <c r="F56" s="38"/>
      <c r="G56" s="38"/>
      <c r="H56" s="38"/>
      <c r="Z56" s="38" t="str">
        <f t="shared" si="1"/>
        <v>#REF!</v>
      </c>
    </row>
    <row r="57">
      <c r="A57" s="38"/>
      <c r="B57" s="38"/>
      <c r="C57" s="38"/>
      <c r="D57" s="38"/>
      <c r="E57" s="38"/>
      <c r="F57" s="38"/>
      <c r="G57" s="38"/>
      <c r="H57" s="38"/>
      <c r="Z57" s="38" t="str">
        <f t="shared" si="1"/>
        <v>#REF!</v>
      </c>
    </row>
    <row r="58">
      <c r="A58" s="38"/>
      <c r="B58" s="38"/>
      <c r="C58" s="38"/>
      <c r="D58" s="38"/>
      <c r="E58" s="38"/>
      <c r="F58" s="38"/>
      <c r="G58" s="38"/>
      <c r="H58" s="38"/>
      <c r="Z58" s="38" t="str">
        <f t="shared" si="1"/>
        <v>#REF!</v>
      </c>
    </row>
    <row r="59">
      <c r="A59" s="38"/>
      <c r="B59" s="38"/>
      <c r="C59" s="38"/>
      <c r="D59" s="38"/>
      <c r="E59" s="38"/>
      <c r="F59" s="38"/>
      <c r="G59" s="38"/>
      <c r="H59" s="38"/>
      <c r="Z59" s="38" t="str">
        <f t="shared" si="1"/>
        <v>#REF!</v>
      </c>
    </row>
    <row r="60">
      <c r="A60" s="38"/>
      <c r="B60" s="38"/>
      <c r="C60" s="38"/>
      <c r="D60" s="38"/>
      <c r="E60" s="38"/>
      <c r="F60" s="38"/>
      <c r="G60" s="38"/>
      <c r="H60" s="38"/>
      <c r="Z60" s="38" t="str">
        <f t="shared" si="1"/>
        <v>#REF!</v>
      </c>
    </row>
    <row r="61">
      <c r="A61" s="38"/>
      <c r="B61" s="38"/>
      <c r="C61" s="38"/>
      <c r="D61" s="38"/>
      <c r="E61" s="38"/>
      <c r="F61" s="38"/>
      <c r="G61" s="38"/>
      <c r="H61" s="38"/>
      <c r="Z61" s="38" t="str">
        <f t="shared" si="1"/>
        <v>#REF!</v>
      </c>
    </row>
    <row r="62">
      <c r="A62" s="38"/>
      <c r="B62" s="38"/>
      <c r="C62" s="38"/>
      <c r="D62" s="38"/>
      <c r="E62" s="38"/>
      <c r="F62" s="38"/>
      <c r="G62" s="38"/>
      <c r="H62" s="38"/>
      <c r="Z62" s="38" t="str">
        <f t="shared" si="1"/>
        <v>#REF!</v>
      </c>
    </row>
    <row r="63">
      <c r="A63" s="38"/>
      <c r="B63" s="38"/>
      <c r="C63" s="38"/>
      <c r="D63" s="38"/>
      <c r="E63" s="38"/>
      <c r="F63" s="38"/>
      <c r="G63" s="38"/>
      <c r="H63" s="38"/>
      <c r="Z63" s="38" t="str">
        <f t="shared" si="1"/>
        <v>#REF!</v>
      </c>
    </row>
    <row r="64">
      <c r="A64" s="38"/>
      <c r="B64" s="38"/>
      <c r="C64" s="38"/>
      <c r="D64" s="38"/>
      <c r="E64" s="38"/>
      <c r="F64" s="38"/>
      <c r="G64" s="38"/>
      <c r="H64" s="38"/>
      <c r="Z64" s="38" t="str">
        <f t="shared" si="1"/>
        <v>#REF!</v>
      </c>
    </row>
    <row r="65">
      <c r="A65" s="38"/>
      <c r="B65" s="38"/>
      <c r="C65" s="38"/>
      <c r="D65" s="38"/>
      <c r="E65" s="38"/>
      <c r="F65" s="38"/>
      <c r="G65" s="38"/>
      <c r="H65" s="38"/>
      <c r="Z65" s="38" t="str">
        <f t="shared" si="1"/>
        <v>#REF!</v>
      </c>
    </row>
    <row r="66">
      <c r="A66" s="38"/>
      <c r="B66" s="38"/>
      <c r="C66" s="38"/>
      <c r="D66" s="38"/>
      <c r="E66" s="38"/>
      <c r="F66" s="38"/>
      <c r="G66" s="38"/>
      <c r="H66" s="38"/>
      <c r="Z66" s="38" t="str">
        <f t="shared" si="1"/>
        <v>#REF!</v>
      </c>
    </row>
    <row r="67">
      <c r="A67" s="38"/>
      <c r="B67" s="38"/>
      <c r="C67" s="38"/>
      <c r="D67" s="38"/>
      <c r="E67" s="38"/>
      <c r="F67" s="38"/>
      <c r="G67" s="38"/>
      <c r="H67" s="38"/>
      <c r="Z67" s="38" t="str">
        <f t="shared" si="1"/>
        <v>#REF!</v>
      </c>
    </row>
    <row r="68">
      <c r="A68" s="38"/>
      <c r="B68" s="38"/>
      <c r="C68" s="38"/>
      <c r="D68" s="38"/>
      <c r="E68" s="38"/>
      <c r="F68" s="38"/>
      <c r="G68" s="38"/>
      <c r="H68" s="38"/>
      <c r="Z68" s="38" t="str">
        <f t="shared" si="1"/>
        <v>#REF!</v>
      </c>
    </row>
    <row r="69">
      <c r="A69" s="38"/>
      <c r="B69" s="38"/>
      <c r="C69" s="38"/>
      <c r="D69" s="38"/>
      <c r="E69" s="38"/>
      <c r="F69" s="38"/>
      <c r="G69" s="38"/>
      <c r="H69" s="38"/>
      <c r="Z69" s="38" t="str">
        <f t="shared" si="1"/>
        <v>#REF!</v>
      </c>
    </row>
    <row r="70">
      <c r="A70" s="38"/>
      <c r="B70" s="38"/>
      <c r="C70" s="38"/>
      <c r="D70" s="38"/>
      <c r="E70" s="38"/>
      <c r="F70" s="38"/>
      <c r="G70" s="38"/>
      <c r="H70" s="38"/>
      <c r="Z70" s="38" t="str">
        <f t="shared" si="1"/>
        <v>#REF!</v>
      </c>
    </row>
    <row r="71">
      <c r="A71" s="38"/>
      <c r="B71" s="38"/>
      <c r="C71" s="38"/>
      <c r="D71" s="38"/>
      <c r="E71" s="38"/>
      <c r="F71" s="38"/>
      <c r="G71" s="38"/>
      <c r="H71" s="38"/>
      <c r="Z71" s="38" t="str">
        <f t="shared" si="1"/>
        <v>#REF!</v>
      </c>
    </row>
    <row r="72">
      <c r="A72" s="38"/>
      <c r="B72" s="38"/>
      <c r="C72" s="38"/>
      <c r="D72" s="38"/>
      <c r="E72" s="38"/>
      <c r="F72" s="38"/>
      <c r="G72" s="38"/>
      <c r="H72" s="38"/>
      <c r="Z72" s="38" t="str">
        <f t="shared" si="1"/>
        <v>#REF!</v>
      </c>
    </row>
    <row r="73">
      <c r="A73" s="38"/>
      <c r="B73" s="38"/>
      <c r="C73" s="38"/>
      <c r="D73" s="38"/>
      <c r="E73" s="38"/>
      <c r="F73" s="38"/>
      <c r="G73" s="38"/>
      <c r="H73" s="38"/>
      <c r="Z73" s="38" t="str">
        <f t="shared" si="1"/>
        <v>#REF!</v>
      </c>
    </row>
    <row r="74">
      <c r="A74" s="38"/>
      <c r="B74" s="38"/>
      <c r="C74" s="38"/>
      <c r="D74" s="38"/>
      <c r="E74" s="38"/>
      <c r="F74" s="38"/>
      <c r="G74" s="38"/>
      <c r="H74" s="38"/>
      <c r="Z74" s="38" t="str">
        <f t="shared" si="1"/>
        <v>#REF!</v>
      </c>
    </row>
    <row r="75">
      <c r="A75" s="38"/>
      <c r="B75" s="38"/>
      <c r="C75" s="38"/>
      <c r="D75" s="38"/>
      <c r="E75" s="38"/>
      <c r="F75" s="38"/>
      <c r="G75" s="38"/>
      <c r="H75" s="38"/>
      <c r="Z75" s="38" t="str">
        <f t="shared" si="1"/>
        <v>#REF!</v>
      </c>
    </row>
    <row r="76">
      <c r="A76" s="38"/>
      <c r="B76" s="38"/>
      <c r="C76" s="38"/>
      <c r="D76" s="38"/>
      <c r="E76" s="38"/>
      <c r="F76" s="38"/>
      <c r="G76" s="38"/>
      <c r="H76" s="38"/>
      <c r="Z76" s="38" t="str">
        <f t="shared" si="1"/>
        <v>#REF!</v>
      </c>
    </row>
    <row r="77">
      <c r="A77" s="38"/>
      <c r="B77" s="38"/>
      <c r="C77" s="38"/>
      <c r="D77" s="38"/>
      <c r="E77" s="38"/>
      <c r="F77" s="38"/>
      <c r="G77" s="38"/>
      <c r="H77" s="38"/>
      <c r="Z77" s="38" t="str">
        <f t="shared" si="1"/>
        <v>#REF!</v>
      </c>
    </row>
    <row r="78">
      <c r="A78" s="38"/>
      <c r="B78" s="38"/>
      <c r="C78" s="38"/>
      <c r="D78" s="38"/>
      <c r="E78" s="38"/>
      <c r="F78" s="38"/>
      <c r="G78" s="38"/>
      <c r="H78" s="38"/>
      <c r="Z78" s="38" t="str">
        <f t="shared" si="1"/>
        <v>#REF!</v>
      </c>
    </row>
    <row r="79">
      <c r="A79" s="38"/>
      <c r="B79" s="38"/>
      <c r="C79" s="38"/>
      <c r="D79" s="38"/>
      <c r="E79" s="38"/>
      <c r="F79" s="38"/>
      <c r="G79" s="38"/>
      <c r="H79" s="38"/>
      <c r="Z79" s="38" t="str">
        <f t="shared" si="1"/>
        <v>#REF!</v>
      </c>
    </row>
    <row r="80">
      <c r="A80" s="38"/>
      <c r="B80" s="38"/>
      <c r="C80" s="38"/>
      <c r="D80" s="38"/>
      <c r="E80" s="38"/>
      <c r="F80" s="38"/>
      <c r="G80" s="38"/>
      <c r="H80" s="38"/>
      <c r="Z80" s="38" t="str">
        <f t="shared" si="1"/>
        <v>#REF!</v>
      </c>
    </row>
    <row r="81">
      <c r="A81" s="38"/>
      <c r="B81" s="38"/>
      <c r="C81" s="38"/>
      <c r="D81" s="38"/>
      <c r="E81" s="38"/>
      <c r="F81" s="38"/>
      <c r="G81" s="38"/>
      <c r="H81" s="38"/>
      <c r="Z81" s="38" t="str">
        <f t="shared" si="1"/>
        <v>#REF!</v>
      </c>
    </row>
    <row r="82">
      <c r="A82" s="38"/>
      <c r="B82" s="38"/>
      <c r="C82" s="38"/>
      <c r="D82" s="38"/>
      <c r="E82" s="38"/>
      <c r="F82" s="38"/>
      <c r="G82" s="38"/>
      <c r="H82" s="38"/>
      <c r="Z82" s="38" t="str">
        <f t="shared" si="1"/>
        <v>#REF!</v>
      </c>
    </row>
    <row r="83">
      <c r="A83" s="38"/>
      <c r="B83" s="38"/>
      <c r="C83" s="38"/>
      <c r="D83" s="38"/>
      <c r="E83" s="38"/>
      <c r="F83" s="38"/>
      <c r="G83" s="38"/>
      <c r="H83" s="38"/>
      <c r="Z83" s="38" t="str">
        <f t="shared" si="1"/>
        <v>#REF!</v>
      </c>
    </row>
    <row r="84">
      <c r="A84" s="38"/>
      <c r="B84" s="38"/>
      <c r="C84" s="38"/>
      <c r="D84" s="38"/>
      <c r="E84" s="38"/>
      <c r="F84" s="38"/>
      <c r="G84" s="38"/>
      <c r="H84" s="38"/>
      <c r="Z84" s="38" t="str">
        <f t="shared" si="1"/>
        <v>#REF!</v>
      </c>
    </row>
    <row r="85">
      <c r="A85" s="38"/>
      <c r="B85" s="38"/>
      <c r="C85" s="38"/>
      <c r="D85" s="38"/>
      <c r="E85" s="38"/>
      <c r="F85" s="38"/>
      <c r="G85" s="38"/>
      <c r="H85" s="38"/>
      <c r="Z85" s="38" t="str">
        <f t="shared" si="1"/>
        <v>#REF!</v>
      </c>
    </row>
    <row r="86">
      <c r="A86" s="38"/>
      <c r="B86" s="38"/>
      <c r="C86" s="38"/>
      <c r="D86" s="38"/>
      <c r="E86" s="38"/>
      <c r="F86" s="38"/>
      <c r="G86" s="38"/>
      <c r="H86" s="38"/>
      <c r="Z86" s="38" t="str">
        <f t="shared" si="1"/>
        <v>#REF!</v>
      </c>
    </row>
    <row r="87">
      <c r="A87" s="38"/>
      <c r="B87" s="38"/>
      <c r="C87" s="38"/>
      <c r="D87" s="38"/>
      <c r="E87" s="38"/>
      <c r="F87" s="38"/>
      <c r="G87" s="38"/>
      <c r="H87" s="38"/>
      <c r="Z87" s="38" t="str">
        <f t="shared" si="1"/>
        <v>#REF!</v>
      </c>
    </row>
    <row r="88">
      <c r="A88" s="38"/>
      <c r="B88" s="38"/>
      <c r="C88" s="38"/>
      <c r="D88" s="38"/>
      <c r="E88" s="38"/>
      <c r="F88" s="38"/>
      <c r="G88" s="38"/>
      <c r="H88" s="38"/>
      <c r="Z88" s="38" t="str">
        <f t="shared" si="1"/>
        <v>#REF!</v>
      </c>
    </row>
    <row r="89">
      <c r="A89" s="38"/>
      <c r="B89" s="38"/>
      <c r="C89" s="38"/>
      <c r="D89" s="38"/>
      <c r="E89" s="38"/>
      <c r="F89" s="38"/>
      <c r="G89" s="38"/>
      <c r="H89" s="38"/>
      <c r="Z89" s="38" t="str">
        <f t="shared" si="1"/>
        <v>#REF!</v>
      </c>
    </row>
    <row r="90">
      <c r="A90" s="38"/>
      <c r="B90" s="38"/>
      <c r="C90" s="38"/>
      <c r="D90" s="38"/>
      <c r="E90" s="38"/>
      <c r="F90" s="38"/>
      <c r="G90" s="38"/>
      <c r="H90" s="38"/>
      <c r="Z90" s="38" t="str">
        <f t="shared" si="1"/>
        <v>#REF!</v>
      </c>
    </row>
    <row r="91">
      <c r="A91" s="38"/>
      <c r="B91" s="38"/>
      <c r="C91" s="38"/>
      <c r="D91" s="38"/>
      <c r="E91" s="38"/>
      <c r="F91" s="38"/>
      <c r="G91" s="38"/>
      <c r="H91" s="38"/>
      <c r="Z91" s="38" t="str">
        <f t="shared" si="1"/>
        <v>#REF!</v>
      </c>
    </row>
    <row r="92">
      <c r="A92" s="38"/>
      <c r="B92" s="38"/>
      <c r="C92" s="38"/>
      <c r="D92" s="38"/>
      <c r="E92" s="38"/>
      <c r="F92" s="38"/>
      <c r="G92" s="38"/>
      <c r="H92" s="38"/>
      <c r="Z92" s="38" t="str">
        <f t="shared" si="1"/>
        <v>#REF!</v>
      </c>
    </row>
    <row r="93">
      <c r="A93" s="38"/>
      <c r="B93" s="38"/>
      <c r="C93" s="38"/>
      <c r="D93" s="38"/>
      <c r="E93" s="38"/>
      <c r="F93" s="38"/>
      <c r="G93" s="38"/>
      <c r="H93" s="38"/>
      <c r="Z93" s="38" t="str">
        <f t="shared" si="1"/>
        <v>#REF!</v>
      </c>
    </row>
    <row r="94">
      <c r="A94" s="38"/>
      <c r="B94" s="38"/>
      <c r="C94" s="38"/>
      <c r="D94" s="38"/>
      <c r="E94" s="38"/>
      <c r="F94" s="38"/>
      <c r="G94" s="38"/>
      <c r="H94" s="38"/>
      <c r="Z94" s="38" t="str">
        <f t="shared" si="1"/>
        <v>#REF!</v>
      </c>
    </row>
    <row r="95">
      <c r="A95" s="38"/>
      <c r="B95" s="38"/>
      <c r="C95" s="38"/>
      <c r="D95" s="38"/>
      <c r="E95" s="38"/>
      <c r="F95" s="38"/>
      <c r="G95" s="38"/>
      <c r="H95" s="38"/>
      <c r="Z95" s="38" t="str">
        <f t="shared" si="1"/>
        <v>#REF!</v>
      </c>
    </row>
    <row r="96">
      <c r="A96" s="38"/>
      <c r="B96" s="38"/>
      <c r="C96" s="38"/>
      <c r="D96" s="38"/>
      <c r="E96" s="38"/>
      <c r="F96" s="38"/>
      <c r="G96" s="38"/>
      <c r="H96" s="38"/>
      <c r="Z96" s="38" t="str">
        <f t="shared" si="1"/>
        <v>#REF!</v>
      </c>
    </row>
    <row r="97">
      <c r="A97" s="38"/>
      <c r="B97" s="38"/>
      <c r="C97" s="38"/>
      <c r="D97" s="38"/>
      <c r="E97" s="38"/>
      <c r="F97" s="38"/>
      <c r="G97" s="38"/>
      <c r="H97" s="38"/>
      <c r="Z97" s="38" t="str">
        <f t="shared" si="1"/>
        <v>#REF!</v>
      </c>
    </row>
    <row r="98">
      <c r="A98" s="38"/>
      <c r="B98" s="38"/>
      <c r="C98" s="38"/>
      <c r="D98" s="38"/>
      <c r="E98" s="38"/>
      <c r="F98" s="38"/>
      <c r="G98" s="38"/>
      <c r="H98" s="38"/>
      <c r="Z98" s="38" t="str">
        <f t="shared" si="1"/>
        <v>#REF!</v>
      </c>
    </row>
    <row r="99">
      <c r="A99" s="38"/>
      <c r="B99" s="38"/>
      <c r="C99" s="38"/>
      <c r="D99" s="38"/>
      <c r="E99" s="38"/>
      <c r="F99" s="38"/>
      <c r="G99" s="38"/>
      <c r="H99" s="38"/>
      <c r="Z99" s="38" t="str">
        <f t="shared" si="1"/>
        <v>#REF!</v>
      </c>
    </row>
    <row r="100">
      <c r="A100" s="38"/>
      <c r="B100" s="38"/>
      <c r="C100" s="38"/>
      <c r="D100" s="38"/>
      <c r="E100" s="38"/>
      <c r="F100" s="38"/>
      <c r="G100" s="38"/>
      <c r="H100" s="38"/>
      <c r="Z100" s="38" t="str">
        <f t="shared" si="1"/>
        <v>#REF!</v>
      </c>
    </row>
    <row r="101">
      <c r="A101" s="38"/>
      <c r="B101" s="38"/>
      <c r="C101" s="38"/>
      <c r="D101" s="38"/>
      <c r="E101" s="38"/>
      <c r="F101" s="38"/>
      <c r="G101" s="38"/>
      <c r="H101" s="38"/>
      <c r="Z101" s="38" t="str">
        <f t="shared" si="1"/>
        <v>#REF!</v>
      </c>
    </row>
    <row r="102">
      <c r="A102" s="38"/>
      <c r="B102" s="38"/>
      <c r="C102" s="38"/>
      <c r="D102" s="38"/>
      <c r="E102" s="38"/>
      <c r="F102" s="38"/>
      <c r="G102" s="38"/>
      <c r="H102" s="38"/>
      <c r="Z102" s="38" t="str">
        <f t="shared" si="1"/>
        <v>#REF!</v>
      </c>
    </row>
    <row r="103">
      <c r="A103" s="38"/>
      <c r="B103" s="38"/>
      <c r="C103" s="38"/>
      <c r="D103" s="38"/>
      <c r="E103" s="38"/>
      <c r="F103" s="38"/>
      <c r="G103" s="38"/>
      <c r="H103" s="38"/>
      <c r="Z103" s="38" t="str">
        <f t="shared" si="1"/>
        <v>#REF!</v>
      </c>
    </row>
    <row r="104">
      <c r="A104" s="38"/>
      <c r="B104" s="38"/>
      <c r="C104" s="38"/>
      <c r="D104" s="38"/>
      <c r="E104" s="38"/>
      <c r="F104" s="38"/>
      <c r="G104" s="38"/>
      <c r="H104" s="38"/>
      <c r="Z104" s="38" t="str">
        <f t="shared" si="1"/>
        <v>#REF!</v>
      </c>
    </row>
    <row r="105">
      <c r="A105" s="38"/>
      <c r="B105" s="38"/>
      <c r="C105" s="38"/>
      <c r="D105" s="38"/>
      <c r="E105" s="38"/>
      <c r="F105" s="38"/>
      <c r="G105" s="38"/>
      <c r="H105" s="38"/>
      <c r="Z105" s="38" t="str">
        <f t="shared" si="1"/>
        <v>#REF!</v>
      </c>
    </row>
    <row r="106">
      <c r="A106" s="38"/>
      <c r="B106" s="38"/>
      <c r="C106" s="38"/>
      <c r="D106" s="38"/>
      <c r="E106" s="38"/>
      <c r="F106" s="38"/>
      <c r="G106" s="38"/>
      <c r="H106" s="38"/>
      <c r="Z106" s="38" t="str">
        <f t="shared" si="1"/>
        <v>#REF!</v>
      </c>
    </row>
    <row r="107">
      <c r="A107" s="38"/>
      <c r="B107" s="38"/>
      <c r="C107" s="38"/>
      <c r="D107" s="38"/>
      <c r="E107" s="38"/>
      <c r="F107" s="38"/>
      <c r="G107" s="38"/>
      <c r="H107" s="38"/>
      <c r="Z107" s="38" t="str">
        <f t="shared" si="1"/>
        <v>#REF!</v>
      </c>
    </row>
    <row r="108">
      <c r="A108" s="38"/>
      <c r="B108" s="38"/>
      <c r="C108" s="38"/>
      <c r="D108" s="38"/>
      <c r="E108" s="38"/>
      <c r="F108" s="38"/>
      <c r="G108" s="38"/>
      <c r="H108" s="38"/>
      <c r="Z108" s="38" t="str">
        <f t="shared" si="1"/>
        <v>#REF!</v>
      </c>
    </row>
    <row r="109">
      <c r="A109" s="38"/>
      <c r="B109" s="38"/>
      <c r="C109" s="38"/>
      <c r="D109" s="38"/>
      <c r="E109" s="38"/>
      <c r="F109" s="38"/>
      <c r="G109" s="38"/>
      <c r="H109" s="38"/>
      <c r="Z109" s="38" t="str">
        <f t="shared" si="1"/>
        <v>#REF!</v>
      </c>
    </row>
    <row r="110">
      <c r="A110" s="38"/>
      <c r="B110" s="38"/>
      <c r="C110" s="38"/>
      <c r="D110" s="38"/>
      <c r="E110" s="38"/>
      <c r="F110" s="38"/>
      <c r="G110" s="38"/>
      <c r="H110" s="38"/>
      <c r="Z110" s="38" t="str">
        <f t="shared" si="1"/>
        <v>#REF!</v>
      </c>
    </row>
    <row r="111">
      <c r="A111" s="38"/>
      <c r="B111" s="38"/>
      <c r="C111" s="38"/>
      <c r="D111" s="38"/>
      <c r="E111" s="38"/>
      <c r="F111" s="38"/>
      <c r="G111" s="38"/>
      <c r="H111" s="38"/>
      <c r="Z111" s="38" t="str">
        <f t="shared" si="1"/>
        <v>#REF!</v>
      </c>
    </row>
    <row r="112">
      <c r="A112" s="38"/>
      <c r="B112" s="38"/>
      <c r="C112" s="38"/>
      <c r="D112" s="38"/>
      <c r="E112" s="38"/>
      <c r="F112" s="38"/>
      <c r="G112" s="38"/>
      <c r="H112" s="38"/>
      <c r="Z112" s="38" t="str">
        <f t="shared" si="1"/>
        <v>#REF!</v>
      </c>
    </row>
    <row r="113">
      <c r="A113" s="38"/>
      <c r="B113" s="38"/>
      <c r="C113" s="38"/>
      <c r="D113" s="38"/>
      <c r="E113" s="38"/>
      <c r="F113" s="38"/>
      <c r="G113" s="38"/>
      <c r="H113" s="38"/>
      <c r="Z113" s="38" t="str">
        <f t="shared" si="1"/>
        <v>#REF!</v>
      </c>
    </row>
    <row r="114">
      <c r="A114" s="38"/>
      <c r="B114" s="38"/>
      <c r="C114" s="38"/>
      <c r="D114" s="38"/>
      <c r="E114" s="38"/>
      <c r="F114" s="38"/>
      <c r="G114" s="38"/>
      <c r="H114" s="38"/>
      <c r="Z114" s="38" t="str">
        <f t="shared" si="1"/>
        <v>#REF!</v>
      </c>
    </row>
    <row r="115">
      <c r="A115" s="38"/>
      <c r="B115" s="38"/>
      <c r="C115" s="38"/>
      <c r="D115" s="38"/>
      <c r="E115" s="38"/>
      <c r="F115" s="38"/>
      <c r="G115" s="38"/>
      <c r="H115" s="38"/>
      <c r="Z115" s="38" t="str">
        <f t="shared" si="1"/>
        <v>#REF!</v>
      </c>
    </row>
    <row r="116">
      <c r="A116" s="38"/>
      <c r="B116" s="38"/>
      <c r="C116" s="38"/>
      <c r="D116" s="38"/>
      <c r="E116" s="38"/>
      <c r="F116" s="38"/>
      <c r="G116" s="38"/>
      <c r="H116" s="38"/>
      <c r="Z116" s="38" t="str">
        <f t="shared" si="1"/>
        <v>#REF!</v>
      </c>
    </row>
    <row r="117">
      <c r="A117" s="38"/>
      <c r="B117" s="38"/>
      <c r="C117" s="38"/>
      <c r="D117" s="38"/>
      <c r="E117" s="38"/>
      <c r="F117" s="38"/>
      <c r="G117" s="38"/>
      <c r="H117" s="38"/>
      <c r="Z117" s="38" t="str">
        <f t="shared" si="1"/>
        <v>#REF!</v>
      </c>
    </row>
    <row r="118">
      <c r="A118" s="38"/>
      <c r="B118" s="38"/>
      <c r="C118" s="38"/>
      <c r="D118" s="38"/>
      <c r="E118" s="38"/>
      <c r="F118" s="38"/>
      <c r="G118" s="38"/>
      <c r="H118" s="38"/>
      <c r="Z118" s="38" t="str">
        <f t="shared" si="1"/>
        <v>#REF!</v>
      </c>
    </row>
    <row r="119">
      <c r="A119" s="38"/>
      <c r="B119" s="38"/>
      <c r="C119" s="38"/>
      <c r="D119" s="38"/>
      <c r="E119" s="38"/>
      <c r="F119" s="38"/>
      <c r="G119" s="38"/>
      <c r="H119" s="38"/>
      <c r="Z119" s="38" t="str">
        <f t="shared" si="1"/>
        <v>#REF!</v>
      </c>
    </row>
    <row r="120">
      <c r="A120" s="38"/>
      <c r="B120" s="38"/>
      <c r="C120" s="38"/>
      <c r="D120" s="38"/>
      <c r="E120" s="38"/>
      <c r="F120" s="38"/>
      <c r="G120" s="38"/>
      <c r="H120" s="38"/>
      <c r="Z120" s="38" t="str">
        <f t="shared" si="1"/>
        <v>#REF!</v>
      </c>
    </row>
    <row r="121">
      <c r="A121" s="38"/>
      <c r="B121" s="38"/>
      <c r="C121" s="38"/>
      <c r="D121" s="38"/>
      <c r="E121" s="38"/>
      <c r="F121" s="38"/>
      <c r="G121" s="38"/>
      <c r="H121" s="38"/>
      <c r="Z121" s="38" t="str">
        <f t="shared" si="1"/>
        <v>#REF!</v>
      </c>
    </row>
    <row r="122">
      <c r="A122" s="38"/>
      <c r="B122" s="38"/>
      <c r="C122" s="38"/>
      <c r="D122" s="38"/>
      <c r="E122" s="38"/>
      <c r="F122" s="38"/>
      <c r="G122" s="38"/>
      <c r="H122" s="38"/>
      <c r="Z122" s="38" t="str">
        <f t="shared" si="1"/>
        <v>#REF!</v>
      </c>
    </row>
    <row r="123">
      <c r="A123" s="38"/>
      <c r="B123" s="38"/>
      <c r="C123" s="38"/>
      <c r="D123" s="38"/>
      <c r="E123" s="38"/>
      <c r="F123" s="38"/>
      <c r="G123" s="38"/>
      <c r="H123" s="38"/>
      <c r="Z123" s="38" t="str">
        <f t="shared" si="1"/>
        <v>#REF!</v>
      </c>
    </row>
    <row r="124">
      <c r="A124" s="38"/>
      <c r="B124" s="38"/>
      <c r="C124" s="38"/>
      <c r="D124" s="38"/>
      <c r="E124" s="38"/>
      <c r="F124" s="38"/>
      <c r="G124" s="38"/>
      <c r="H124" s="38"/>
      <c r="Z124" s="38" t="str">
        <f t="shared" si="1"/>
        <v>#REF!</v>
      </c>
    </row>
    <row r="125">
      <c r="A125" s="38"/>
      <c r="B125" s="38"/>
      <c r="C125" s="38"/>
      <c r="D125" s="38"/>
      <c r="E125" s="38"/>
      <c r="F125" s="38"/>
      <c r="G125" s="38"/>
      <c r="H125" s="38"/>
      <c r="Z125" s="38" t="str">
        <f t="shared" si="1"/>
        <v>#REF!</v>
      </c>
    </row>
    <row r="126">
      <c r="A126" s="38"/>
      <c r="B126" s="38"/>
      <c r="C126" s="38"/>
      <c r="D126" s="38"/>
      <c r="E126" s="38"/>
      <c r="F126" s="38"/>
      <c r="G126" s="38"/>
      <c r="H126" s="38"/>
      <c r="Z126" s="38" t="str">
        <f t="shared" si="1"/>
        <v>#REF!</v>
      </c>
    </row>
    <row r="127">
      <c r="A127" s="38"/>
      <c r="B127" s="38"/>
      <c r="C127" s="38"/>
      <c r="D127" s="38"/>
      <c r="E127" s="38"/>
      <c r="F127" s="38"/>
      <c r="G127" s="38"/>
      <c r="H127" s="38"/>
      <c r="Z127" s="38" t="str">
        <f t="shared" si="1"/>
        <v>#REF!</v>
      </c>
    </row>
    <row r="128">
      <c r="A128" s="38"/>
      <c r="B128" s="38"/>
      <c r="C128" s="38"/>
      <c r="D128" s="38"/>
      <c r="E128" s="38"/>
      <c r="F128" s="38"/>
      <c r="G128" s="38"/>
      <c r="H128" s="38"/>
      <c r="Z128" s="38" t="str">
        <f t="shared" si="1"/>
        <v>#REF!</v>
      </c>
    </row>
    <row r="129">
      <c r="A129" s="38"/>
      <c r="B129" s="38"/>
      <c r="C129" s="38"/>
      <c r="D129" s="38"/>
      <c r="E129" s="38"/>
      <c r="F129" s="38"/>
      <c r="G129" s="38"/>
      <c r="H129" s="38"/>
      <c r="Z129" s="38" t="str">
        <f t="shared" si="1"/>
        <v>#REF!</v>
      </c>
    </row>
    <row r="130">
      <c r="A130" s="38"/>
      <c r="B130" s="38"/>
      <c r="C130" s="38"/>
      <c r="D130" s="38"/>
      <c r="E130" s="38"/>
      <c r="F130" s="38"/>
      <c r="G130" s="38"/>
      <c r="H130" s="38"/>
      <c r="Z130" s="38" t="str">
        <f t="shared" si="1"/>
        <v>#REF!</v>
      </c>
    </row>
    <row r="131">
      <c r="A131" s="38"/>
      <c r="B131" s="38"/>
      <c r="C131" s="38"/>
      <c r="D131" s="38"/>
      <c r="E131" s="38"/>
      <c r="F131" s="38"/>
      <c r="G131" s="38"/>
      <c r="H131" s="38"/>
      <c r="Z131" s="38" t="str">
        <f t="shared" si="1"/>
        <v>#REF!</v>
      </c>
    </row>
    <row r="132">
      <c r="A132" s="38"/>
      <c r="B132" s="38"/>
      <c r="C132" s="38"/>
      <c r="D132" s="38"/>
      <c r="E132" s="38"/>
      <c r="F132" s="38"/>
      <c r="G132" s="38"/>
      <c r="H132" s="38"/>
      <c r="Z132" s="38" t="str">
        <f t="shared" si="1"/>
        <v>#REF!</v>
      </c>
    </row>
    <row r="133">
      <c r="A133" s="38"/>
      <c r="B133" s="38"/>
      <c r="C133" s="38"/>
      <c r="D133" s="38"/>
      <c r="E133" s="38"/>
      <c r="F133" s="38"/>
      <c r="G133" s="38"/>
      <c r="H133" s="38"/>
      <c r="Z133" s="38" t="str">
        <f t="shared" si="1"/>
        <v>#REF!</v>
      </c>
    </row>
    <row r="134">
      <c r="A134" s="38"/>
      <c r="B134" s="38"/>
      <c r="C134" s="38"/>
      <c r="D134" s="38"/>
      <c r="E134" s="38"/>
      <c r="F134" s="38"/>
      <c r="G134" s="38"/>
      <c r="H134" s="38"/>
      <c r="Z134" s="38" t="str">
        <f t="shared" si="1"/>
        <v>#REF!</v>
      </c>
    </row>
    <row r="135">
      <c r="A135" s="38"/>
      <c r="B135" s="38"/>
      <c r="C135" s="38"/>
      <c r="D135" s="38"/>
      <c r="E135" s="38"/>
      <c r="F135" s="38"/>
      <c r="G135" s="38"/>
      <c r="H135" s="38"/>
      <c r="Z135" s="38" t="str">
        <f t="shared" si="1"/>
        <v>#REF!</v>
      </c>
    </row>
    <row r="136">
      <c r="A136" s="38"/>
      <c r="B136" s="38"/>
      <c r="C136" s="38"/>
      <c r="D136" s="38"/>
      <c r="E136" s="38"/>
      <c r="F136" s="38"/>
      <c r="G136" s="38"/>
      <c r="H136" s="38"/>
      <c r="Z136" s="38" t="str">
        <f t="shared" si="1"/>
        <v>#REF!</v>
      </c>
    </row>
    <row r="137">
      <c r="A137" s="38"/>
      <c r="B137" s="38"/>
      <c r="C137" s="38"/>
      <c r="D137" s="38"/>
      <c r="E137" s="38"/>
      <c r="F137" s="38"/>
      <c r="G137" s="38"/>
      <c r="H137" s="38"/>
      <c r="Z137" s="38" t="str">
        <f t="shared" si="1"/>
        <v>#REF!</v>
      </c>
    </row>
    <row r="138">
      <c r="A138" s="38"/>
      <c r="B138" s="38"/>
      <c r="C138" s="38"/>
      <c r="D138" s="38"/>
      <c r="E138" s="38"/>
      <c r="F138" s="38"/>
      <c r="G138" s="38"/>
      <c r="H138" s="38"/>
      <c r="Z138" s="38" t="str">
        <f t="shared" si="1"/>
        <v>#REF!</v>
      </c>
    </row>
    <row r="139">
      <c r="A139" s="38"/>
      <c r="B139" s="38"/>
      <c r="C139" s="38"/>
      <c r="D139" s="38"/>
      <c r="E139" s="38"/>
      <c r="F139" s="38"/>
      <c r="G139" s="38"/>
      <c r="H139" s="38"/>
      <c r="Z139" s="38" t="str">
        <f t="shared" si="1"/>
        <v>#REF!</v>
      </c>
    </row>
    <row r="140">
      <c r="A140" s="38"/>
      <c r="B140" s="38"/>
      <c r="C140" s="38"/>
      <c r="D140" s="38"/>
      <c r="E140" s="38"/>
      <c r="F140" s="38"/>
      <c r="G140" s="38"/>
      <c r="H140" s="38"/>
      <c r="Z140" s="38" t="str">
        <f t="shared" si="1"/>
        <v>#REF!</v>
      </c>
    </row>
    <row r="141">
      <c r="A141" s="38"/>
      <c r="B141" s="38"/>
      <c r="C141" s="38"/>
      <c r="D141" s="38"/>
      <c r="E141" s="38"/>
      <c r="F141" s="38"/>
      <c r="G141" s="38"/>
      <c r="H141" s="38"/>
      <c r="Z141" s="38" t="str">
        <f t="shared" si="1"/>
        <v>#REF!</v>
      </c>
    </row>
    <row r="142">
      <c r="A142" s="38"/>
      <c r="B142" s="38"/>
      <c r="C142" s="38"/>
      <c r="D142" s="38"/>
      <c r="E142" s="38"/>
      <c r="F142" s="38"/>
      <c r="G142" s="38"/>
      <c r="H142" s="38"/>
      <c r="Z142" s="38" t="str">
        <f t="shared" si="1"/>
        <v>#REF!</v>
      </c>
    </row>
    <row r="143">
      <c r="A143" s="38"/>
      <c r="B143" s="38"/>
      <c r="C143" s="38"/>
      <c r="D143" s="38"/>
      <c r="E143" s="38"/>
      <c r="F143" s="38"/>
      <c r="G143" s="38"/>
      <c r="H143" s="38"/>
      <c r="Z143" s="38" t="str">
        <f t="shared" si="1"/>
        <v>#REF!</v>
      </c>
    </row>
    <row r="144">
      <c r="A144" s="38"/>
      <c r="B144" s="38"/>
      <c r="C144" s="38"/>
      <c r="D144" s="38"/>
      <c r="E144" s="38"/>
      <c r="F144" s="38"/>
      <c r="G144" s="38"/>
      <c r="H144" s="38"/>
      <c r="Z144" s="38" t="str">
        <f t="shared" si="1"/>
        <v>#REF!</v>
      </c>
    </row>
    <row r="145">
      <c r="A145" s="38"/>
      <c r="B145" s="38"/>
      <c r="C145" s="38"/>
      <c r="D145" s="38"/>
      <c r="E145" s="38"/>
      <c r="F145" s="38"/>
      <c r="G145" s="38"/>
      <c r="H145" s="38"/>
      <c r="Z145" s="38" t="str">
        <f t="shared" si="1"/>
        <v>#REF!</v>
      </c>
    </row>
    <row r="146">
      <c r="A146" s="38"/>
      <c r="B146" s="38"/>
      <c r="C146" s="38"/>
      <c r="D146" s="38"/>
      <c r="E146" s="38"/>
      <c r="F146" s="38"/>
      <c r="G146" s="38"/>
      <c r="H146" s="38"/>
      <c r="Z146" s="38" t="str">
        <f t="shared" si="1"/>
        <v>#REF!</v>
      </c>
    </row>
    <row r="147">
      <c r="A147" s="38"/>
      <c r="B147" s="38"/>
      <c r="C147" s="38"/>
      <c r="D147" s="38"/>
      <c r="E147" s="38"/>
      <c r="F147" s="38"/>
      <c r="G147" s="38"/>
      <c r="H147" s="38"/>
      <c r="Z147" s="38" t="str">
        <f t="shared" si="1"/>
        <v>#REF!</v>
      </c>
    </row>
    <row r="148">
      <c r="A148" s="38"/>
      <c r="B148" s="38"/>
      <c r="C148" s="38"/>
      <c r="D148" s="38"/>
      <c r="E148" s="38"/>
      <c r="F148" s="38"/>
      <c r="G148" s="38"/>
      <c r="H148" s="38"/>
      <c r="Z148" s="38" t="str">
        <f t="shared" si="1"/>
        <v>#REF!</v>
      </c>
    </row>
    <row r="149">
      <c r="A149" s="38"/>
      <c r="B149" s="38"/>
      <c r="C149" s="38"/>
      <c r="D149" s="38"/>
      <c r="E149" s="38"/>
      <c r="F149" s="38"/>
      <c r="G149" s="38"/>
      <c r="H149" s="38"/>
      <c r="Z149" s="38" t="str">
        <f t="shared" si="1"/>
        <v>#REF!</v>
      </c>
    </row>
    <row r="150">
      <c r="A150" s="38"/>
      <c r="B150" s="38"/>
      <c r="C150" s="38"/>
      <c r="D150" s="38"/>
      <c r="E150" s="38"/>
      <c r="F150" s="38"/>
      <c r="G150" s="38"/>
      <c r="H150" s="38"/>
      <c r="Z150" s="38" t="str">
        <f t="shared" si="1"/>
        <v>#REF!</v>
      </c>
    </row>
    <row r="151">
      <c r="A151" s="38"/>
      <c r="B151" s="38"/>
      <c r="C151" s="38"/>
      <c r="D151" s="38"/>
      <c r="E151" s="38"/>
      <c r="F151" s="38"/>
      <c r="G151" s="38"/>
      <c r="H151" s="38"/>
      <c r="Z151" s="38" t="str">
        <f t="shared" si="1"/>
        <v>#REF!</v>
      </c>
    </row>
    <row r="152">
      <c r="A152" s="38"/>
      <c r="B152" s="38"/>
      <c r="C152" s="38"/>
      <c r="D152" s="38"/>
      <c r="E152" s="38"/>
      <c r="F152" s="38"/>
      <c r="G152" s="38"/>
      <c r="H152" s="38"/>
      <c r="Z152" s="38" t="str">
        <f t="shared" si="1"/>
        <v>#REF!</v>
      </c>
    </row>
    <row r="153">
      <c r="A153" s="38"/>
      <c r="B153" s="38"/>
      <c r="C153" s="38"/>
      <c r="D153" s="38"/>
      <c r="E153" s="38"/>
      <c r="F153" s="38"/>
      <c r="G153" s="38"/>
      <c r="H153" s="38"/>
      <c r="Z153" s="38" t="str">
        <f t="shared" si="1"/>
        <v>#REF!</v>
      </c>
    </row>
    <row r="154">
      <c r="A154" s="38"/>
      <c r="B154" s="38"/>
      <c r="C154" s="38"/>
      <c r="D154" s="38"/>
      <c r="E154" s="38"/>
      <c r="F154" s="38"/>
      <c r="G154" s="38"/>
      <c r="H154" s="38"/>
      <c r="Z154" s="38" t="str">
        <f t="shared" si="1"/>
        <v>#REF!</v>
      </c>
    </row>
    <row r="155">
      <c r="A155" s="38"/>
      <c r="B155" s="38"/>
      <c r="C155" s="38"/>
      <c r="D155" s="38"/>
      <c r="E155" s="38"/>
      <c r="F155" s="38"/>
      <c r="G155" s="38"/>
      <c r="H155" s="38"/>
      <c r="Z155" s="38" t="str">
        <f t="shared" si="1"/>
        <v>#REF!</v>
      </c>
    </row>
    <row r="156">
      <c r="A156" s="38"/>
      <c r="B156" s="38"/>
      <c r="C156" s="38"/>
      <c r="D156" s="38"/>
      <c r="E156" s="38"/>
      <c r="F156" s="38"/>
      <c r="G156" s="38"/>
      <c r="H156" s="38"/>
      <c r="Z156" s="38" t="str">
        <f t="shared" si="1"/>
        <v>#REF!</v>
      </c>
    </row>
    <row r="157">
      <c r="A157" s="38"/>
      <c r="B157" s="38"/>
      <c r="C157" s="38"/>
      <c r="D157" s="38"/>
      <c r="E157" s="38"/>
      <c r="F157" s="38"/>
      <c r="G157" s="38"/>
      <c r="H157" s="38"/>
      <c r="Z157" s="38" t="str">
        <f t="shared" si="1"/>
        <v>#REF!</v>
      </c>
    </row>
    <row r="158">
      <c r="A158" s="38"/>
      <c r="B158" s="38"/>
      <c r="C158" s="38"/>
      <c r="D158" s="38"/>
      <c r="E158" s="38"/>
      <c r="F158" s="38"/>
      <c r="G158" s="38"/>
      <c r="H158" s="38"/>
      <c r="Z158" s="38" t="str">
        <f t="shared" si="1"/>
        <v>#REF!</v>
      </c>
    </row>
    <row r="159">
      <c r="A159" s="38"/>
      <c r="B159" s="38"/>
      <c r="C159" s="38"/>
      <c r="D159" s="38"/>
      <c r="E159" s="38"/>
      <c r="F159" s="38"/>
      <c r="G159" s="38"/>
      <c r="H159" s="38"/>
      <c r="Z159" s="38" t="str">
        <f t="shared" si="1"/>
        <v>#REF!</v>
      </c>
    </row>
    <row r="160">
      <c r="A160" s="38"/>
      <c r="B160" s="38"/>
      <c r="C160" s="38"/>
      <c r="D160" s="38"/>
      <c r="E160" s="38"/>
      <c r="F160" s="38"/>
      <c r="G160" s="38"/>
      <c r="H160" s="38"/>
      <c r="Z160" s="38" t="str">
        <f t="shared" si="1"/>
        <v>#REF!</v>
      </c>
    </row>
    <row r="161">
      <c r="A161" s="38"/>
      <c r="B161" s="38"/>
      <c r="C161" s="38"/>
      <c r="D161" s="38"/>
      <c r="E161" s="38"/>
      <c r="F161" s="38"/>
      <c r="G161" s="38"/>
      <c r="H161" s="38"/>
      <c r="Z161" s="38" t="str">
        <f t="shared" si="1"/>
        <v>#REF!</v>
      </c>
    </row>
    <row r="162">
      <c r="A162" s="38"/>
      <c r="B162" s="38"/>
      <c r="C162" s="38"/>
      <c r="D162" s="38"/>
      <c r="E162" s="38"/>
      <c r="F162" s="38"/>
      <c r="G162" s="38"/>
      <c r="H162" s="38"/>
      <c r="Z162" s="38" t="str">
        <f t="shared" si="1"/>
        <v>#REF!</v>
      </c>
    </row>
    <row r="163">
      <c r="A163" s="38"/>
      <c r="B163" s="38"/>
      <c r="C163" s="38"/>
      <c r="D163" s="38"/>
      <c r="E163" s="38"/>
      <c r="F163" s="38"/>
      <c r="G163" s="38"/>
      <c r="H163" s="38"/>
      <c r="Z163" s="38" t="str">
        <f t="shared" si="1"/>
        <v>#REF!</v>
      </c>
    </row>
    <row r="164">
      <c r="A164" s="38"/>
      <c r="B164" s="38"/>
      <c r="C164" s="38"/>
      <c r="D164" s="38"/>
      <c r="E164" s="38"/>
      <c r="F164" s="38"/>
      <c r="G164" s="38"/>
      <c r="H164" s="38"/>
      <c r="Z164" s="38" t="str">
        <f t="shared" si="1"/>
        <v>#REF!</v>
      </c>
    </row>
    <row r="165">
      <c r="A165" s="38"/>
      <c r="B165" s="38"/>
      <c r="C165" s="38"/>
      <c r="D165" s="38"/>
      <c r="E165" s="38"/>
      <c r="F165" s="38"/>
      <c r="G165" s="38"/>
      <c r="H165" s="38"/>
      <c r="Z165" s="38" t="str">
        <f t="shared" si="1"/>
        <v>#REF!</v>
      </c>
    </row>
    <row r="166">
      <c r="A166" s="38"/>
      <c r="B166" s="38"/>
      <c r="C166" s="38"/>
      <c r="D166" s="38"/>
      <c r="E166" s="38"/>
      <c r="F166" s="38"/>
      <c r="G166" s="38"/>
      <c r="H166" s="38"/>
      <c r="Z166" s="38" t="str">
        <f t="shared" si="1"/>
        <v>#REF!</v>
      </c>
    </row>
    <row r="167">
      <c r="A167" s="38"/>
      <c r="B167" s="38"/>
      <c r="C167" s="38"/>
      <c r="D167" s="38"/>
      <c r="E167" s="38"/>
      <c r="F167" s="38"/>
      <c r="G167" s="38"/>
      <c r="H167" s="38"/>
      <c r="Z167" s="38" t="str">
        <f t="shared" si="1"/>
        <v>#REF!</v>
      </c>
    </row>
    <row r="168">
      <c r="A168" s="38"/>
      <c r="B168" s="38"/>
      <c r="C168" s="38"/>
      <c r="D168" s="38"/>
      <c r="E168" s="38"/>
      <c r="F168" s="38"/>
      <c r="G168" s="38"/>
      <c r="H168" s="38"/>
      <c r="Z168" s="38" t="str">
        <f t="shared" si="1"/>
        <v>#REF!</v>
      </c>
    </row>
    <row r="169">
      <c r="A169" s="38"/>
      <c r="B169" s="38"/>
      <c r="C169" s="38"/>
      <c r="D169" s="38"/>
      <c r="E169" s="38"/>
      <c r="F169" s="38"/>
      <c r="G169" s="38"/>
      <c r="H169" s="38"/>
      <c r="Z169" s="38" t="str">
        <f t="shared" si="1"/>
        <v>#REF!</v>
      </c>
    </row>
    <row r="170">
      <c r="A170" s="38"/>
      <c r="B170" s="38"/>
      <c r="C170" s="38"/>
      <c r="D170" s="38"/>
      <c r="E170" s="38"/>
      <c r="F170" s="38"/>
      <c r="G170" s="38"/>
      <c r="H170" s="38"/>
      <c r="Z170" s="38" t="str">
        <f t="shared" si="1"/>
        <v>#REF!</v>
      </c>
    </row>
    <row r="171">
      <c r="A171" s="38"/>
      <c r="B171" s="38"/>
      <c r="C171" s="38"/>
      <c r="D171" s="38"/>
      <c r="E171" s="38"/>
      <c r="F171" s="38"/>
      <c r="G171" s="38"/>
      <c r="H171" s="38"/>
      <c r="Z171" s="38" t="str">
        <f t="shared" si="1"/>
        <v>#REF!</v>
      </c>
    </row>
    <row r="172">
      <c r="A172" s="38"/>
      <c r="B172" s="38"/>
      <c r="C172" s="38"/>
      <c r="D172" s="38"/>
      <c r="E172" s="38"/>
      <c r="F172" s="38"/>
      <c r="G172" s="38"/>
      <c r="H172" s="38"/>
      <c r="Z172" s="38" t="str">
        <f t="shared" si="1"/>
        <v>#REF!</v>
      </c>
    </row>
    <row r="173">
      <c r="A173" s="38"/>
      <c r="B173" s="38"/>
      <c r="C173" s="38"/>
      <c r="D173" s="38"/>
      <c r="E173" s="38"/>
      <c r="F173" s="38"/>
      <c r="G173" s="38"/>
      <c r="H173" s="38"/>
      <c r="Z173" s="38" t="str">
        <f t="shared" si="1"/>
        <v>#REF!</v>
      </c>
    </row>
    <row r="174">
      <c r="A174" s="38"/>
      <c r="B174" s="38"/>
      <c r="C174" s="38"/>
      <c r="D174" s="38"/>
      <c r="E174" s="38"/>
      <c r="F174" s="38"/>
      <c r="G174" s="38"/>
      <c r="H174" s="38"/>
      <c r="Z174" s="38" t="str">
        <f t="shared" si="1"/>
        <v>#REF!</v>
      </c>
    </row>
    <row r="175">
      <c r="A175" s="38"/>
      <c r="B175" s="38"/>
      <c r="C175" s="38"/>
      <c r="D175" s="38"/>
      <c r="E175" s="38"/>
      <c r="F175" s="38"/>
      <c r="G175" s="38"/>
      <c r="H175" s="38"/>
      <c r="Z175" s="38" t="str">
        <f t="shared" si="1"/>
        <v>#REF!</v>
      </c>
    </row>
    <row r="176">
      <c r="A176" s="38"/>
      <c r="B176" s="38"/>
      <c r="C176" s="38"/>
      <c r="D176" s="38"/>
      <c r="E176" s="38"/>
      <c r="F176" s="38"/>
      <c r="G176" s="38"/>
      <c r="H176" s="38"/>
      <c r="Z176" s="38" t="str">
        <f t="shared" si="1"/>
        <v>#REF!</v>
      </c>
    </row>
    <row r="177">
      <c r="A177" s="38"/>
      <c r="B177" s="38"/>
      <c r="C177" s="38"/>
      <c r="D177" s="38"/>
      <c r="E177" s="38"/>
      <c r="F177" s="38"/>
      <c r="G177" s="38"/>
      <c r="H177" s="38"/>
      <c r="Z177" s="38" t="str">
        <f t="shared" si="1"/>
        <v>#REF!</v>
      </c>
    </row>
    <row r="178">
      <c r="A178" s="38"/>
      <c r="B178" s="38"/>
      <c r="C178" s="38"/>
      <c r="D178" s="38"/>
      <c r="E178" s="38"/>
      <c r="F178" s="38"/>
      <c r="G178" s="38"/>
      <c r="H178" s="38"/>
      <c r="Z178" s="38" t="str">
        <f t="shared" si="1"/>
        <v>#REF!</v>
      </c>
    </row>
    <row r="179">
      <c r="A179" s="38"/>
      <c r="B179" s="38"/>
      <c r="C179" s="38"/>
      <c r="D179" s="38"/>
      <c r="E179" s="38"/>
      <c r="F179" s="38"/>
      <c r="G179" s="38"/>
      <c r="H179" s="38"/>
      <c r="Z179" s="38" t="str">
        <f t="shared" si="1"/>
        <v>#REF!</v>
      </c>
    </row>
    <row r="180">
      <c r="A180" s="38"/>
      <c r="B180" s="38"/>
      <c r="C180" s="38"/>
      <c r="D180" s="38"/>
      <c r="E180" s="38"/>
      <c r="F180" s="38"/>
      <c r="G180" s="38"/>
      <c r="H180" s="38"/>
      <c r="Z180" s="38" t="str">
        <f t="shared" si="1"/>
        <v>#REF!</v>
      </c>
    </row>
    <row r="181">
      <c r="A181" s="38"/>
      <c r="B181" s="38"/>
      <c r="C181" s="38"/>
      <c r="D181" s="38"/>
      <c r="E181" s="38"/>
      <c r="F181" s="38"/>
      <c r="G181" s="38"/>
      <c r="H181" s="38"/>
      <c r="Z181" s="38" t="str">
        <f t="shared" si="1"/>
        <v>#REF!</v>
      </c>
    </row>
    <row r="182">
      <c r="A182" s="38"/>
      <c r="B182" s="38"/>
      <c r="C182" s="38"/>
      <c r="D182" s="38"/>
      <c r="E182" s="38"/>
      <c r="F182" s="38"/>
      <c r="G182" s="38"/>
      <c r="H182" s="38"/>
      <c r="Z182" s="38" t="str">
        <f t="shared" si="1"/>
        <v>#REF!</v>
      </c>
    </row>
    <row r="183">
      <c r="A183" s="38"/>
      <c r="B183" s="38"/>
      <c r="C183" s="38"/>
      <c r="D183" s="38"/>
      <c r="E183" s="38"/>
      <c r="F183" s="38"/>
      <c r="G183" s="38"/>
      <c r="H183" s="38"/>
      <c r="Z183" s="38" t="str">
        <f t="shared" si="1"/>
        <v>#REF!</v>
      </c>
    </row>
    <row r="184">
      <c r="A184" s="38"/>
      <c r="B184" s="38"/>
      <c r="C184" s="38"/>
      <c r="D184" s="38"/>
      <c r="E184" s="38"/>
      <c r="F184" s="38"/>
      <c r="G184" s="38"/>
      <c r="H184" s="38"/>
      <c r="Z184" s="38" t="str">
        <f t="shared" si="1"/>
        <v>#REF!</v>
      </c>
    </row>
    <row r="185">
      <c r="A185" s="38"/>
      <c r="B185" s="38"/>
      <c r="C185" s="38"/>
      <c r="D185" s="38"/>
      <c r="E185" s="38"/>
      <c r="F185" s="38"/>
      <c r="G185" s="38"/>
      <c r="H185" s="38"/>
      <c r="Z185" s="38" t="str">
        <f t="shared" si="1"/>
        <v>#REF!</v>
      </c>
    </row>
    <row r="186">
      <c r="A186" s="38"/>
      <c r="B186" s="38"/>
      <c r="C186" s="38"/>
      <c r="D186" s="38"/>
      <c r="E186" s="38"/>
      <c r="F186" s="38"/>
      <c r="G186" s="38"/>
      <c r="H186" s="38"/>
      <c r="Z186" s="38" t="str">
        <f t="shared" si="1"/>
        <v>#REF!</v>
      </c>
    </row>
    <row r="187">
      <c r="A187" s="38"/>
      <c r="B187" s="38"/>
      <c r="C187" s="38"/>
      <c r="D187" s="38"/>
      <c r="E187" s="38"/>
      <c r="F187" s="38"/>
      <c r="G187" s="38"/>
      <c r="H187" s="38"/>
      <c r="Z187" s="38" t="str">
        <f t="shared" si="1"/>
        <v>#REF!</v>
      </c>
    </row>
    <row r="188">
      <c r="A188" s="38"/>
      <c r="B188" s="38"/>
      <c r="C188" s="38"/>
      <c r="D188" s="38"/>
      <c r="E188" s="38"/>
      <c r="F188" s="38"/>
      <c r="G188" s="38"/>
      <c r="H188" s="38"/>
      <c r="Z188" s="38" t="str">
        <f t="shared" si="1"/>
        <v>#REF!</v>
      </c>
    </row>
    <row r="189">
      <c r="A189" s="38"/>
      <c r="B189" s="38"/>
      <c r="C189" s="38"/>
      <c r="D189" s="38"/>
      <c r="E189" s="38"/>
      <c r="F189" s="38"/>
      <c r="G189" s="38"/>
      <c r="H189" s="38"/>
      <c r="Z189" s="38" t="str">
        <f t="shared" si="1"/>
        <v>#REF!</v>
      </c>
    </row>
    <row r="190">
      <c r="A190" s="38"/>
      <c r="B190" s="38"/>
      <c r="C190" s="38"/>
      <c r="D190" s="38"/>
      <c r="E190" s="38"/>
      <c r="F190" s="38"/>
      <c r="G190" s="38"/>
      <c r="H190" s="38"/>
      <c r="Z190" s="38" t="str">
        <f t="shared" si="1"/>
        <v>#REF!</v>
      </c>
    </row>
    <row r="191">
      <c r="A191" s="38"/>
      <c r="B191" s="38"/>
      <c r="C191" s="38"/>
      <c r="D191" s="38"/>
      <c r="E191" s="38"/>
      <c r="F191" s="38"/>
      <c r="G191" s="38"/>
      <c r="H191" s="38"/>
      <c r="Z191" s="38" t="str">
        <f t="shared" si="1"/>
        <v>#REF!</v>
      </c>
    </row>
    <row r="192">
      <c r="A192" s="38"/>
      <c r="B192" s="38"/>
      <c r="C192" s="38"/>
      <c r="D192" s="38"/>
      <c r="E192" s="38"/>
      <c r="F192" s="38"/>
      <c r="G192" s="38"/>
      <c r="H192" s="38"/>
      <c r="Z192" s="38" t="str">
        <f t="shared" si="1"/>
        <v>#REF!</v>
      </c>
    </row>
    <row r="193">
      <c r="A193" s="38"/>
      <c r="B193" s="38"/>
      <c r="C193" s="38"/>
      <c r="D193" s="38"/>
      <c r="E193" s="38"/>
      <c r="F193" s="38"/>
      <c r="G193" s="38"/>
      <c r="H193" s="38"/>
      <c r="Z193" s="38" t="str">
        <f t="shared" si="1"/>
        <v>#REF!</v>
      </c>
    </row>
    <row r="194">
      <c r="A194" s="38"/>
      <c r="B194" s="38"/>
      <c r="C194" s="38"/>
      <c r="D194" s="38"/>
      <c r="E194" s="38"/>
      <c r="F194" s="38"/>
      <c r="G194" s="38"/>
      <c r="H194" s="38"/>
      <c r="Z194" s="38" t="str">
        <f t="shared" si="1"/>
        <v>#REF!</v>
      </c>
    </row>
    <row r="195">
      <c r="A195" s="38"/>
      <c r="B195" s="38"/>
      <c r="C195" s="38"/>
      <c r="D195" s="38"/>
      <c r="E195" s="38"/>
      <c r="F195" s="38"/>
      <c r="G195" s="38"/>
      <c r="H195" s="38"/>
      <c r="Z195" s="38" t="str">
        <f t="shared" si="1"/>
        <v>#REF!</v>
      </c>
    </row>
    <row r="196">
      <c r="A196" s="38"/>
      <c r="B196" s="38"/>
      <c r="C196" s="38"/>
      <c r="D196" s="38"/>
      <c r="E196" s="38"/>
      <c r="F196" s="38"/>
      <c r="G196" s="38"/>
      <c r="H196" s="38"/>
      <c r="Z196" s="38" t="str">
        <f t="shared" si="1"/>
        <v>#REF!</v>
      </c>
    </row>
    <row r="197">
      <c r="A197" s="38"/>
      <c r="B197" s="38"/>
      <c r="C197" s="38"/>
      <c r="D197" s="38"/>
      <c r="E197" s="38"/>
      <c r="F197" s="38"/>
      <c r="G197" s="38"/>
      <c r="H197" s="38"/>
      <c r="Z197" s="38" t="str">
        <f t="shared" si="1"/>
        <v>#REF!</v>
      </c>
    </row>
    <row r="198">
      <c r="A198" s="38"/>
      <c r="B198" s="38"/>
      <c r="C198" s="38"/>
      <c r="D198" s="38"/>
      <c r="E198" s="38"/>
      <c r="F198" s="38"/>
      <c r="G198" s="38"/>
      <c r="H198" s="38"/>
      <c r="Z198" s="38" t="str">
        <f t="shared" si="1"/>
        <v>#REF!</v>
      </c>
    </row>
    <row r="199">
      <c r="A199" s="38"/>
      <c r="B199" s="38"/>
      <c r="C199" s="38"/>
      <c r="D199" s="38"/>
      <c r="E199" s="38"/>
      <c r="F199" s="38"/>
      <c r="G199" s="38"/>
      <c r="H199" s="38"/>
      <c r="Z199" s="38" t="str">
        <f t="shared" si="1"/>
        <v>#REF!</v>
      </c>
    </row>
    <row r="200">
      <c r="A200" s="38"/>
      <c r="B200" s="38"/>
      <c r="C200" s="38"/>
      <c r="D200" s="38"/>
      <c r="E200" s="38"/>
      <c r="F200" s="38"/>
      <c r="G200" s="38"/>
      <c r="H200" s="38"/>
      <c r="Z200" s="38" t="str">
        <f t="shared" si="1"/>
        <v>#REF!</v>
      </c>
    </row>
    <row r="201">
      <c r="A201" s="38"/>
      <c r="B201" s="38"/>
      <c r="C201" s="38"/>
      <c r="D201" s="38"/>
      <c r="E201" s="38"/>
      <c r="F201" s="38"/>
      <c r="G201" s="38"/>
      <c r="H201" s="38"/>
      <c r="Z201" s="38" t="str">
        <f t="shared" si="1"/>
        <v>#REF!</v>
      </c>
    </row>
    <row r="202">
      <c r="A202" s="38"/>
      <c r="B202" s="38"/>
      <c r="C202" s="38"/>
      <c r="D202" s="38"/>
      <c r="E202" s="38"/>
      <c r="F202" s="38"/>
      <c r="G202" s="38"/>
      <c r="H202" s="38"/>
      <c r="Z202" s="38" t="str">
        <f t="shared" si="1"/>
        <v>#REF!</v>
      </c>
    </row>
    <row r="203">
      <c r="A203" s="38"/>
      <c r="B203" s="38"/>
      <c r="C203" s="38"/>
      <c r="D203" s="38"/>
      <c r="E203" s="38"/>
      <c r="F203" s="38"/>
      <c r="G203" s="38"/>
      <c r="H203" s="38"/>
      <c r="Z203" s="38" t="str">
        <f t="shared" si="1"/>
        <v>#REF!</v>
      </c>
    </row>
    <row r="204">
      <c r="A204" s="38"/>
      <c r="B204" s="38"/>
      <c r="C204" s="38"/>
      <c r="D204" s="38"/>
      <c r="E204" s="38"/>
      <c r="F204" s="38"/>
      <c r="G204" s="38"/>
      <c r="H204" s="38"/>
      <c r="Z204" s="38" t="str">
        <f t="shared" si="1"/>
        <v>#REF!</v>
      </c>
    </row>
    <row r="205">
      <c r="A205" s="38"/>
      <c r="B205" s="38"/>
      <c r="C205" s="38"/>
      <c r="D205" s="38"/>
      <c r="E205" s="38"/>
      <c r="F205" s="38"/>
      <c r="G205" s="38"/>
      <c r="H205" s="38"/>
      <c r="Z205" s="38" t="str">
        <f t="shared" si="1"/>
        <v>#REF!</v>
      </c>
    </row>
    <row r="206">
      <c r="A206" s="38"/>
      <c r="B206" s="38"/>
      <c r="C206" s="38"/>
      <c r="D206" s="38"/>
      <c r="E206" s="38"/>
      <c r="F206" s="38"/>
      <c r="G206" s="38"/>
      <c r="H206" s="38"/>
      <c r="Z206" s="38" t="str">
        <f t="shared" si="1"/>
        <v>#REF!</v>
      </c>
    </row>
    <row r="207">
      <c r="A207" s="38"/>
      <c r="B207" s="38"/>
      <c r="C207" s="38"/>
      <c r="D207" s="38"/>
      <c r="E207" s="38"/>
      <c r="F207" s="38"/>
      <c r="G207" s="38"/>
      <c r="H207" s="38"/>
      <c r="Z207" s="38" t="str">
        <f t="shared" si="1"/>
        <v>#REF!</v>
      </c>
    </row>
    <row r="208">
      <c r="A208" s="38"/>
      <c r="B208" s="38"/>
      <c r="C208" s="38"/>
      <c r="D208" s="38"/>
      <c r="E208" s="38"/>
      <c r="F208" s="38"/>
      <c r="G208" s="38"/>
      <c r="H208" s="38"/>
      <c r="Z208" s="38" t="str">
        <f t="shared" si="1"/>
        <v>#REF!</v>
      </c>
    </row>
    <row r="209">
      <c r="A209" s="38"/>
      <c r="B209" s="38"/>
      <c r="C209" s="38"/>
      <c r="D209" s="38"/>
      <c r="E209" s="38"/>
      <c r="F209" s="38"/>
      <c r="G209" s="38"/>
      <c r="H209" s="38"/>
      <c r="Z209" s="38" t="str">
        <f t="shared" si="1"/>
        <v>#REF!</v>
      </c>
    </row>
    <row r="210">
      <c r="A210" s="38"/>
      <c r="B210" s="38"/>
      <c r="C210" s="38"/>
      <c r="D210" s="38"/>
      <c r="E210" s="38"/>
      <c r="F210" s="38"/>
      <c r="G210" s="38"/>
      <c r="H210" s="38"/>
      <c r="Z210" s="38" t="str">
        <f t="shared" si="1"/>
        <v>#REF!</v>
      </c>
    </row>
    <row r="211">
      <c r="A211" s="38"/>
      <c r="B211" s="38"/>
      <c r="C211" s="38"/>
      <c r="D211" s="38"/>
      <c r="E211" s="38"/>
      <c r="F211" s="38"/>
      <c r="G211" s="38"/>
      <c r="H211" s="38"/>
      <c r="Z211" s="38" t="str">
        <f t="shared" si="1"/>
        <v>#REF!</v>
      </c>
    </row>
    <row r="212">
      <c r="A212" s="38"/>
      <c r="B212" s="38"/>
      <c r="C212" s="38"/>
      <c r="D212" s="38"/>
      <c r="E212" s="38"/>
      <c r="F212" s="38"/>
      <c r="G212" s="38"/>
      <c r="H212" s="38"/>
      <c r="Z212" s="38" t="str">
        <f t="shared" si="1"/>
        <v>#REF!</v>
      </c>
    </row>
    <row r="213">
      <c r="A213" s="38"/>
      <c r="B213" s="38"/>
      <c r="C213" s="38"/>
      <c r="D213" s="38"/>
      <c r="E213" s="38"/>
      <c r="F213" s="38"/>
      <c r="G213" s="38"/>
      <c r="H213" s="38"/>
      <c r="Z213" s="38" t="str">
        <f t="shared" si="1"/>
        <v>#REF!</v>
      </c>
    </row>
    <row r="214">
      <c r="A214" s="38"/>
      <c r="B214" s="38"/>
      <c r="C214" s="38"/>
      <c r="D214" s="38"/>
      <c r="E214" s="38"/>
      <c r="F214" s="38"/>
      <c r="G214" s="38"/>
      <c r="H214" s="38"/>
      <c r="Z214" s="38" t="str">
        <f t="shared" si="1"/>
        <v>#REF!</v>
      </c>
    </row>
    <row r="215">
      <c r="A215" s="38"/>
      <c r="B215" s="38"/>
      <c r="C215" s="38"/>
      <c r="D215" s="38"/>
      <c r="E215" s="38"/>
      <c r="F215" s="38"/>
      <c r="G215" s="38"/>
      <c r="H215" s="38"/>
      <c r="Z215" s="38" t="str">
        <f t="shared" si="1"/>
        <v>#REF!</v>
      </c>
    </row>
    <row r="216">
      <c r="A216" s="38"/>
      <c r="B216" s="38"/>
      <c r="C216" s="38"/>
      <c r="D216" s="38"/>
      <c r="E216" s="38"/>
      <c r="F216" s="38"/>
      <c r="G216" s="38"/>
      <c r="H216" s="38"/>
      <c r="Z216" s="38" t="str">
        <f t="shared" si="1"/>
        <v>#REF!</v>
      </c>
    </row>
    <row r="217">
      <c r="A217" s="38"/>
      <c r="B217" s="38"/>
      <c r="C217" s="38"/>
      <c r="D217" s="38"/>
      <c r="E217" s="38"/>
      <c r="F217" s="38"/>
      <c r="G217" s="38"/>
      <c r="H217" s="38"/>
      <c r="Z217" s="38" t="str">
        <f t="shared" si="1"/>
        <v>#REF!</v>
      </c>
    </row>
    <row r="218">
      <c r="A218" s="38"/>
      <c r="B218" s="38"/>
      <c r="C218" s="38"/>
      <c r="D218" s="38"/>
      <c r="E218" s="38"/>
      <c r="F218" s="38"/>
      <c r="G218" s="38"/>
      <c r="H218" s="38"/>
      <c r="Z218" s="38" t="str">
        <f t="shared" si="1"/>
        <v>#REF!</v>
      </c>
    </row>
    <row r="219">
      <c r="A219" s="38"/>
      <c r="B219" s="38"/>
      <c r="C219" s="38"/>
      <c r="D219" s="38"/>
      <c r="E219" s="38"/>
      <c r="F219" s="38"/>
      <c r="G219" s="38"/>
      <c r="H219" s="38"/>
      <c r="Z219" s="38" t="str">
        <f t="shared" si="1"/>
        <v>#REF!</v>
      </c>
    </row>
    <row r="220">
      <c r="A220" s="38"/>
      <c r="B220" s="38"/>
      <c r="C220" s="38"/>
      <c r="D220" s="38"/>
      <c r="E220" s="38"/>
      <c r="F220" s="38"/>
      <c r="G220" s="38"/>
      <c r="H220" s="38"/>
      <c r="Z220" s="38" t="str">
        <f t="shared" si="1"/>
        <v>#REF!</v>
      </c>
    </row>
    <row r="221">
      <c r="Z221" s="38" t="str">
        <f t="shared" si="1"/>
        <v>#REF!</v>
      </c>
    </row>
    <row r="222">
      <c r="Z222" s="38" t="str">
        <f t="shared" si="1"/>
        <v>#REF!</v>
      </c>
    </row>
    <row r="223">
      <c r="Z223" s="38" t="str">
        <f t="shared" si="1"/>
        <v>#REF!</v>
      </c>
    </row>
    <row r="224">
      <c r="Z224" s="38" t="str">
        <f t="shared" si="1"/>
        <v>#REF!</v>
      </c>
    </row>
    <row r="225">
      <c r="Z225" s="38" t="str">
        <f t="shared" si="1"/>
        <v>#REF!</v>
      </c>
    </row>
    <row r="226">
      <c r="Z226" s="38" t="str">
        <f t="shared" si="1"/>
        <v>#REF!</v>
      </c>
    </row>
    <row r="227">
      <c r="Z227" s="38" t="str">
        <f t="shared" si="1"/>
        <v>#REF!</v>
      </c>
    </row>
    <row r="228">
      <c r="Z228" s="38" t="str">
        <f t="shared" si="1"/>
        <v>#REF!</v>
      </c>
    </row>
    <row r="229">
      <c r="Z229" s="38" t="str">
        <f t="shared" si="1"/>
        <v>#REF!</v>
      </c>
    </row>
    <row r="230">
      <c r="Z230" s="38" t="str">
        <f t="shared" si="1"/>
        <v>#REF!</v>
      </c>
    </row>
    <row r="231">
      <c r="Z231" s="38" t="str">
        <f t="shared" si="1"/>
        <v>#REF!</v>
      </c>
    </row>
    <row r="232">
      <c r="Z232" s="38" t="str">
        <f t="shared" si="1"/>
        <v>#REF!</v>
      </c>
    </row>
    <row r="233">
      <c r="Z233" s="38" t="str">
        <f t="shared" si="1"/>
        <v>#REF!</v>
      </c>
    </row>
    <row r="234">
      <c r="Z234" s="38" t="str">
        <f t="shared" si="1"/>
        <v>#REF!</v>
      </c>
    </row>
    <row r="235">
      <c r="Z235" s="38" t="str">
        <f t="shared" si="1"/>
        <v>#REF!</v>
      </c>
    </row>
    <row r="236">
      <c r="Z236" s="38" t="str">
        <f t="shared" si="1"/>
        <v>#REF!</v>
      </c>
    </row>
    <row r="237">
      <c r="Z237" s="38" t="str">
        <f t="shared" si="1"/>
        <v>#REF!</v>
      </c>
    </row>
    <row r="238">
      <c r="Z238" s="38" t="str">
        <f t="shared" si="1"/>
        <v>#REF!</v>
      </c>
    </row>
    <row r="239">
      <c r="Z239" s="38" t="str">
        <f t="shared" si="1"/>
        <v>#REF!</v>
      </c>
    </row>
    <row r="240">
      <c r="Z240" s="38" t="str">
        <f t="shared" si="1"/>
        <v>#REF!</v>
      </c>
    </row>
    <row r="241">
      <c r="Z241" s="38" t="str">
        <f t="shared" si="1"/>
        <v>#REF!</v>
      </c>
    </row>
    <row r="242">
      <c r="Z242" s="38" t="str">
        <f t="shared" si="1"/>
        <v>#REF!</v>
      </c>
    </row>
    <row r="243">
      <c r="Z243" s="38" t="str">
        <f t="shared" si="1"/>
        <v>#REF!</v>
      </c>
    </row>
    <row r="244">
      <c r="Z244" s="38" t="str">
        <f t="shared" si="1"/>
        <v>#REF!</v>
      </c>
    </row>
    <row r="245">
      <c r="Z245" s="38" t="str">
        <f t="shared" si="1"/>
        <v>#REF!</v>
      </c>
    </row>
    <row r="246">
      <c r="Z246" s="38" t="str">
        <f t="shared" si="1"/>
        <v>#REF!</v>
      </c>
    </row>
    <row r="247">
      <c r="Z247" s="38" t="str">
        <f t="shared" si="1"/>
        <v>#REF!</v>
      </c>
    </row>
    <row r="248">
      <c r="Z248" s="38" t="str">
        <f t="shared" si="1"/>
        <v>#REF!</v>
      </c>
    </row>
    <row r="249">
      <c r="Z249" s="38" t="str">
        <f t="shared" si="1"/>
        <v>#REF!</v>
      </c>
    </row>
    <row r="250">
      <c r="Z250" s="38" t="str">
        <f t="shared" si="1"/>
        <v>#REF!</v>
      </c>
    </row>
    <row r="251">
      <c r="Z251" s="38" t="str">
        <f t="shared" si="1"/>
        <v>#REF!</v>
      </c>
    </row>
    <row r="252">
      <c r="Z252" s="38" t="str">
        <f t="shared" si="1"/>
        <v>#REF!</v>
      </c>
    </row>
    <row r="253">
      <c r="Z253" s="38" t="str">
        <f t="shared" si="1"/>
        <v>#REF!</v>
      </c>
    </row>
    <row r="254">
      <c r="Z254" s="38" t="str">
        <f t="shared" si="1"/>
        <v>#REF!</v>
      </c>
    </row>
    <row r="255">
      <c r="Z255" s="38" t="str">
        <f t="shared" si="1"/>
        <v>#REF!</v>
      </c>
    </row>
    <row r="256">
      <c r="Z256" s="38" t="str">
        <f t="shared" si="1"/>
        <v>#REF!</v>
      </c>
    </row>
    <row r="257">
      <c r="Z257" s="38" t="str">
        <f t="shared" si="1"/>
        <v>#REF!</v>
      </c>
    </row>
    <row r="258">
      <c r="Z258" s="38" t="str">
        <f t="shared" si="1"/>
        <v>#REF!</v>
      </c>
    </row>
    <row r="259">
      <c r="Z259" s="38" t="str">
        <f t="shared" si="1"/>
        <v>#REF!</v>
      </c>
    </row>
    <row r="260">
      <c r="Z260" s="38" t="str">
        <f t="shared" si="1"/>
        <v>#REF!</v>
      </c>
    </row>
    <row r="261">
      <c r="Z261" s="38" t="str">
        <f t="shared" si="1"/>
        <v>#REF!</v>
      </c>
    </row>
    <row r="262">
      <c r="Z262" s="38" t="str">
        <f t="shared" si="1"/>
        <v>#REF!</v>
      </c>
    </row>
    <row r="263">
      <c r="Z263" s="38" t="str">
        <f t="shared" si="1"/>
        <v>#REF!</v>
      </c>
    </row>
    <row r="264">
      <c r="Z264" s="38" t="str">
        <f t="shared" si="1"/>
        <v>#REF!</v>
      </c>
    </row>
    <row r="265">
      <c r="Z265" s="38" t="str">
        <f t="shared" si="1"/>
        <v>#REF!</v>
      </c>
    </row>
    <row r="266">
      <c r="Z266" s="38" t="str">
        <f t="shared" si="1"/>
        <v>#REF!</v>
      </c>
    </row>
    <row r="267">
      <c r="Z267" s="38" t="str">
        <f t="shared" si="1"/>
        <v>#REF!</v>
      </c>
    </row>
    <row r="268">
      <c r="Z268" s="38" t="str">
        <f t="shared" si="1"/>
        <v>#REF!</v>
      </c>
    </row>
    <row r="269">
      <c r="Z269" s="38" t="str">
        <f t="shared" si="1"/>
        <v>#REF!</v>
      </c>
    </row>
    <row r="270">
      <c r="Z270" s="38" t="str">
        <f t="shared" si="1"/>
        <v>#REF!</v>
      </c>
    </row>
    <row r="271">
      <c r="Z271" s="38" t="str">
        <f t="shared" si="1"/>
        <v>#REF!</v>
      </c>
    </row>
    <row r="272">
      <c r="Z272" s="38" t="str">
        <f t="shared" si="1"/>
        <v>#REF!</v>
      </c>
    </row>
    <row r="273">
      <c r="Z273" s="38" t="str">
        <f t="shared" si="1"/>
        <v>#REF!</v>
      </c>
    </row>
    <row r="274">
      <c r="Z274" s="38" t="str">
        <f t="shared" si="1"/>
        <v>#REF!</v>
      </c>
    </row>
    <row r="275">
      <c r="Z275" s="38" t="str">
        <f t="shared" si="1"/>
        <v>#REF!</v>
      </c>
    </row>
    <row r="276">
      <c r="Z276" s="38" t="str">
        <f t="shared" si="1"/>
        <v>#REF!</v>
      </c>
    </row>
    <row r="277">
      <c r="Z277" s="38" t="str">
        <f t="shared" si="1"/>
        <v>#REF!</v>
      </c>
    </row>
    <row r="278">
      <c r="Z278" s="38" t="str">
        <f t="shared" si="1"/>
        <v>#REF!</v>
      </c>
    </row>
    <row r="279">
      <c r="Z279" s="38" t="str">
        <f t="shared" si="1"/>
        <v>#REF!</v>
      </c>
    </row>
    <row r="280">
      <c r="Z280" s="38" t="str">
        <f t="shared" si="1"/>
        <v>#REF!</v>
      </c>
    </row>
    <row r="281">
      <c r="Z281" s="38" t="str">
        <f t="shared" si="1"/>
        <v>#REF!</v>
      </c>
    </row>
    <row r="282">
      <c r="Z282" s="38" t="str">
        <f t="shared" si="1"/>
        <v>#REF!</v>
      </c>
    </row>
    <row r="283">
      <c r="Z283" s="38" t="str">
        <f t="shared" si="1"/>
        <v>#REF!</v>
      </c>
    </row>
    <row r="284">
      <c r="Z284" s="38" t="str">
        <f t="shared" si="1"/>
        <v>#REF!</v>
      </c>
    </row>
    <row r="285">
      <c r="Z285" s="38" t="str">
        <f t="shared" si="1"/>
        <v>#REF!</v>
      </c>
    </row>
    <row r="286">
      <c r="Z286" s="38" t="str">
        <f t="shared" si="1"/>
        <v>#REF!</v>
      </c>
    </row>
    <row r="287">
      <c r="Z287" s="38" t="str">
        <f t="shared" si="1"/>
        <v>#REF!</v>
      </c>
    </row>
    <row r="288">
      <c r="Z288" s="38" t="str">
        <f t="shared" si="1"/>
        <v>#REF!</v>
      </c>
    </row>
    <row r="289">
      <c r="Z289" s="38" t="str">
        <f t="shared" si="1"/>
        <v>#REF!</v>
      </c>
    </row>
    <row r="290">
      <c r="Z290" s="38" t="str">
        <f t="shared" si="1"/>
        <v>#REF!</v>
      </c>
    </row>
    <row r="291">
      <c r="Z291" s="38" t="str">
        <f t="shared" si="1"/>
        <v>#REF!</v>
      </c>
    </row>
    <row r="292">
      <c r="Z292" s="38" t="str">
        <f t="shared" si="1"/>
        <v>#REF!</v>
      </c>
    </row>
    <row r="293">
      <c r="Z293" s="38" t="str">
        <f t="shared" si="1"/>
        <v>#REF!</v>
      </c>
    </row>
    <row r="294">
      <c r="Z294" s="38" t="str">
        <f t="shared" si="1"/>
        <v>#REF!</v>
      </c>
    </row>
    <row r="295">
      <c r="Z295" s="38" t="str">
        <f t="shared" si="1"/>
        <v>#REF!</v>
      </c>
    </row>
    <row r="296">
      <c r="Z296" s="38" t="str">
        <f t="shared" si="1"/>
        <v>#REF!</v>
      </c>
    </row>
    <row r="297">
      <c r="Z297" s="38" t="str">
        <f t="shared" si="1"/>
        <v>#REF!</v>
      </c>
    </row>
    <row r="298">
      <c r="Z298" s="38" t="str">
        <f t="shared" si="1"/>
        <v>#REF!</v>
      </c>
    </row>
    <row r="299">
      <c r="Z299" s="38" t="str">
        <f t="shared" si="1"/>
        <v>#REF!</v>
      </c>
    </row>
    <row r="300">
      <c r="Z300" s="38" t="str">
        <f t="shared" si="1"/>
        <v>#REF!</v>
      </c>
    </row>
    <row r="301">
      <c r="Z301" s="38" t="str">
        <f t="shared" si="1"/>
        <v>#REF!</v>
      </c>
    </row>
    <row r="302">
      <c r="Z302" s="38" t="str">
        <f t="shared" si="1"/>
        <v>#REF!</v>
      </c>
    </row>
    <row r="303">
      <c r="Z303" s="38" t="str">
        <f t="shared" si="1"/>
        <v>#REF!</v>
      </c>
    </row>
    <row r="304">
      <c r="Z304" s="38" t="str">
        <f t="shared" si="1"/>
        <v>#REF!</v>
      </c>
    </row>
    <row r="305">
      <c r="Z305" s="38" t="str">
        <f t="shared" si="1"/>
        <v>#REF!</v>
      </c>
    </row>
    <row r="306">
      <c r="Z306" s="38" t="str">
        <f t="shared" si="1"/>
        <v>#REF!</v>
      </c>
    </row>
    <row r="307">
      <c r="Z307" s="38" t="str">
        <f t="shared" si="1"/>
        <v>#REF!</v>
      </c>
    </row>
    <row r="308">
      <c r="Z308" s="38" t="str">
        <f t="shared" si="1"/>
        <v>#REF!</v>
      </c>
    </row>
    <row r="309">
      <c r="Z309" s="38" t="str">
        <f t="shared" si="1"/>
        <v>#REF!</v>
      </c>
    </row>
    <row r="310">
      <c r="Z310" s="38" t="str">
        <f t="shared" si="1"/>
        <v>#REF!</v>
      </c>
    </row>
    <row r="311">
      <c r="Z311" s="38" t="str">
        <f t="shared" si="1"/>
        <v>#REF!</v>
      </c>
    </row>
    <row r="312">
      <c r="Z312" s="38" t="str">
        <f t="shared" si="1"/>
        <v>#REF!</v>
      </c>
    </row>
    <row r="313">
      <c r="Z313" s="38" t="str">
        <f t="shared" si="1"/>
        <v>#REF!</v>
      </c>
    </row>
    <row r="314">
      <c r="Z314" s="38" t="str">
        <f t="shared" si="1"/>
        <v>#REF!</v>
      </c>
    </row>
    <row r="315">
      <c r="Z315" s="38" t="str">
        <f t="shared" si="1"/>
        <v>#REF!</v>
      </c>
    </row>
    <row r="316">
      <c r="Z316" s="38" t="str">
        <f t="shared" si="1"/>
        <v>#REF!</v>
      </c>
    </row>
    <row r="317">
      <c r="Z317" s="38" t="str">
        <f t="shared" si="1"/>
        <v>#REF!</v>
      </c>
    </row>
    <row r="318">
      <c r="Z318" s="38" t="str">
        <f t="shared" si="1"/>
        <v>#REF!</v>
      </c>
    </row>
    <row r="319">
      <c r="Z319" s="38" t="str">
        <f t="shared" si="1"/>
        <v>#REF!</v>
      </c>
    </row>
    <row r="320">
      <c r="Z320" s="38" t="str">
        <f t="shared" si="1"/>
        <v>#REF!</v>
      </c>
    </row>
    <row r="321">
      <c r="Z321" s="38" t="str">
        <f t="shared" si="1"/>
        <v>#REF!</v>
      </c>
    </row>
    <row r="322">
      <c r="Z322" s="38" t="str">
        <f t="shared" si="1"/>
        <v>#REF!</v>
      </c>
    </row>
    <row r="323">
      <c r="Z323" s="38" t="str">
        <f t="shared" si="1"/>
        <v>#REF!</v>
      </c>
    </row>
    <row r="324">
      <c r="Z324" s="38" t="str">
        <f t="shared" si="1"/>
        <v>#REF!</v>
      </c>
    </row>
    <row r="325">
      <c r="Z325" s="38" t="str">
        <f t="shared" si="1"/>
        <v>#REF!</v>
      </c>
    </row>
    <row r="326">
      <c r="Z326" s="38" t="str">
        <f t="shared" si="1"/>
        <v>#REF!</v>
      </c>
    </row>
    <row r="327">
      <c r="Z327" s="38" t="str">
        <f t="shared" si="1"/>
        <v>#REF!</v>
      </c>
    </row>
    <row r="328">
      <c r="Z328" s="38" t="str">
        <f t="shared" si="1"/>
        <v>#REF!</v>
      </c>
    </row>
    <row r="329">
      <c r="Z329" s="38" t="str">
        <f t="shared" si="1"/>
        <v>#REF!</v>
      </c>
    </row>
    <row r="330">
      <c r="Z330" s="38" t="str">
        <f t="shared" si="1"/>
        <v>#REF!</v>
      </c>
    </row>
    <row r="331">
      <c r="Z331" s="38" t="str">
        <f t="shared" si="1"/>
        <v>#REF!</v>
      </c>
    </row>
    <row r="332">
      <c r="Z332" s="38" t="str">
        <f t="shared" si="1"/>
        <v>#REF!</v>
      </c>
    </row>
    <row r="333">
      <c r="Z333" s="38" t="str">
        <f t="shared" si="1"/>
        <v>#REF!</v>
      </c>
    </row>
    <row r="334">
      <c r="Z334" s="38" t="str">
        <f t="shared" si="1"/>
        <v>#REF!</v>
      </c>
    </row>
    <row r="335">
      <c r="Z335" s="38" t="str">
        <f t="shared" si="1"/>
        <v>#REF!</v>
      </c>
    </row>
    <row r="336">
      <c r="Z336" s="38" t="str">
        <f t="shared" si="1"/>
        <v>#REF!</v>
      </c>
    </row>
    <row r="337">
      <c r="Z337" s="38" t="str">
        <f t="shared" si="1"/>
        <v>#REF!</v>
      </c>
    </row>
    <row r="338">
      <c r="Z338" s="38" t="str">
        <f t="shared" si="1"/>
        <v>#REF!</v>
      </c>
    </row>
    <row r="339">
      <c r="Z339" s="38" t="str">
        <f t="shared" si="1"/>
        <v>#REF!</v>
      </c>
    </row>
    <row r="340">
      <c r="Z340" s="38" t="str">
        <f t="shared" si="1"/>
        <v>#REF!</v>
      </c>
    </row>
    <row r="341">
      <c r="Z341" s="38" t="str">
        <f t="shared" si="1"/>
        <v>#REF!</v>
      </c>
    </row>
    <row r="342">
      <c r="Z342" s="38" t="str">
        <f t="shared" si="1"/>
        <v>#REF!</v>
      </c>
    </row>
    <row r="343">
      <c r="Z343" s="38" t="str">
        <f t="shared" si="1"/>
        <v>#REF!</v>
      </c>
    </row>
    <row r="344">
      <c r="Z344" s="38" t="str">
        <f t="shared" si="1"/>
        <v>#REF!</v>
      </c>
    </row>
    <row r="345">
      <c r="Z345" s="38" t="str">
        <f t="shared" si="1"/>
        <v>#REF!</v>
      </c>
    </row>
    <row r="346">
      <c r="Z346" s="38" t="str">
        <f t="shared" si="1"/>
        <v>#REF!</v>
      </c>
    </row>
    <row r="347">
      <c r="Z347" s="38" t="str">
        <f t="shared" si="1"/>
        <v>#REF!</v>
      </c>
    </row>
    <row r="348">
      <c r="Z348" s="38" t="str">
        <f t="shared" si="1"/>
        <v>#REF!</v>
      </c>
    </row>
    <row r="349">
      <c r="Z349" s="38" t="str">
        <f t="shared" si="1"/>
        <v>#REF!</v>
      </c>
    </row>
    <row r="350">
      <c r="Z350" s="38" t="str">
        <f t="shared" si="1"/>
        <v>#REF!</v>
      </c>
    </row>
    <row r="351">
      <c r="Z351" s="38" t="str">
        <f t="shared" si="1"/>
        <v>#REF!</v>
      </c>
    </row>
    <row r="352">
      <c r="Z352" s="38" t="str">
        <f t="shared" si="1"/>
        <v>#REF!</v>
      </c>
    </row>
    <row r="353">
      <c r="Z353" s="38" t="str">
        <f t="shared" si="1"/>
        <v>#REF!</v>
      </c>
    </row>
    <row r="354">
      <c r="Z354" s="38" t="str">
        <f t="shared" si="1"/>
        <v>#REF!</v>
      </c>
    </row>
    <row r="355">
      <c r="Z355" s="38" t="str">
        <f t="shared" si="1"/>
        <v>#REF!</v>
      </c>
    </row>
    <row r="356">
      <c r="Z356" s="38" t="str">
        <f t="shared" si="1"/>
        <v>#REF!</v>
      </c>
    </row>
    <row r="357">
      <c r="Z357" s="38" t="str">
        <f t="shared" si="1"/>
        <v>#REF!</v>
      </c>
    </row>
    <row r="358">
      <c r="Z358" s="38" t="str">
        <f t="shared" si="1"/>
        <v>#REF!</v>
      </c>
    </row>
    <row r="359">
      <c r="Z359" s="38" t="str">
        <f t="shared" si="1"/>
        <v>#REF!</v>
      </c>
    </row>
    <row r="360">
      <c r="Z360" s="38" t="str">
        <f t="shared" si="1"/>
        <v>#REF!</v>
      </c>
    </row>
    <row r="361">
      <c r="Z361" s="38" t="str">
        <f t="shared" si="1"/>
        <v>#REF!</v>
      </c>
    </row>
    <row r="362">
      <c r="Z362" s="38" t="str">
        <f t="shared" si="1"/>
        <v>#REF!</v>
      </c>
    </row>
    <row r="363">
      <c r="Z363" s="38" t="str">
        <f t="shared" si="1"/>
        <v>#REF!</v>
      </c>
    </row>
    <row r="364">
      <c r="Z364" s="38" t="str">
        <f t="shared" si="1"/>
        <v>#REF!</v>
      </c>
    </row>
    <row r="365">
      <c r="Z365" s="38" t="str">
        <f t="shared" si="1"/>
        <v>#REF!</v>
      </c>
    </row>
    <row r="366">
      <c r="Z366" s="38" t="str">
        <f t="shared" si="1"/>
        <v>#REF!</v>
      </c>
    </row>
    <row r="367">
      <c r="Z367" s="38" t="str">
        <f t="shared" si="1"/>
        <v>#REF!</v>
      </c>
    </row>
    <row r="368">
      <c r="Z368" s="38" t="str">
        <f t="shared" si="1"/>
        <v>#REF!</v>
      </c>
    </row>
    <row r="369">
      <c r="Z369" s="38" t="str">
        <f t="shared" si="1"/>
        <v>#REF!</v>
      </c>
    </row>
    <row r="370">
      <c r="Z370" s="38" t="str">
        <f t="shared" si="1"/>
        <v>#REF!</v>
      </c>
    </row>
    <row r="371">
      <c r="Z371" s="38" t="str">
        <f t="shared" si="1"/>
        <v>#REF!</v>
      </c>
    </row>
    <row r="372">
      <c r="Z372" s="38" t="str">
        <f t="shared" si="1"/>
        <v>#REF!</v>
      </c>
    </row>
    <row r="373">
      <c r="Z373" s="38" t="str">
        <f t="shared" si="1"/>
        <v>#REF!</v>
      </c>
    </row>
    <row r="374">
      <c r="Z374" s="38" t="str">
        <f t="shared" si="1"/>
        <v>#REF!</v>
      </c>
    </row>
    <row r="375">
      <c r="Z375" s="38" t="str">
        <f t="shared" si="1"/>
        <v>#REF!</v>
      </c>
    </row>
    <row r="376">
      <c r="Z376" s="38" t="str">
        <f t="shared" si="1"/>
        <v>#REF!</v>
      </c>
    </row>
    <row r="377">
      <c r="Z377" s="38" t="str">
        <f t="shared" si="1"/>
        <v>#REF!</v>
      </c>
    </row>
    <row r="378">
      <c r="Z378" s="38" t="str">
        <f t="shared" si="1"/>
        <v>#REF!</v>
      </c>
    </row>
    <row r="379">
      <c r="Z379" s="38" t="str">
        <f t="shared" si="1"/>
        <v>#REF!</v>
      </c>
    </row>
    <row r="380">
      <c r="Z380" s="38" t="str">
        <f t="shared" si="1"/>
        <v>#REF!</v>
      </c>
    </row>
    <row r="381">
      <c r="Z381" s="38" t="str">
        <f t="shared" si="1"/>
        <v>#REF!</v>
      </c>
    </row>
    <row r="382">
      <c r="Z382" s="38" t="str">
        <f t="shared" si="1"/>
        <v>#REF!</v>
      </c>
    </row>
    <row r="383">
      <c r="Z383" s="38" t="str">
        <f t="shared" si="1"/>
        <v>#REF!</v>
      </c>
    </row>
    <row r="384">
      <c r="Z384" s="38" t="str">
        <f t="shared" si="1"/>
        <v>#REF!</v>
      </c>
    </row>
    <row r="385">
      <c r="Z385" s="38" t="str">
        <f t="shared" si="1"/>
        <v>#REF!</v>
      </c>
    </row>
    <row r="386">
      <c r="Z386" s="38" t="str">
        <f t="shared" si="1"/>
        <v>#REF!</v>
      </c>
    </row>
    <row r="387">
      <c r="Z387" s="38" t="str">
        <f t="shared" si="1"/>
        <v>#REF!</v>
      </c>
    </row>
    <row r="388">
      <c r="Z388" s="38" t="str">
        <f t="shared" si="1"/>
        <v>#REF!</v>
      </c>
    </row>
    <row r="389">
      <c r="Z389" s="38" t="str">
        <f t="shared" si="1"/>
        <v>#REF!</v>
      </c>
    </row>
    <row r="390">
      <c r="Z390" s="38" t="str">
        <f t="shared" si="1"/>
        <v>#REF!</v>
      </c>
    </row>
    <row r="391">
      <c r="Z391" s="38" t="str">
        <f t="shared" si="1"/>
        <v>#REF!</v>
      </c>
    </row>
    <row r="392">
      <c r="Z392" s="38" t="str">
        <f t="shared" si="1"/>
        <v>#REF!</v>
      </c>
    </row>
    <row r="393">
      <c r="Z393" s="38" t="str">
        <f t="shared" si="1"/>
        <v>#REF!</v>
      </c>
    </row>
    <row r="394">
      <c r="Z394" s="38" t="str">
        <f t="shared" si="1"/>
        <v>#REF!</v>
      </c>
    </row>
    <row r="395">
      <c r="Z395" s="38" t="str">
        <f t="shared" si="1"/>
        <v>#REF!</v>
      </c>
    </row>
    <row r="396">
      <c r="Z396" s="38" t="str">
        <f t="shared" si="1"/>
        <v>#REF!</v>
      </c>
    </row>
    <row r="397">
      <c r="Z397" s="38" t="str">
        <f t="shared" si="1"/>
        <v>#REF!</v>
      </c>
    </row>
    <row r="398">
      <c r="Z398" s="38" t="str">
        <f t="shared" si="1"/>
        <v>#REF!</v>
      </c>
    </row>
    <row r="399">
      <c r="Z399" s="38" t="str">
        <f t="shared" si="1"/>
        <v>#REF!</v>
      </c>
    </row>
    <row r="400">
      <c r="Z400" s="38" t="str">
        <f t="shared" si="1"/>
        <v>#REF!</v>
      </c>
    </row>
    <row r="401">
      <c r="Z401" s="38" t="str">
        <f t="shared" si="1"/>
        <v>#REF!</v>
      </c>
    </row>
    <row r="402">
      <c r="Z402" s="38" t="str">
        <f t="shared" si="1"/>
        <v>#REF!</v>
      </c>
    </row>
    <row r="403">
      <c r="Z403" s="38" t="str">
        <f t="shared" si="1"/>
        <v>#REF!</v>
      </c>
    </row>
    <row r="404">
      <c r="Z404" s="38" t="str">
        <f t="shared" si="1"/>
        <v>#REF!</v>
      </c>
    </row>
    <row r="405">
      <c r="Z405" s="38" t="str">
        <f t="shared" si="1"/>
        <v>#REF!</v>
      </c>
    </row>
    <row r="406">
      <c r="Z406" s="38" t="str">
        <f t="shared" si="1"/>
        <v>#REF!</v>
      </c>
    </row>
    <row r="407">
      <c r="Z407" s="38" t="str">
        <f t="shared" si="1"/>
        <v>#REF!</v>
      </c>
    </row>
    <row r="408">
      <c r="Z408" s="38" t="str">
        <f t="shared" si="1"/>
        <v>#REF!</v>
      </c>
    </row>
    <row r="409">
      <c r="Z409" s="38" t="str">
        <f t="shared" si="1"/>
        <v>#REF!</v>
      </c>
    </row>
    <row r="410">
      <c r="Z410" s="38" t="str">
        <f t="shared" si="1"/>
        <v>#REF!</v>
      </c>
    </row>
    <row r="411">
      <c r="Z411" s="38" t="str">
        <f t="shared" si="1"/>
        <v>#REF!</v>
      </c>
    </row>
    <row r="412">
      <c r="Z412" s="38" t="str">
        <f t="shared" si="1"/>
        <v>#REF!</v>
      </c>
    </row>
    <row r="413">
      <c r="Z413" s="38" t="str">
        <f t="shared" si="1"/>
        <v>#REF!</v>
      </c>
    </row>
    <row r="414">
      <c r="Z414" s="38" t="str">
        <f t="shared" si="1"/>
        <v>#REF!</v>
      </c>
    </row>
    <row r="415">
      <c r="Z415" s="38" t="str">
        <f t="shared" si="1"/>
        <v>#REF!</v>
      </c>
    </row>
    <row r="416">
      <c r="Z416" s="38" t="str">
        <f t="shared" si="1"/>
        <v>#REF!</v>
      </c>
    </row>
    <row r="417">
      <c r="Z417" s="38" t="str">
        <f t="shared" si="1"/>
        <v>#REF!</v>
      </c>
    </row>
    <row r="418">
      <c r="Z418" s="38" t="str">
        <f t="shared" si="1"/>
        <v>#REF!</v>
      </c>
    </row>
    <row r="419">
      <c r="Z419" s="38" t="str">
        <f t="shared" si="1"/>
        <v>#REF!</v>
      </c>
    </row>
    <row r="420">
      <c r="Z420" s="38" t="str">
        <f t="shared" si="1"/>
        <v>#REF!</v>
      </c>
    </row>
    <row r="421">
      <c r="Z421" s="38" t="str">
        <f t="shared" si="1"/>
        <v>#REF!</v>
      </c>
    </row>
    <row r="422">
      <c r="Z422" s="38" t="str">
        <f t="shared" si="1"/>
        <v>#REF!</v>
      </c>
    </row>
    <row r="423">
      <c r="Z423" s="38" t="str">
        <f t="shared" si="1"/>
        <v>#REF!</v>
      </c>
    </row>
    <row r="424">
      <c r="Z424" s="38" t="str">
        <f t="shared" si="1"/>
        <v>#REF!</v>
      </c>
    </row>
    <row r="425">
      <c r="Z425" s="38" t="str">
        <f t="shared" si="1"/>
        <v>#REF!</v>
      </c>
    </row>
    <row r="426">
      <c r="Z426" s="38" t="str">
        <f t="shared" si="1"/>
        <v>#REF!</v>
      </c>
    </row>
    <row r="427">
      <c r="Z427" s="38" t="str">
        <f t="shared" si="1"/>
        <v>#REF!</v>
      </c>
    </row>
    <row r="428">
      <c r="Z428" s="38" t="str">
        <f t="shared" si="1"/>
        <v>#REF!</v>
      </c>
    </row>
    <row r="429">
      <c r="Z429" s="38" t="str">
        <f t="shared" si="1"/>
        <v>#REF!</v>
      </c>
    </row>
    <row r="430">
      <c r="Z430" s="38" t="str">
        <f t="shared" si="1"/>
        <v>#REF!</v>
      </c>
    </row>
    <row r="431">
      <c r="Z431" s="38" t="str">
        <f t="shared" si="1"/>
        <v>#REF!</v>
      </c>
    </row>
    <row r="432">
      <c r="Z432" s="38" t="str">
        <f t="shared" si="1"/>
        <v>#REF!</v>
      </c>
    </row>
    <row r="433">
      <c r="Z433" s="38" t="str">
        <f t="shared" si="1"/>
        <v>#REF!</v>
      </c>
    </row>
    <row r="434">
      <c r="Z434" s="38" t="str">
        <f t="shared" si="1"/>
        <v>#REF!</v>
      </c>
    </row>
    <row r="435">
      <c r="Z435" s="38" t="str">
        <f t="shared" si="1"/>
        <v>#REF!</v>
      </c>
    </row>
    <row r="436">
      <c r="Z436" s="38" t="str">
        <f t="shared" si="1"/>
        <v>#REF!</v>
      </c>
    </row>
    <row r="437">
      <c r="Z437" s="38" t="str">
        <f t="shared" si="1"/>
        <v>#REF!</v>
      </c>
    </row>
    <row r="438">
      <c r="Z438" s="38" t="str">
        <f t="shared" si="1"/>
        <v>#REF!</v>
      </c>
    </row>
    <row r="439">
      <c r="Z439" s="38" t="str">
        <f t="shared" si="1"/>
        <v>#REF!</v>
      </c>
    </row>
    <row r="440">
      <c r="Z440" s="38" t="str">
        <f t="shared" si="1"/>
        <v>#REF!</v>
      </c>
    </row>
    <row r="441">
      <c r="Z441" s="38" t="str">
        <f t="shared" si="1"/>
        <v>#REF!</v>
      </c>
    </row>
    <row r="442">
      <c r="Z442" s="38" t="str">
        <f t="shared" si="1"/>
        <v>#REF!</v>
      </c>
    </row>
    <row r="443">
      <c r="Z443" s="38" t="str">
        <f t="shared" si="1"/>
        <v>#REF!</v>
      </c>
    </row>
    <row r="444">
      <c r="Z444" s="38" t="str">
        <f t="shared" si="1"/>
        <v>#REF!</v>
      </c>
    </row>
    <row r="445">
      <c r="Z445" s="38" t="str">
        <f t="shared" si="1"/>
        <v>#REF!</v>
      </c>
    </row>
    <row r="446">
      <c r="Z446" s="38" t="str">
        <f t="shared" si="1"/>
        <v>#REF!</v>
      </c>
    </row>
    <row r="447">
      <c r="Z447" s="38" t="str">
        <f t="shared" si="1"/>
        <v>#REF!</v>
      </c>
    </row>
    <row r="448">
      <c r="Z448" s="38" t="str">
        <f t="shared" si="1"/>
        <v>#REF!</v>
      </c>
    </row>
    <row r="449">
      <c r="Z449" s="38" t="str">
        <f t="shared" si="1"/>
        <v>#REF!</v>
      </c>
    </row>
    <row r="450">
      <c r="Z450" s="38" t="str">
        <f t="shared" si="1"/>
        <v>#REF!</v>
      </c>
    </row>
    <row r="451">
      <c r="Z451" s="38" t="str">
        <f t="shared" si="1"/>
        <v>#REF!</v>
      </c>
    </row>
    <row r="452">
      <c r="Z452" s="38" t="str">
        <f t="shared" si="1"/>
        <v>#REF!</v>
      </c>
    </row>
    <row r="453">
      <c r="Z453" s="38" t="str">
        <f t="shared" si="1"/>
        <v>#REF!</v>
      </c>
    </row>
    <row r="454">
      <c r="Z454" s="38" t="str">
        <f t="shared" si="1"/>
        <v>#REF!</v>
      </c>
    </row>
    <row r="455">
      <c r="Z455" s="38" t="str">
        <f t="shared" si="1"/>
        <v>#REF!</v>
      </c>
    </row>
    <row r="456">
      <c r="Z456" s="38" t="str">
        <f t="shared" si="1"/>
        <v>#REF!</v>
      </c>
    </row>
    <row r="457">
      <c r="Z457" s="38" t="str">
        <f t="shared" si="1"/>
        <v>#REF!</v>
      </c>
    </row>
    <row r="458">
      <c r="Z458" s="38" t="str">
        <f t="shared" si="1"/>
        <v>#REF!</v>
      </c>
    </row>
    <row r="459">
      <c r="Z459" s="38" t="str">
        <f t="shared" si="1"/>
        <v>#REF!</v>
      </c>
    </row>
    <row r="460">
      <c r="Z460" s="38" t="str">
        <f t="shared" si="1"/>
        <v>#REF!</v>
      </c>
    </row>
    <row r="461">
      <c r="Z461" s="38" t="str">
        <f t="shared" si="1"/>
        <v>#REF!</v>
      </c>
    </row>
    <row r="462">
      <c r="Z462" s="38" t="str">
        <f t="shared" si="1"/>
        <v>#REF!</v>
      </c>
    </row>
    <row r="463">
      <c r="Z463" s="38" t="str">
        <f t="shared" si="1"/>
        <v>#REF!</v>
      </c>
    </row>
    <row r="464">
      <c r="Z464" s="38" t="str">
        <f t="shared" si="1"/>
        <v>#REF!</v>
      </c>
    </row>
    <row r="465">
      <c r="Z465" s="38" t="str">
        <f t="shared" si="1"/>
        <v>#REF!</v>
      </c>
    </row>
    <row r="466">
      <c r="Z466" s="38" t="str">
        <f t="shared" si="1"/>
        <v>#REF!</v>
      </c>
    </row>
    <row r="467">
      <c r="Z467" s="38" t="str">
        <f t="shared" si="1"/>
        <v>#REF!</v>
      </c>
    </row>
    <row r="468">
      <c r="Z468" s="38" t="str">
        <f t="shared" si="1"/>
        <v>#REF!</v>
      </c>
    </row>
    <row r="469">
      <c r="Z469" s="38" t="str">
        <f t="shared" si="1"/>
        <v>#REF!</v>
      </c>
    </row>
    <row r="470">
      <c r="Z470" s="38" t="str">
        <f t="shared" si="1"/>
        <v>#REF!</v>
      </c>
    </row>
    <row r="471">
      <c r="Z471" s="38" t="str">
        <f t="shared" si="1"/>
        <v>#REF!</v>
      </c>
    </row>
    <row r="472">
      <c r="Z472" s="38" t="str">
        <f t="shared" si="1"/>
        <v>#REF!</v>
      </c>
    </row>
    <row r="473">
      <c r="Z473" s="38" t="str">
        <f t="shared" si="1"/>
        <v>#REF!</v>
      </c>
    </row>
    <row r="474">
      <c r="Z474" s="38" t="str">
        <f t="shared" si="1"/>
        <v>#REF!</v>
      </c>
    </row>
    <row r="475">
      <c r="Z475" s="38" t="str">
        <f t="shared" si="1"/>
        <v>#REF!</v>
      </c>
    </row>
    <row r="476">
      <c r="Z476" s="38" t="str">
        <f t="shared" si="1"/>
        <v>#REF!</v>
      </c>
    </row>
    <row r="477">
      <c r="Z477" s="38" t="str">
        <f t="shared" si="1"/>
        <v>#REF!</v>
      </c>
    </row>
    <row r="478">
      <c r="Z478" s="38" t="str">
        <f t="shared" si="1"/>
        <v>#REF!</v>
      </c>
    </row>
    <row r="479">
      <c r="Z479" s="38" t="str">
        <f t="shared" si="1"/>
        <v>#REF!</v>
      </c>
    </row>
    <row r="480">
      <c r="Z480" s="38" t="str">
        <f t="shared" si="1"/>
        <v>#REF!</v>
      </c>
    </row>
    <row r="481">
      <c r="Z481" s="38" t="str">
        <f t="shared" si="1"/>
        <v>#REF!</v>
      </c>
    </row>
    <row r="482">
      <c r="Z482" s="38" t="str">
        <f t="shared" si="1"/>
        <v>#REF!</v>
      </c>
    </row>
    <row r="483">
      <c r="Z483" s="38" t="str">
        <f t="shared" si="1"/>
        <v>#REF!</v>
      </c>
    </row>
    <row r="484">
      <c r="Z484" s="38" t="str">
        <f t="shared" si="1"/>
        <v>#REF!</v>
      </c>
    </row>
    <row r="485">
      <c r="Z485" s="38" t="str">
        <f t="shared" si="1"/>
        <v>#REF!</v>
      </c>
    </row>
    <row r="486">
      <c r="Z486" s="38" t="str">
        <f t="shared" si="1"/>
        <v>#REF!</v>
      </c>
    </row>
    <row r="487">
      <c r="Z487" s="38" t="str">
        <f t="shared" si="1"/>
        <v>#REF!</v>
      </c>
    </row>
    <row r="488">
      <c r="Z488" s="38" t="str">
        <f t="shared" si="1"/>
        <v>#REF!</v>
      </c>
    </row>
    <row r="489">
      <c r="Z489" s="38" t="str">
        <f t="shared" si="1"/>
        <v>#REF!</v>
      </c>
    </row>
    <row r="490">
      <c r="Z490" s="38" t="str">
        <f t="shared" si="1"/>
        <v>#REF!</v>
      </c>
    </row>
    <row r="491">
      <c r="Z491" s="38" t="str">
        <f t="shared" si="1"/>
        <v>#REF!</v>
      </c>
    </row>
    <row r="492">
      <c r="Z492" s="38" t="str">
        <f t="shared" si="1"/>
        <v>#REF!</v>
      </c>
    </row>
    <row r="493">
      <c r="Z493" s="38" t="str">
        <f t="shared" si="1"/>
        <v>#REF!</v>
      </c>
    </row>
    <row r="494">
      <c r="Z494" s="38" t="str">
        <f t="shared" si="1"/>
        <v>#REF!</v>
      </c>
    </row>
    <row r="495">
      <c r="Z495" s="38" t="str">
        <f t="shared" si="1"/>
        <v>#REF!</v>
      </c>
    </row>
    <row r="496">
      <c r="Z496" s="38" t="str">
        <f t="shared" si="1"/>
        <v>#REF!</v>
      </c>
    </row>
    <row r="497">
      <c r="Z497" s="38" t="str">
        <f t="shared" si="1"/>
        <v>#REF!</v>
      </c>
    </row>
    <row r="498">
      <c r="Z498" s="38" t="str">
        <f t="shared" si="1"/>
        <v>#REF!</v>
      </c>
    </row>
    <row r="499">
      <c r="Z499" s="38" t="str">
        <f t="shared" si="1"/>
        <v>#REF!</v>
      </c>
    </row>
    <row r="500">
      <c r="Z500" s="38" t="str">
        <f t="shared" si="1"/>
        <v>#REF!</v>
      </c>
    </row>
    <row r="501">
      <c r="Z501" s="38" t="str">
        <f t="shared" si="1"/>
        <v>#REF!</v>
      </c>
    </row>
    <row r="502">
      <c r="Z502" s="38" t="str">
        <f t="shared" si="1"/>
        <v>#REF!</v>
      </c>
    </row>
    <row r="503">
      <c r="Z503" s="38" t="str">
        <f t="shared" si="1"/>
        <v>#REF!</v>
      </c>
    </row>
    <row r="504">
      <c r="Z504" s="38" t="str">
        <f t="shared" si="1"/>
        <v>#REF!</v>
      </c>
    </row>
    <row r="505">
      <c r="Z505" s="38" t="str">
        <f t="shared" si="1"/>
        <v>#REF!</v>
      </c>
    </row>
    <row r="506">
      <c r="Z506" s="38" t="str">
        <f t="shared" si="1"/>
        <v>#REF!</v>
      </c>
    </row>
    <row r="507">
      <c r="Z507" s="38" t="str">
        <f t="shared" si="1"/>
        <v>#REF!</v>
      </c>
    </row>
    <row r="508">
      <c r="Z508" s="38" t="str">
        <f t="shared" si="1"/>
        <v>#REF!</v>
      </c>
    </row>
    <row r="509">
      <c r="Z509" s="38" t="str">
        <f t="shared" si="1"/>
        <v>#REF!</v>
      </c>
    </row>
  </sheetData>
  <mergeCells count="2">
    <mergeCell ref="A1:B1"/>
    <mergeCell ref="A3:C3"/>
  </mergeCells>
  <conditionalFormatting sqref="B1:B1005">
    <cfRule type="expression" dxfId="4" priority="1">
      <formula>ISBETWEEN($B1,1,10,TRUE,FALSE)</formula>
    </cfRule>
  </conditionalFormatting>
  <conditionalFormatting sqref="B1:B1005">
    <cfRule type="cellIs" dxfId="5" priority="2" operator="between">
      <formula>0.1</formula>
      <formula>1</formula>
    </cfRule>
  </conditionalFormatting>
  <conditionalFormatting sqref="B1:B1005">
    <cfRule type="cellIs" dxfId="6" priority="3" operator="lessThan">
      <formula>0.1</formula>
    </cfRule>
  </conditionalFormatting>
  <conditionalFormatting sqref="B1:B1005">
    <cfRule type="cellIs" dxfId="7" priority="4" operator="greaterThanOrEqual">
      <formula>10</formula>
    </cfRule>
  </conditionalFormatting>
  <conditionalFormatting sqref="E1:G1005">
    <cfRule type="cellIs" dxfId="5" priority="5" operator="between">
      <formula>0.1</formula>
      <formula>1</formula>
    </cfRule>
  </conditionalFormatting>
  <conditionalFormatting sqref="E1:G1005">
    <cfRule type="cellIs" dxfId="6" priority="6" operator="lessThan">
      <formula>0.1</formula>
    </cfRule>
  </conditionalFormatting>
  <conditionalFormatting sqref="E1:G1005">
    <cfRule type="cellIs" dxfId="7" priority="7" operator="greaterThanOrEqual">
      <formula>10</formula>
    </cfRule>
  </conditionalFormatting>
  <conditionalFormatting sqref="E1:E1005">
    <cfRule type="expression" dxfId="4" priority="8">
      <formula>ISBETWEEN($E1,1,10,TRUE,FALSE)</formula>
    </cfRule>
  </conditionalFormatting>
  <conditionalFormatting sqref="F1:F1005">
    <cfRule type="expression" dxfId="4" priority="9">
      <formula>ISBETWEEN($F1,1,10,TRUE,FALSE)</formula>
    </cfRule>
  </conditionalFormatting>
  <conditionalFormatting sqref="G1:G1005">
    <cfRule type="expression" dxfId="4" priority="10">
      <formula>ISBETWEEN($G1,1,10,TRUE,FALSE)</formula>
    </cfRule>
  </conditionalFormatting>
  <dataValidations>
    <dataValidation type="list" allowBlank="1" sqref="A4">
      <formula1>ReferenceTables!$AR$1:$BE$1</formula1>
    </dataValidation>
    <dataValidation type="list" allowBlank="1" sqref="A2">
      <formula1>ReferenceTables!$A$2:$A$50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29.38"/>
    <col customWidth="1" min="2" max="2" width="21.0"/>
    <col customWidth="1" min="3" max="3" width="27.88"/>
    <col customWidth="1" min="5" max="5" width="15.25"/>
    <col customWidth="1" min="6" max="6" width="14.75"/>
    <col customWidth="1" min="7" max="7" width="15.0"/>
    <col customWidth="1" min="8" max="8" width="130.75"/>
  </cols>
  <sheetData>
    <row r="1">
      <c r="A1" s="2" t="str">
        <f>IF(ShopGenerator!A4="None","No Active World Event","Currently Active World Event: '"&amp;ShopGenerator!A4&amp;"'")</f>
        <v>Currently Active World Event: 'Crop Failure'</v>
      </c>
    </row>
    <row r="2">
      <c r="A2" s="36" t="str">
        <f>"Full "  &amp;ShopGenerator!A2&amp; " Inventory Item Pool:"</f>
        <v>Full Smithy Inventory Item Pool:</v>
      </c>
    </row>
    <row r="3">
      <c r="A3" s="2" t="str">
        <f>"This tab shows all items potentially available for purchase from a "  &amp;ShopGenerator!A2&amp; "."</f>
        <v>This tab shows all items potentially available for purchase from a Smithy.</v>
      </c>
    </row>
    <row r="4">
      <c r="A4" s="2"/>
    </row>
    <row r="5">
      <c r="A5" s="39" t="str">
        <f>Pricebook!A1</f>
        <v>Good</v>
      </c>
      <c r="B5" s="40" t="str">
        <f>Pricebook!B1</f>
        <v>Base Buy Price</v>
      </c>
      <c r="C5" s="39" t="str">
        <f>Pricebook!C1</f>
        <v>Quantity / Weight</v>
      </c>
      <c r="D5" s="39" t="str">
        <f>Pricebook!D1</f>
        <v>Category</v>
      </c>
      <c r="E5" s="40" t="str">
        <f>Pricebook!E1</f>
        <v>Min. Buy Price</v>
      </c>
      <c r="F5" s="40" t="str">
        <f>Pricebook!F1</f>
        <v>Low Sell Price</v>
      </c>
      <c r="G5" s="40" t="str">
        <f>Pricebook!G1</f>
        <v>Max. Sell Price</v>
      </c>
      <c r="H5" s="39" t="str">
        <f>Pricebook!H1</f>
        <v>Notes</v>
      </c>
    </row>
    <row r="6">
      <c r="A6" s="38" t="str">
        <f>IFERROR(__xludf.DUMMYFUNCTION("FILTER(Pricebook!A2:L254,INDIRECT(ReferenceTables!B2))"),"Ringmail Warhorse Barding")</f>
        <v>Ringmail Warhorse Barding</v>
      </c>
      <c r="B6" s="41">
        <f>IFERROR(__xludf.DUMMYFUNCTION("""COMPUTED_VALUE"""),120.0)</f>
        <v>120</v>
      </c>
      <c r="C6" s="38" t="str">
        <f>IFERROR(__xludf.DUMMYFUNCTION("""COMPUTED_VALUE"""),"1 armour set, 80lbs.")</f>
        <v>1 armour set, 80lbs.</v>
      </c>
      <c r="D6" s="38" t="str">
        <f>IFERROR(__xludf.DUMMYFUNCTION("""COMPUTED_VALUE"""),"Armour")</f>
        <v>Armour</v>
      </c>
      <c r="E6" s="41">
        <f>IFERROR(__xludf.DUMMYFUNCTION("""COMPUTED_VALUE"""),98.39999999999999)</f>
        <v>98.4</v>
      </c>
      <c r="F6" s="41">
        <f>IFERROR(__xludf.DUMMYFUNCTION("""COMPUTED_VALUE"""),60.0)</f>
        <v>60</v>
      </c>
      <c r="G6" s="41">
        <f>IFERROR(__xludf.DUMMYFUNCTION("""COMPUTED_VALUE"""),109.19999999999999)</f>
        <v>109.2</v>
      </c>
      <c r="H6" s="38" t="str">
        <f>IFERROR(__xludf.DUMMYFUNCTION("""COMPUTED_VALUE"""),"A set of heavy ringmail armour, designed to fit a warhorse. 15AC.")</f>
        <v>A set of heavy ringmail armour, designed to fit a warhorse. 15AC.</v>
      </c>
      <c r="I6" s="41" t="b">
        <f>IFERROR(__xludf.DUMMYFUNCTION("""COMPUTED_VALUE"""),FALSE)</f>
        <v>0</v>
      </c>
      <c r="J6" s="41" t="b">
        <f>IFERROR(__xludf.DUMMYFUNCTION("""COMPUTED_VALUE"""),TRUE)</f>
        <v>1</v>
      </c>
      <c r="K6" s="38" t="b">
        <f>IFERROR(__xludf.DUMMYFUNCTION("""COMPUTED_VALUE"""),FALSE)</f>
        <v>0</v>
      </c>
      <c r="L6" s="38" t="b">
        <f>IFERROR(__xludf.DUMMYFUNCTION("""COMPUTED_VALUE"""),FALSE)</f>
        <v>0</v>
      </c>
      <c r="Z6" s="38" t="str">
        <f t="shared" ref="Z6:Z506" si="1">((RAND())/StockRandomiser!$F$2)*RAND()</f>
        <v>#REF!</v>
      </c>
    </row>
    <row r="7">
      <c r="A7" s="38" t="str">
        <f>IFERROR(__xludf.DUMMYFUNCTION("""COMPUTED_VALUE"""),"Flask")</f>
        <v>Flask</v>
      </c>
      <c r="B7" s="41">
        <f>IFERROR(__xludf.DUMMYFUNCTION("""COMPUTED_VALUE"""),0.02)</f>
        <v>0.02</v>
      </c>
      <c r="C7" s="38" t="str">
        <f>IFERROR(__xludf.DUMMYFUNCTION("""COMPUTED_VALUE"""),"1 lb.")</f>
        <v>1 lb.</v>
      </c>
      <c r="D7" s="38" t="str">
        <f>IFERROR(__xludf.DUMMYFUNCTION("""COMPUTED_VALUE"""),"Container")</f>
        <v>Container</v>
      </c>
      <c r="E7" s="41">
        <f>IFERROR(__xludf.DUMMYFUNCTION("""COMPUTED_VALUE"""),0.0124)</f>
        <v>0.0124</v>
      </c>
      <c r="F7" s="41">
        <f>IFERROR(__xludf.DUMMYFUNCTION("""COMPUTED_VALUE"""),0.01)</f>
        <v>0.01</v>
      </c>
      <c r="G7" s="41">
        <f>IFERROR(__xludf.DUMMYFUNCTION("""COMPUTED_VALUE"""),0.0162)</f>
        <v>0.0162</v>
      </c>
      <c r="H7" s="38"/>
      <c r="I7" s="41" t="b">
        <f>IFERROR(__xludf.DUMMYFUNCTION("""COMPUTED_VALUE"""),FALSE)</f>
        <v>0</v>
      </c>
      <c r="J7" s="41" t="b">
        <f>IFERROR(__xludf.DUMMYFUNCTION("""COMPUTED_VALUE"""),TRUE)</f>
        <v>1</v>
      </c>
      <c r="K7" s="38" t="b">
        <f>IFERROR(__xludf.DUMMYFUNCTION("""COMPUTED_VALUE"""),TRUE)</f>
        <v>1</v>
      </c>
      <c r="L7" s="38" t="b">
        <f>IFERROR(__xludf.DUMMYFUNCTION("""COMPUTED_VALUE"""),FALSE)</f>
        <v>0</v>
      </c>
      <c r="Z7" s="38" t="str">
        <f t="shared" si="1"/>
        <v>#REF!</v>
      </c>
    </row>
    <row r="8">
      <c r="A8" s="38" t="str">
        <f>IFERROR(__xludf.DUMMYFUNCTION("""COMPUTED_VALUE"""),"Iron Pot")</f>
        <v>Iron Pot</v>
      </c>
      <c r="B8" s="41">
        <f>IFERROR(__xludf.DUMMYFUNCTION("""COMPUTED_VALUE"""),2.0)</f>
        <v>2</v>
      </c>
      <c r="C8" s="38" t="str">
        <f>IFERROR(__xludf.DUMMYFUNCTION("""COMPUTED_VALUE"""),"10 lb.")</f>
        <v>10 lb.</v>
      </c>
      <c r="D8" s="38" t="str">
        <f>IFERROR(__xludf.DUMMYFUNCTION("""COMPUTED_VALUE"""),"Container")</f>
        <v>Container</v>
      </c>
      <c r="E8" s="41">
        <f>IFERROR(__xludf.DUMMYFUNCTION("""COMPUTED_VALUE"""),1.24)</f>
        <v>1.24</v>
      </c>
      <c r="F8" s="41">
        <f>IFERROR(__xludf.DUMMYFUNCTION("""COMPUTED_VALUE"""),1.0)</f>
        <v>1</v>
      </c>
      <c r="G8" s="41">
        <f>IFERROR(__xludf.DUMMYFUNCTION("""COMPUTED_VALUE"""),1.62)</f>
        <v>1.62</v>
      </c>
      <c r="H8" s="38"/>
      <c r="I8" s="41" t="b">
        <f>IFERROR(__xludf.DUMMYFUNCTION("""COMPUTED_VALUE"""),FALSE)</f>
        <v>0</v>
      </c>
      <c r="J8" s="41" t="b">
        <f>IFERROR(__xludf.DUMMYFUNCTION("""COMPUTED_VALUE"""),TRUE)</f>
        <v>1</v>
      </c>
      <c r="K8" s="38" t="b">
        <f>IFERROR(__xludf.DUMMYFUNCTION("""COMPUTED_VALUE"""),TRUE)</f>
        <v>1</v>
      </c>
      <c r="L8" s="38" t="b">
        <f>IFERROR(__xludf.DUMMYFUNCTION("""COMPUTED_VALUE"""),FALSE)</f>
        <v>0</v>
      </c>
      <c r="Z8" s="38" t="str">
        <f t="shared" si="1"/>
        <v>#REF!</v>
      </c>
    </row>
    <row r="9">
      <c r="A9" s="38" t="str">
        <f>IFERROR(__xludf.DUMMYFUNCTION("""COMPUTED_VALUE"""),"Tankard")</f>
        <v>Tankard</v>
      </c>
      <c r="B9" s="41">
        <f>IFERROR(__xludf.DUMMYFUNCTION("""COMPUTED_VALUE"""),0.02)</f>
        <v>0.02</v>
      </c>
      <c r="C9" s="38" t="str">
        <f>IFERROR(__xludf.DUMMYFUNCTION("""COMPUTED_VALUE"""),"1 lb.")</f>
        <v>1 lb.</v>
      </c>
      <c r="D9" s="38" t="str">
        <f>IFERROR(__xludf.DUMMYFUNCTION("""COMPUTED_VALUE"""),"Container")</f>
        <v>Container</v>
      </c>
      <c r="E9" s="41">
        <f>IFERROR(__xludf.DUMMYFUNCTION("""COMPUTED_VALUE"""),0.0124)</f>
        <v>0.0124</v>
      </c>
      <c r="F9" s="41">
        <f>IFERROR(__xludf.DUMMYFUNCTION("""COMPUTED_VALUE"""),0.01)</f>
        <v>0.01</v>
      </c>
      <c r="G9" s="41">
        <f>IFERROR(__xludf.DUMMYFUNCTION("""COMPUTED_VALUE"""),0.0162)</f>
        <v>0.0162</v>
      </c>
      <c r="H9" s="38"/>
      <c r="I9" s="41" t="b">
        <f>IFERROR(__xludf.DUMMYFUNCTION("""COMPUTED_VALUE"""),FALSE)</f>
        <v>0</v>
      </c>
      <c r="J9" s="41" t="b">
        <f>IFERROR(__xludf.DUMMYFUNCTION("""COMPUTED_VALUE"""),TRUE)</f>
        <v>1</v>
      </c>
      <c r="K9" s="38" t="b">
        <f>IFERROR(__xludf.DUMMYFUNCTION("""COMPUTED_VALUE"""),TRUE)</f>
        <v>1</v>
      </c>
      <c r="L9" s="38" t="b">
        <f>IFERROR(__xludf.DUMMYFUNCTION("""COMPUTED_VALUE"""),FALSE)</f>
        <v>0</v>
      </c>
      <c r="Z9" s="38" t="str">
        <f t="shared" si="1"/>
        <v>#REF!</v>
      </c>
    </row>
    <row r="10">
      <c r="A10" s="38" t="str">
        <f>IFERROR(__xludf.DUMMYFUNCTION("""COMPUTED_VALUE"""),"Chain (10 feet)")</f>
        <v>Chain (10 feet)</v>
      </c>
      <c r="B10" s="41">
        <f>IFERROR(__xludf.DUMMYFUNCTION("""COMPUTED_VALUE"""),5.0)</f>
        <v>5</v>
      </c>
      <c r="C10" s="38" t="str">
        <f>IFERROR(__xludf.DUMMYFUNCTION("""COMPUTED_VALUE"""),"10 lb.")</f>
        <v>10 lb.</v>
      </c>
      <c r="D10" s="38" t="str">
        <f>IFERROR(__xludf.DUMMYFUNCTION("""COMPUTED_VALUE"""),"Equipment")</f>
        <v>Equipment</v>
      </c>
      <c r="E10" s="41">
        <f>IFERROR(__xludf.DUMMYFUNCTION("""COMPUTED_VALUE"""),3.1)</f>
        <v>3.1</v>
      </c>
      <c r="F10" s="41">
        <f>IFERROR(__xludf.DUMMYFUNCTION("""COMPUTED_VALUE"""),2.5)</f>
        <v>2.5</v>
      </c>
      <c r="G10" s="41">
        <f>IFERROR(__xludf.DUMMYFUNCTION("""COMPUTED_VALUE"""),4.05)</f>
        <v>4.05</v>
      </c>
      <c r="H10" s="38"/>
      <c r="I10" s="41" t="b">
        <f>IFERROR(__xludf.DUMMYFUNCTION("""COMPUTED_VALUE"""),FALSE)</f>
        <v>0</v>
      </c>
      <c r="J10" s="41" t="b">
        <f>IFERROR(__xludf.DUMMYFUNCTION("""COMPUTED_VALUE"""),TRUE)</f>
        <v>1</v>
      </c>
      <c r="K10" s="38" t="b">
        <f>IFERROR(__xludf.DUMMYFUNCTION("""COMPUTED_VALUE"""),FALSE)</f>
        <v>0</v>
      </c>
      <c r="L10" s="38" t="b">
        <f>IFERROR(__xludf.DUMMYFUNCTION("""COMPUTED_VALUE"""),FALSE)</f>
        <v>0</v>
      </c>
      <c r="Z10" s="38" t="str">
        <f t="shared" si="1"/>
        <v>#REF!</v>
      </c>
    </row>
    <row r="11">
      <c r="A11" s="38" t="str">
        <f>IFERROR(__xludf.DUMMYFUNCTION("""COMPUTED_VALUE"""),"Grappling Hook")</f>
        <v>Grappling Hook</v>
      </c>
      <c r="B11" s="41">
        <f>IFERROR(__xludf.DUMMYFUNCTION("""COMPUTED_VALUE"""),2.0)</f>
        <v>2</v>
      </c>
      <c r="C11" s="38" t="str">
        <f>IFERROR(__xludf.DUMMYFUNCTION("""COMPUTED_VALUE"""),"4 lb.")</f>
        <v>4 lb.</v>
      </c>
      <c r="D11" s="38" t="str">
        <f>IFERROR(__xludf.DUMMYFUNCTION("""COMPUTED_VALUE"""),"Equipment")</f>
        <v>Equipment</v>
      </c>
      <c r="E11" s="41">
        <f>IFERROR(__xludf.DUMMYFUNCTION("""COMPUTED_VALUE"""),1.24)</f>
        <v>1.24</v>
      </c>
      <c r="F11" s="41">
        <f>IFERROR(__xludf.DUMMYFUNCTION("""COMPUTED_VALUE"""),1.0)</f>
        <v>1</v>
      </c>
      <c r="G11" s="41">
        <f>IFERROR(__xludf.DUMMYFUNCTION("""COMPUTED_VALUE"""),1.62)</f>
        <v>1.62</v>
      </c>
      <c r="H11" s="38"/>
      <c r="I11" s="41" t="b">
        <f>IFERROR(__xludf.DUMMYFUNCTION("""COMPUTED_VALUE"""),FALSE)</f>
        <v>0</v>
      </c>
      <c r="J11" s="41" t="b">
        <f>IFERROR(__xludf.DUMMYFUNCTION("""COMPUTED_VALUE"""),TRUE)</f>
        <v>1</v>
      </c>
      <c r="K11" s="38" t="b">
        <f>IFERROR(__xludf.DUMMYFUNCTION("""COMPUTED_VALUE"""),FALSE)</f>
        <v>0</v>
      </c>
      <c r="L11" s="38" t="b">
        <f>IFERROR(__xludf.DUMMYFUNCTION("""COMPUTED_VALUE"""),FALSE)</f>
        <v>0</v>
      </c>
      <c r="Z11" s="38" t="str">
        <f t="shared" si="1"/>
        <v>#REF!</v>
      </c>
    </row>
    <row r="12">
      <c r="A12" s="38" t="str">
        <f>IFERROR(__xludf.DUMMYFUNCTION("""COMPUTED_VALUE"""),"Hunting Trap")</f>
        <v>Hunting Trap</v>
      </c>
      <c r="B12" s="41">
        <f>IFERROR(__xludf.DUMMYFUNCTION("""COMPUTED_VALUE"""),5.0)</f>
        <v>5</v>
      </c>
      <c r="C12" s="38" t="str">
        <f>IFERROR(__xludf.DUMMYFUNCTION("""COMPUTED_VALUE"""),"25 lb.")</f>
        <v>25 lb.</v>
      </c>
      <c r="D12" s="38" t="str">
        <f>IFERROR(__xludf.DUMMYFUNCTION("""COMPUTED_VALUE"""),"Equipment")</f>
        <v>Equipment</v>
      </c>
      <c r="E12" s="41">
        <f>IFERROR(__xludf.DUMMYFUNCTION("""COMPUTED_VALUE"""),3.1)</f>
        <v>3.1</v>
      </c>
      <c r="F12" s="41">
        <f>IFERROR(__xludf.DUMMYFUNCTION("""COMPUTED_VALUE"""),2.5)</f>
        <v>2.5</v>
      </c>
      <c r="G12" s="41">
        <f>IFERROR(__xludf.DUMMYFUNCTION("""COMPUTED_VALUE"""),4.05)</f>
        <v>4.05</v>
      </c>
      <c r="H12" s="38"/>
      <c r="I12" s="41" t="b">
        <f>IFERROR(__xludf.DUMMYFUNCTION("""COMPUTED_VALUE"""),FALSE)</f>
        <v>0</v>
      </c>
      <c r="J12" s="41" t="b">
        <f>IFERROR(__xludf.DUMMYFUNCTION("""COMPUTED_VALUE"""),TRUE)</f>
        <v>1</v>
      </c>
      <c r="K12" s="38" t="b">
        <f>IFERROR(__xludf.DUMMYFUNCTION("""COMPUTED_VALUE"""),TRUE)</f>
        <v>1</v>
      </c>
      <c r="L12" s="38" t="b">
        <f>IFERROR(__xludf.DUMMYFUNCTION("""COMPUTED_VALUE"""),FALSE)</f>
        <v>0</v>
      </c>
      <c r="Z12" s="38" t="str">
        <f t="shared" si="1"/>
        <v>#REF!</v>
      </c>
    </row>
    <row r="13">
      <c r="A13" s="38" t="str">
        <f>IFERROR(__xludf.DUMMYFUNCTION("""COMPUTED_VALUE"""),"Manacles")</f>
        <v>Manacles</v>
      </c>
      <c r="B13" s="41">
        <f>IFERROR(__xludf.DUMMYFUNCTION("""COMPUTED_VALUE"""),2.0)</f>
        <v>2</v>
      </c>
      <c r="C13" s="38" t="str">
        <f>IFERROR(__xludf.DUMMYFUNCTION("""COMPUTED_VALUE"""),"6 lb.")</f>
        <v>6 lb.</v>
      </c>
      <c r="D13" s="38" t="str">
        <f>IFERROR(__xludf.DUMMYFUNCTION("""COMPUTED_VALUE"""),"Equipment")</f>
        <v>Equipment</v>
      </c>
      <c r="E13" s="41">
        <f>IFERROR(__xludf.DUMMYFUNCTION("""COMPUTED_VALUE"""),1.24)</f>
        <v>1.24</v>
      </c>
      <c r="F13" s="41">
        <f>IFERROR(__xludf.DUMMYFUNCTION("""COMPUTED_VALUE"""),1.0)</f>
        <v>1</v>
      </c>
      <c r="G13" s="41">
        <f>IFERROR(__xludf.DUMMYFUNCTION("""COMPUTED_VALUE"""),1.62)</f>
        <v>1.62</v>
      </c>
      <c r="H13" s="38"/>
      <c r="I13" s="41" t="b">
        <f>IFERROR(__xludf.DUMMYFUNCTION("""COMPUTED_VALUE"""),FALSE)</f>
        <v>0</v>
      </c>
      <c r="J13" s="41" t="b">
        <f>IFERROR(__xludf.DUMMYFUNCTION("""COMPUTED_VALUE"""),TRUE)</f>
        <v>1</v>
      </c>
      <c r="K13" s="38" t="b">
        <f>IFERROR(__xludf.DUMMYFUNCTION("""COMPUTED_VALUE"""),FALSE)</f>
        <v>0</v>
      </c>
      <c r="L13" s="38" t="b">
        <f>IFERROR(__xludf.DUMMYFUNCTION("""COMPUTED_VALUE"""),FALSE)</f>
        <v>0</v>
      </c>
      <c r="Z13" s="38" t="str">
        <f t="shared" si="1"/>
        <v>#REF!</v>
      </c>
    </row>
    <row r="14">
      <c r="A14" s="38" t="str">
        <f>IFERROR(__xludf.DUMMYFUNCTION("""COMPUTED_VALUE"""),"Miner's Pick")</f>
        <v>Miner's Pick</v>
      </c>
      <c r="B14" s="41">
        <f>IFERROR(__xludf.DUMMYFUNCTION("""COMPUTED_VALUE"""),2.0)</f>
        <v>2</v>
      </c>
      <c r="C14" s="38" t="str">
        <f>IFERROR(__xludf.DUMMYFUNCTION("""COMPUTED_VALUE"""),"10 lb.")</f>
        <v>10 lb.</v>
      </c>
      <c r="D14" s="38" t="str">
        <f>IFERROR(__xludf.DUMMYFUNCTION("""COMPUTED_VALUE"""),"Equipment")</f>
        <v>Equipment</v>
      </c>
      <c r="E14" s="41">
        <f>IFERROR(__xludf.DUMMYFUNCTION("""COMPUTED_VALUE"""),1.24)</f>
        <v>1.24</v>
      </c>
      <c r="F14" s="41">
        <f>IFERROR(__xludf.DUMMYFUNCTION("""COMPUTED_VALUE"""),1.0)</f>
        <v>1</v>
      </c>
      <c r="G14" s="41">
        <f>IFERROR(__xludf.DUMMYFUNCTION("""COMPUTED_VALUE"""),1.62)</f>
        <v>1.62</v>
      </c>
      <c r="H14" s="38"/>
      <c r="I14" s="41" t="b">
        <f>IFERROR(__xludf.DUMMYFUNCTION("""COMPUTED_VALUE"""),FALSE)</f>
        <v>0</v>
      </c>
      <c r="J14" s="41" t="b">
        <f>IFERROR(__xludf.DUMMYFUNCTION("""COMPUTED_VALUE"""),TRUE)</f>
        <v>1</v>
      </c>
      <c r="K14" s="38" t="b">
        <f>IFERROR(__xludf.DUMMYFUNCTION("""COMPUTED_VALUE"""),TRUE)</f>
        <v>1</v>
      </c>
      <c r="L14" s="38" t="b">
        <f>IFERROR(__xludf.DUMMYFUNCTION("""COMPUTED_VALUE"""),TRUE)</f>
        <v>1</v>
      </c>
      <c r="Z14" s="38" t="str">
        <f t="shared" si="1"/>
        <v>#REF!</v>
      </c>
    </row>
    <row r="15">
      <c r="A15" s="38" t="str">
        <f>IFERROR(__xludf.DUMMYFUNCTION("""COMPUTED_VALUE"""),"Piton")</f>
        <v>Piton</v>
      </c>
      <c r="B15" s="41">
        <f>IFERROR(__xludf.DUMMYFUNCTION("""COMPUTED_VALUE"""),0.05)</f>
        <v>0.05</v>
      </c>
      <c r="C15" s="38" t="str">
        <f>IFERROR(__xludf.DUMMYFUNCTION("""COMPUTED_VALUE"""),"1/4 lb.")</f>
        <v>1/4 lb.</v>
      </c>
      <c r="D15" s="38" t="str">
        <f>IFERROR(__xludf.DUMMYFUNCTION("""COMPUTED_VALUE"""),"Equipment")</f>
        <v>Equipment</v>
      </c>
      <c r="E15" s="41">
        <f>IFERROR(__xludf.DUMMYFUNCTION("""COMPUTED_VALUE"""),0.031)</f>
        <v>0.031</v>
      </c>
      <c r="F15" s="41">
        <f>IFERROR(__xludf.DUMMYFUNCTION("""COMPUTED_VALUE"""),0.025)</f>
        <v>0.025</v>
      </c>
      <c r="G15" s="41">
        <f>IFERROR(__xludf.DUMMYFUNCTION("""COMPUTED_VALUE"""),0.0405)</f>
        <v>0.0405</v>
      </c>
      <c r="H15" s="38" t="str">
        <f>IFERROR(__xludf.DUMMYFUNCTION("""COMPUTED_VALUE"""),"A steel spike, with a hole for looping a climbing rope through.")</f>
        <v>A steel spike, with a hole for looping a climbing rope through.</v>
      </c>
      <c r="I15" s="41" t="b">
        <f>IFERROR(__xludf.DUMMYFUNCTION("""COMPUTED_VALUE"""),FALSE)</f>
        <v>0</v>
      </c>
      <c r="J15" s="41" t="b">
        <f>IFERROR(__xludf.DUMMYFUNCTION("""COMPUTED_VALUE"""),TRUE)</f>
        <v>1</v>
      </c>
      <c r="K15" s="38" t="b">
        <f>IFERROR(__xludf.DUMMYFUNCTION("""COMPUTED_VALUE"""),TRUE)</f>
        <v>1</v>
      </c>
      <c r="L15" s="38" t="b">
        <f>IFERROR(__xludf.DUMMYFUNCTION("""COMPUTED_VALUE"""),TRUE)</f>
        <v>1</v>
      </c>
      <c r="Z15" s="38" t="str">
        <f t="shared" si="1"/>
        <v>#REF!</v>
      </c>
    </row>
    <row r="16">
      <c r="A16" s="38" t="str">
        <f>IFERROR(__xludf.DUMMYFUNCTION("""COMPUTED_VALUE"""),"Steel Mirror")</f>
        <v>Steel Mirror</v>
      </c>
      <c r="B16" s="41">
        <f>IFERROR(__xludf.DUMMYFUNCTION("""COMPUTED_VALUE"""),5.0)</f>
        <v>5</v>
      </c>
      <c r="C16" s="38" t="str">
        <f>IFERROR(__xludf.DUMMYFUNCTION("""COMPUTED_VALUE"""),"1/2 lb.")</f>
        <v>1/2 lb.</v>
      </c>
      <c r="D16" s="38" t="str">
        <f>IFERROR(__xludf.DUMMYFUNCTION("""COMPUTED_VALUE"""),"Equipment")</f>
        <v>Equipment</v>
      </c>
      <c r="E16" s="41">
        <f>IFERROR(__xludf.DUMMYFUNCTION("""COMPUTED_VALUE"""),3.1)</f>
        <v>3.1</v>
      </c>
      <c r="F16" s="41">
        <f>IFERROR(__xludf.DUMMYFUNCTION("""COMPUTED_VALUE"""),2.5)</f>
        <v>2.5</v>
      </c>
      <c r="G16" s="41">
        <f>IFERROR(__xludf.DUMMYFUNCTION("""COMPUTED_VALUE"""),4.05)</f>
        <v>4.05</v>
      </c>
      <c r="H16" s="38"/>
      <c r="I16" s="41" t="b">
        <f>IFERROR(__xludf.DUMMYFUNCTION("""COMPUTED_VALUE"""),FALSE)</f>
        <v>0</v>
      </c>
      <c r="J16" s="41" t="b">
        <f>IFERROR(__xludf.DUMMYFUNCTION("""COMPUTED_VALUE"""),TRUE)</f>
        <v>1</v>
      </c>
      <c r="K16" s="38" t="b">
        <f>IFERROR(__xludf.DUMMYFUNCTION("""COMPUTED_VALUE"""),FALSE)</f>
        <v>0</v>
      </c>
      <c r="L16" s="38" t="b">
        <f>IFERROR(__xludf.DUMMYFUNCTION("""COMPUTED_VALUE"""),FALSE)</f>
        <v>0</v>
      </c>
      <c r="Z16" s="38" t="str">
        <f t="shared" si="1"/>
        <v>#REF!</v>
      </c>
    </row>
    <row r="17">
      <c r="A17" s="38" t="str">
        <f>IFERROR(__xludf.DUMMYFUNCTION("""COMPUTED_VALUE"""),"Bit and Bridle")</f>
        <v>Bit and Bridle</v>
      </c>
      <c r="B17" s="41">
        <f>IFERROR(__xludf.DUMMYFUNCTION("""COMPUTED_VALUE"""),2.0)</f>
        <v>2</v>
      </c>
      <c r="C17" s="38" t="str">
        <f>IFERROR(__xludf.DUMMYFUNCTION("""COMPUTED_VALUE"""),"1 lb.")</f>
        <v>1 lb.</v>
      </c>
      <c r="D17" s="38" t="str">
        <f>IFERROR(__xludf.DUMMYFUNCTION("""COMPUTED_VALUE"""),"Harness")</f>
        <v>Harness</v>
      </c>
      <c r="E17" s="41">
        <f>IFERROR(__xludf.DUMMYFUNCTION("""COMPUTED_VALUE"""),1.24)</f>
        <v>1.24</v>
      </c>
      <c r="F17" s="41">
        <f>IFERROR(__xludf.DUMMYFUNCTION("""COMPUTED_VALUE"""),1.0)</f>
        <v>1</v>
      </c>
      <c r="G17" s="41">
        <f>IFERROR(__xludf.DUMMYFUNCTION("""COMPUTED_VALUE"""),1.62)</f>
        <v>1.62</v>
      </c>
      <c r="H17" s="38"/>
      <c r="I17" s="41" t="b">
        <f>IFERROR(__xludf.DUMMYFUNCTION("""COMPUTED_VALUE"""),FALSE)</f>
        <v>0</v>
      </c>
      <c r="J17" s="41" t="b">
        <f>IFERROR(__xludf.DUMMYFUNCTION("""COMPUTED_VALUE"""),TRUE)</f>
        <v>1</v>
      </c>
      <c r="K17" s="38" t="b">
        <f>IFERROR(__xludf.DUMMYFUNCTION("""COMPUTED_VALUE"""),FALSE)</f>
        <v>0</v>
      </c>
      <c r="L17" s="38" t="b">
        <f>IFERROR(__xludf.DUMMYFUNCTION("""COMPUTED_VALUE"""),FALSE)</f>
        <v>0</v>
      </c>
      <c r="Z17" s="38" t="str">
        <f t="shared" si="1"/>
        <v>#REF!</v>
      </c>
    </row>
    <row r="18">
      <c r="A18" s="38" t="str">
        <f>IFERROR(__xludf.DUMMYFUNCTION("""COMPUTED_VALUE"""),"Bullseye Lantern")</f>
        <v>Bullseye Lantern</v>
      </c>
      <c r="B18" s="41">
        <f>IFERROR(__xludf.DUMMYFUNCTION("""COMPUTED_VALUE"""),10.0)</f>
        <v>10</v>
      </c>
      <c r="C18" s="38" t="str">
        <f>IFERROR(__xludf.DUMMYFUNCTION("""COMPUTED_VALUE"""),"2 lb.")</f>
        <v>2 lb.</v>
      </c>
      <c r="D18" s="38" t="str">
        <f>IFERROR(__xludf.DUMMYFUNCTION("""COMPUTED_VALUE"""),"Light")</f>
        <v>Light</v>
      </c>
      <c r="E18" s="41">
        <f>IFERROR(__xludf.DUMMYFUNCTION("""COMPUTED_VALUE"""),6.2)</f>
        <v>6.2</v>
      </c>
      <c r="F18" s="41">
        <f>IFERROR(__xludf.DUMMYFUNCTION("""COMPUTED_VALUE"""),5.0)</f>
        <v>5</v>
      </c>
      <c r="G18" s="41">
        <f>IFERROR(__xludf.DUMMYFUNCTION("""COMPUTED_VALUE"""),8.1)</f>
        <v>8.1</v>
      </c>
      <c r="H18" s="38"/>
      <c r="I18" s="41" t="b">
        <f>IFERROR(__xludf.DUMMYFUNCTION("""COMPUTED_VALUE"""),FALSE)</f>
        <v>0</v>
      </c>
      <c r="J18" s="41" t="b">
        <f>IFERROR(__xludf.DUMMYFUNCTION("""COMPUTED_VALUE"""),TRUE)</f>
        <v>1</v>
      </c>
      <c r="K18" s="38" t="b">
        <f>IFERROR(__xludf.DUMMYFUNCTION("""COMPUTED_VALUE"""),FALSE)</f>
        <v>0</v>
      </c>
      <c r="L18" s="38" t="b">
        <f>IFERROR(__xludf.DUMMYFUNCTION("""COMPUTED_VALUE"""),FALSE)</f>
        <v>0</v>
      </c>
      <c r="Z18" s="38" t="str">
        <f t="shared" si="1"/>
        <v>#REF!</v>
      </c>
    </row>
    <row r="19">
      <c r="A19" s="38" t="str">
        <f>IFERROR(__xludf.DUMMYFUNCTION("""COMPUTED_VALUE"""),"Hooded Lantern")</f>
        <v>Hooded Lantern</v>
      </c>
      <c r="B19" s="41">
        <f>IFERROR(__xludf.DUMMYFUNCTION("""COMPUTED_VALUE"""),5.0)</f>
        <v>5</v>
      </c>
      <c r="C19" s="38" t="str">
        <f>IFERROR(__xludf.DUMMYFUNCTION("""COMPUTED_VALUE"""),"2 lb.")</f>
        <v>2 lb.</v>
      </c>
      <c r="D19" s="38" t="str">
        <f>IFERROR(__xludf.DUMMYFUNCTION("""COMPUTED_VALUE"""),"Light")</f>
        <v>Light</v>
      </c>
      <c r="E19" s="41">
        <f>IFERROR(__xludf.DUMMYFUNCTION("""COMPUTED_VALUE"""),3.1)</f>
        <v>3.1</v>
      </c>
      <c r="F19" s="41">
        <f>IFERROR(__xludf.DUMMYFUNCTION("""COMPUTED_VALUE"""),2.5)</f>
        <v>2.5</v>
      </c>
      <c r="G19" s="41">
        <f>IFERROR(__xludf.DUMMYFUNCTION("""COMPUTED_VALUE"""),4.05)</f>
        <v>4.05</v>
      </c>
      <c r="H19" s="38"/>
      <c r="I19" s="41" t="b">
        <f>IFERROR(__xludf.DUMMYFUNCTION("""COMPUTED_VALUE"""),FALSE)</f>
        <v>0</v>
      </c>
      <c r="J19" s="41" t="b">
        <f>IFERROR(__xludf.DUMMYFUNCTION("""COMPUTED_VALUE"""),TRUE)</f>
        <v>1</v>
      </c>
      <c r="K19" s="38" t="b">
        <f>IFERROR(__xludf.DUMMYFUNCTION("""COMPUTED_VALUE"""),FALSE)</f>
        <v>0</v>
      </c>
      <c r="L19" s="38" t="b">
        <f>IFERROR(__xludf.DUMMYFUNCTION("""COMPUTED_VALUE"""),FALSE)</f>
        <v>0</v>
      </c>
      <c r="Z19" s="38" t="str">
        <f t="shared" si="1"/>
        <v>#REF!</v>
      </c>
    </row>
    <row r="20">
      <c r="A20" s="38" t="str">
        <f>IFERROR(__xludf.DUMMYFUNCTION("""COMPUTED_VALUE"""),"Lamp")</f>
        <v>Lamp</v>
      </c>
      <c r="B20" s="41">
        <f>IFERROR(__xludf.DUMMYFUNCTION("""COMPUTED_VALUE"""),0.5)</f>
        <v>0.5</v>
      </c>
      <c r="C20" s="38" t="str">
        <f>IFERROR(__xludf.DUMMYFUNCTION("""COMPUTED_VALUE"""),"1 lb.")</f>
        <v>1 lb.</v>
      </c>
      <c r="D20" s="38" t="str">
        <f>IFERROR(__xludf.DUMMYFUNCTION("""COMPUTED_VALUE"""),"Light")</f>
        <v>Light</v>
      </c>
      <c r="E20" s="41">
        <f>IFERROR(__xludf.DUMMYFUNCTION("""COMPUTED_VALUE"""),0.31)</f>
        <v>0.31</v>
      </c>
      <c r="F20" s="41">
        <f>IFERROR(__xludf.DUMMYFUNCTION("""COMPUTED_VALUE"""),0.25)</f>
        <v>0.25</v>
      </c>
      <c r="G20" s="41">
        <f>IFERROR(__xludf.DUMMYFUNCTION("""COMPUTED_VALUE"""),0.405)</f>
        <v>0.405</v>
      </c>
      <c r="H20" s="38"/>
      <c r="I20" s="41" t="b">
        <f>IFERROR(__xludf.DUMMYFUNCTION("""COMPUTED_VALUE"""),FALSE)</f>
        <v>0</v>
      </c>
      <c r="J20" s="41" t="b">
        <f>IFERROR(__xludf.DUMMYFUNCTION("""COMPUTED_VALUE"""),TRUE)</f>
        <v>1</v>
      </c>
      <c r="K20" s="38" t="b">
        <f>IFERROR(__xludf.DUMMYFUNCTION("""COMPUTED_VALUE"""),FALSE)</f>
        <v>0</v>
      </c>
      <c r="L20" s="38" t="b">
        <f>IFERROR(__xludf.DUMMYFUNCTION("""COMPUTED_VALUE"""),FALSE)</f>
        <v>0</v>
      </c>
      <c r="Z20" s="38" t="str">
        <f t="shared" si="1"/>
        <v>#REF!</v>
      </c>
    </row>
    <row r="21">
      <c r="A21" s="41" t="str">
        <f>IFERROR(__xludf.DUMMYFUNCTION("""COMPUTED_VALUE"""),"Copper")</f>
        <v>Copper</v>
      </c>
      <c r="B21" s="41">
        <f>IFERROR(__xludf.DUMMYFUNCTION("""COMPUTED_VALUE"""),0.5)</f>
        <v>0.5</v>
      </c>
      <c r="C21" s="38" t="str">
        <f>IFERROR(__xludf.DUMMYFUNCTION("""COMPUTED_VALUE"""),"1 lb.")</f>
        <v>1 lb.</v>
      </c>
      <c r="D21" s="41" t="str">
        <f>IFERROR(__xludf.DUMMYFUNCTION("""COMPUTED_VALUE"""),"Metal")</f>
        <v>Metal</v>
      </c>
      <c r="E21" s="41">
        <f>IFERROR(__xludf.DUMMYFUNCTION("""COMPUTED_VALUE"""),0.31)</f>
        <v>0.31</v>
      </c>
      <c r="F21" s="41">
        <f>IFERROR(__xludf.DUMMYFUNCTION("""COMPUTED_VALUE"""),0.25)</f>
        <v>0.25</v>
      </c>
      <c r="G21" s="41">
        <f>IFERROR(__xludf.DUMMYFUNCTION("""COMPUTED_VALUE"""),0.405)</f>
        <v>0.405</v>
      </c>
      <c r="H21" s="38"/>
      <c r="I21" s="41" t="b">
        <f>IFERROR(__xludf.DUMMYFUNCTION("""COMPUTED_VALUE"""),FALSE)</f>
        <v>0</v>
      </c>
      <c r="J21" s="41" t="b">
        <f>IFERROR(__xludf.DUMMYFUNCTION("""COMPUTED_VALUE"""),TRUE)</f>
        <v>1</v>
      </c>
      <c r="K21" s="41" t="b">
        <f>IFERROR(__xludf.DUMMYFUNCTION("""COMPUTED_VALUE"""),TRUE)</f>
        <v>1</v>
      </c>
      <c r="L21" s="41" t="b">
        <f>IFERROR(__xludf.DUMMYFUNCTION("""COMPUTED_VALUE"""),FALSE)</f>
        <v>0</v>
      </c>
      <c r="Z21" s="38" t="str">
        <f t="shared" si="1"/>
        <v>#REF!</v>
      </c>
    </row>
    <row r="22">
      <c r="A22" s="41" t="str">
        <f>IFERROR(__xludf.DUMMYFUNCTION("""COMPUTED_VALUE"""),"Iron")</f>
        <v>Iron</v>
      </c>
      <c r="B22" s="41">
        <f>IFERROR(__xludf.DUMMYFUNCTION("""COMPUTED_VALUE"""),0.1)</f>
        <v>0.1</v>
      </c>
      <c r="C22" s="38" t="str">
        <f>IFERROR(__xludf.DUMMYFUNCTION("""COMPUTED_VALUE"""),"1 lb.")</f>
        <v>1 lb.</v>
      </c>
      <c r="D22" s="41" t="str">
        <f>IFERROR(__xludf.DUMMYFUNCTION("""COMPUTED_VALUE"""),"Metal")</f>
        <v>Metal</v>
      </c>
      <c r="E22" s="41">
        <f>IFERROR(__xludf.DUMMYFUNCTION("""COMPUTED_VALUE"""),0.062)</f>
        <v>0.062</v>
      </c>
      <c r="F22" s="41">
        <f>IFERROR(__xludf.DUMMYFUNCTION("""COMPUTED_VALUE"""),0.05)</f>
        <v>0.05</v>
      </c>
      <c r="G22" s="41">
        <f>IFERROR(__xludf.DUMMYFUNCTION("""COMPUTED_VALUE"""),0.081)</f>
        <v>0.081</v>
      </c>
      <c r="H22" s="38"/>
      <c r="I22" s="41" t="b">
        <f>IFERROR(__xludf.DUMMYFUNCTION("""COMPUTED_VALUE"""),FALSE)</f>
        <v>0</v>
      </c>
      <c r="J22" s="41" t="b">
        <f>IFERROR(__xludf.DUMMYFUNCTION("""COMPUTED_VALUE"""),TRUE)</f>
        <v>1</v>
      </c>
      <c r="K22" s="41" t="b">
        <f>IFERROR(__xludf.DUMMYFUNCTION("""COMPUTED_VALUE"""),TRUE)</f>
        <v>1</v>
      </c>
      <c r="L22" s="41" t="b">
        <f>IFERROR(__xludf.DUMMYFUNCTION("""COMPUTED_VALUE"""),TRUE)</f>
        <v>1</v>
      </c>
      <c r="Z22" s="38" t="str">
        <f t="shared" si="1"/>
        <v>#REF!</v>
      </c>
    </row>
    <row r="23">
      <c r="A23" s="38" t="str">
        <f>IFERROR(__xludf.DUMMYFUNCTION("""COMPUTED_VALUE"""),"Ball Bearings")</f>
        <v>Ball Bearings</v>
      </c>
      <c r="B23" s="41">
        <f>IFERROR(__xludf.DUMMYFUNCTION("""COMPUTED_VALUE"""),1.5)</f>
        <v>1.5</v>
      </c>
      <c r="C23" s="38" t="str">
        <f>IFERROR(__xludf.DUMMYFUNCTION("""COMPUTED_VALUE"""),"2 lb. bag of 1,000")</f>
        <v>2 lb. bag of 1,000</v>
      </c>
      <c r="D23" s="38" t="str">
        <f>IFERROR(__xludf.DUMMYFUNCTION("""COMPUTED_VALUE"""),"Tool")</f>
        <v>Tool</v>
      </c>
      <c r="E23" s="41">
        <f>IFERROR(__xludf.DUMMYFUNCTION("""COMPUTED_VALUE"""),0.9299999999999999)</f>
        <v>0.93</v>
      </c>
      <c r="F23" s="41">
        <f>IFERROR(__xludf.DUMMYFUNCTION("""COMPUTED_VALUE"""),0.75)</f>
        <v>0.75</v>
      </c>
      <c r="G23" s="41">
        <f>IFERROR(__xludf.DUMMYFUNCTION("""COMPUTED_VALUE"""),1.2149999999999999)</f>
        <v>1.215</v>
      </c>
      <c r="H23" s="38"/>
      <c r="I23" s="41" t="b">
        <f>IFERROR(__xludf.DUMMYFUNCTION("""COMPUTED_VALUE"""),FALSE)</f>
        <v>0</v>
      </c>
      <c r="J23" s="41" t="b">
        <f>IFERROR(__xludf.DUMMYFUNCTION("""COMPUTED_VALUE"""),TRUE)</f>
        <v>1</v>
      </c>
      <c r="K23" s="38" t="b">
        <f>IFERROR(__xludf.DUMMYFUNCTION("""COMPUTED_VALUE"""),TRUE)</f>
        <v>1</v>
      </c>
      <c r="L23" s="38" t="b">
        <f>IFERROR(__xludf.DUMMYFUNCTION("""COMPUTED_VALUE"""),FALSE)</f>
        <v>0</v>
      </c>
      <c r="Z23" s="38" t="str">
        <f t="shared" si="1"/>
        <v>#REF!</v>
      </c>
    </row>
    <row r="24">
      <c r="A24" s="38" t="str">
        <f>IFERROR(__xludf.DUMMYFUNCTION("""COMPUTED_VALUE"""),"Crowbar")</f>
        <v>Crowbar</v>
      </c>
      <c r="B24" s="41">
        <f>IFERROR(__xludf.DUMMYFUNCTION("""COMPUTED_VALUE"""),3.0)</f>
        <v>3</v>
      </c>
      <c r="C24" s="38" t="str">
        <f>IFERROR(__xludf.DUMMYFUNCTION("""COMPUTED_VALUE"""),"5 lb.")</f>
        <v>5 lb.</v>
      </c>
      <c r="D24" s="38" t="str">
        <f>IFERROR(__xludf.DUMMYFUNCTION("""COMPUTED_VALUE"""),"Tool")</f>
        <v>Tool</v>
      </c>
      <c r="E24" s="41">
        <f>IFERROR(__xludf.DUMMYFUNCTION("""COMPUTED_VALUE"""),1.8599999999999999)</f>
        <v>1.86</v>
      </c>
      <c r="F24" s="41">
        <f>IFERROR(__xludf.DUMMYFUNCTION("""COMPUTED_VALUE"""),1.5)</f>
        <v>1.5</v>
      </c>
      <c r="G24" s="41">
        <f>IFERROR(__xludf.DUMMYFUNCTION("""COMPUTED_VALUE"""),2.4299999999999997)</f>
        <v>2.43</v>
      </c>
      <c r="H24" s="38"/>
      <c r="I24" s="41" t="b">
        <f>IFERROR(__xludf.DUMMYFUNCTION("""COMPUTED_VALUE"""),FALSE)</f>
        <v>0</v>
      </c>
      <c r="J24" s="41" t="b">
        <f>IFERROR(__xludf.DUMMYFUNCTION("""COMPUTED_VALUE"""),TRUE)</f>
        <v>1</v>
      </c>
      <c r="K24" s="38" t="b">
        <f>IFERROR(__xludf.DUMMYFUNCTION("""COMPUTED_VALUE"""),TRUE)</f>
        <v>1</v>
      </c>
      <c r="L24" s="38" t="b">
        <f>IFERROR(__xludf.DUMMYFUNCTION("""COMPUTED_VALUE"""),TRUE)</f>
        <v>1</v>
      </c>
      <c r="Z24" s="38" t="str">
        <f t="shared" si="1"/>
        <v>#REF!</v>
      </c>
    </row>
    <row r="25">
      <c r="A25" s="38" t="str">
        <f>IFERROR(__xludf.DUMMYFUNCTION("""COMPUTED_VALUE"""),"Hammer")</f>
        <v>Hammer</v>
      </c>
      <c r="B25" s="41">
        <f>IFERROR(__xludf.DUMMYFUNCTION("""COMPUTED_VALUE"""),1.5)</f>
        <v>1.5</v>
      </c>
      <c r="C25" s="38" t="str">
        <f>IFERROR(__xludf.DUMMYFUNCTION("""COMPUTED_VALUE"""),"3 lb.")</f>
        <v>3 lb.</v>
      </c>
      <c r="D25" s="38" t="str">
        <f>IFERROR(__xludf.DUMMYFUNCTION("""COMPUTED_VALUE"""),"Tool")</f>
        <v>Tool</v>
      </c>
      <c r="E25" s="41">
        <f>IFERROR(__xludf.DUMMYFUNCTION("""COMPUTED_VALUE"""),0.9299999999999999)</f>
        <v>0.93</v>
      </c>
      <c r="F25" s="41">
        <f>IFERROR(__xludf.DUMMYFUNCTION("""COMPUTED_VALUE"""),0.75)</f>
        <v>0.75</v>
      </c>
      <c r="G25" s="41">
        <f>IFERROR(__xludf.DUMMYFUNCTION("""COMPUTED_VALUE"""),1.2149999999999999)</f>
        <v>1.215</v>
      </c>
      <c r="H25" s="38"/>
      <c r="I25" s="41" t="b">
        <f>IFERROR(__xludf.DUMMYFUNCTION("""COMPUTED_VALUE"""),FALSE)</f>
        <v>0</v>
      </c>
      <c r="J25" s="41" t="b">
        <f>IFERROR(__xludf.DUMMYFUNCTION("""COMPUTED_VALUE"""),TRUE)</f>
        <v>1</v>
      </c>
      <c r="K25" s="38" t="b">
        <f>IFERROR(__xludf.DUMMYFUNCTION("""COMPUTED_VALUE"""),TRUE)</f>
        <v>1</v>
      </c>
      <c r="L25" s="38" t="b">
        <f>IFERROR(__xludf.DUMMYFUNCTION("""COMPUTED_VALUE"""),FALSE)</f>
        <v>0</v>
      </c>
      <c r="Z25" s="38" t="str">
        <f t="shared" si="1"/>
        <v>#REF!</v>
      </c>
    </row>
    <row r="26">
      <c r="A26" s="38" t="str">
        <f>IFERROR(__xludf.DUMMYFUNCTION("""COMPUTED_VALUE"""),"Iron Spikes")</f>
        <v>Iron Spikes</v>
      </c>
      <c r="B26" s="41">
        <f>IFERROR(__xludf.DUMMYFUNCTION("""COMPUTED_VALUE"""),1.5)</f>
        <v>1.5</v>
      </c>
      <c r="C26" s="38" t="str">
        <f>IFERROR(__xludf.DUMMYFUNCTION("""COMPUTED_VALUE"""),"5 lb., 10 spikes")</f>
        <v>5 lb., 10 spikes</v>
      </c>
      <c r="D26" s="38" t="str">
        <f>IFERROR(__xludf.DUMMYFUNCTION("""COMPUTED_VALUE"""),"Tool")</f>
        <v>Tool</v>
      </c>
      <c r="E26" s="41">
        <f>IFERROR(__xludf.DUMMYFUNCTION("""COMPUTED_VALUE"""),0.9299999999999999)</f>
        <v>0.93</v>
      </c>
      <c r="F26" s="41">
        <f>IFERROR(__xludf.DUMMYFUNCTION("""COMPUTED_VALUE"""),0.75)</f>
        <v>0.75</v>
      </c>
      <c r="G26" s="41">
        <f>IFERROR(__xludf.DUMMYFUNCTION("""COMPUTED_VALUE"""),1.2149999999999999)</f>
        <v>1.215</v>
      </c>
      <c r="H26" s="38"/>
      <c r="I26" s="41" t="b">
        <f>IFERROR(__xludf.DUMMYFUNCTION("""COMPUTED_VALUE"""),FALSE)</f>
        <v>0</v>
      </c>
      <c r="J26" s="41" t="b">
        <f>IFERROR(__xludf.DUMMYFUNCTION("""COMPUTED_VALUE"""),TRUE)</f>
        <v>1</v>
      </c>
      <c r="K26" s="38" t="b">
        <f>IFERROR(__xludf.DUMMYFUNCTION("""COMPUTED_VALUE"""),TRUE)</f>
        <v>1</v>
      </c>
      <c r="L26" s="38" t="b">
        <f>IFERROR(__xludf.DUMMYFUNCTION("""COMPUTED_VALUE"""),TRUE)</f>
        <v>1</v>
      </c>
      <c r="Z26" s="38" t="str">
        <f t="shared" si="1"/>
        <v>#REF!</v>
      </c>
    </row>
    <row r="27">
      <c r="A27" s="38" t="str">
        <f>IFERROR(__xludf.DUMMYFUNCTION("""COMPUTED_VALUE"""),"Shovel")</f>
        <v>Shovel</v>
      </c>
      <c r="B27" s="41">
        <f>IFERROR(__xludf.DUMMYFUNCTION("""COMPUTED_VALUE"""),3.0)</f>
        <v>3</v>
      </c>
      <c r="C27" s="38" t="str">
        <f>IFERROR(__xludf.DUMMYFUNCTION("""COMPUTED_VALUE"""),"5 lb.")</f>
        <v>5 lb.</v>
      </c>
      <c r="D27" s="38" t="str">
        <f>IFERROR(__xludf.DUMMYFUNCTION("""COMPUTED_VALUE"""),"Tool")</f>
        <v>Tool</v>
      </c>
      <c r="E27" s="41">
        <f>IFERROR(__xludf.DUMMYFUNCTION("""COMPUTED_VALUE"""),1.8599999999999999)</f>
        <v>1.86</v>
      </c>
      <c r="F27" s="41">
        <f>IFERROR(__xludf.DUMMYFUNCTION("""COMPUTED_VALUE"""),1.5)</f>
        <v>1.5</v>
      </c>
      <c r="G27" s="41">
        <f>IFERROR(__xludf.DUMMYFUNCTION("""COMPUTED_VALUE"""),2.4299999999999997)</f>
        <v>2.43</v>
      </c>
      <c r="H27" s="38"/>
      <c r="I27" s="41" t="b">
        <f>IFERROR(__xludf.DUMMYFUNCTION("""COMPUTED_VALUE"""),FALSE)</f>
        <v>0</v>
      </c>
      <c r="J27" s="41" t="b">
        <f>IFERROR(__xludf.DUMMYFUNCTION("""COMPUTED_VALUE"""),TRUE)</f>
        <v>1</v>
      </c>
      <c r="K27" s="38" t="b">
        <f>IFERROR(__xludf.DUMMYFUNCTION("""COMPUTED_VALUE"""),TRUE)</f>
        <v>1</v>
      </c>
      <c r="L27" s="38" t="b">
        <f>IFERROR(__xludf.DUMMYFUNCTION("""COMPUTED_VALUE"""),TRUE)</f>
        <v>1</v>
      </c>
      <c r="Z27" s="38" t="str">
        <f t="shared" si="1"/>
        <v>#REF!</v>
      </c>
    </row>
    <row r="28">
      <c r="A28" s="38" t="str">
        <f>IFERROR(__xludf.DUMMYFUNCTION("""COMPUTED_VALUE"""),"Sledgehammer")</f>
        <v>Sledgehammer</v>
      </c>
      <c r="B28" s="41">
        <f>IFERROR(__xludf.DUMMYFUNCTION("""COMPUTED_VALUE"""),3.0)</f>
        <v>3</v>
      </c>
      <c r="C28" s="38" t="str">
        <f>IFERROR(__xludf.DUMMYFUNCTION("""COMPUTED_VALUE"""),"10 lb.")</f>
        <v>10 lb.</v>
      </c>
      <c r="D28" s="38" t="str">
        <f>IFERROR(__xludf.DUMMYFUNCTION("""COMPUTED_VALUE"""),"Tool")</f>
        <v>Tool</v>
      </c>
      <c r="E28" s="41">
        <f>IFERROR(__xludf.DUMMYFUNCTION("""COMPUTED_VALUE"""),1.8599999999999999)</f>
        <v>1.86</v>
      </c>
      <c r="F28" s="41">
        <f>IFERROR(__xludf.DUMMYFUNCTION("""COMPUTED_VALUE"""),1.5)</f>
        <v>1.5</v>
      </c>
      <c r="G28" s="41">
        <f>IFERROR(__xludf.DUMMYFUNCTION("""COMPUTED_VALUE"""),2.4299999999999997)</f>
        <v>2.43</v>
      </c>
      <c r="H28" s="38"/>
      <c r="I28" s="41" t="b">
        <f>IFERROR(__xludf.DUMMYFUNCTION("""COMPUTED_VALUE"""),FALSE)</f>
        <v>0</v>
      </c>
      <c r="J28" s="41" t="b">
        <f>IFERROR(__xludf.DUMMYFUNCTION("""COMPUTED_VALUE"""),TRUE)</f>
        <v>1</v>
      </c>
      <c r="K28" s="38" t="b">
        <f>IFERROR(__xludf.DUMMYFUNCTION("""COMPUTED_VALUE"""),FALSE)</f>
        <v>0</v>
      </c>
      <c r="L28" s="38" t="b">
        <f>IFERROR(__xludf.DUMMYFUNCTION("""COMPUTED_VALUE"""),FALSE)</f>
        <v>0</v>
      </c>
      <c r="Z28" s="38" t="str">
        <f t="shared" si="1"/>
        <v>#REF!</v>
      </c>
    </row>
    <row r="29">
      <c r="A29" s="38" t="str">
        <f>IFERROR(__xludf.DUMMYFUNCTION("""COMPUTED_VALUE"""),"Battleaxe")</f>
        <v>Battleaxe</v>
      </c>
      <c r="B29" s="41">
        <f>IFERROR(__xludf.DUMMYFUNCTION("""COMPUTED_VALUE"""),6.0)</f>
        <v>6</v>
      </c>
      <c r="C29" s="38" t="str">
        <f>IFERROR(__xludf.DUMMYFUNCTION("""COMPUTED_VALUE"""),"4 lb.")</f>
        <v>4 lb.</v>
      </c>
      <c r="D29" s="38" t="str">
        <f>IFERROR(__xludf.DUMMYFUNCTION("""COMPUTED_VALUE"""),"Weapon")</f>
        <v>Weapon</v>
      </c>
      <c r="E29" s="41">
        <f>IFERROR(__xludf.DUMMYFUNCTION("""COMPUTED_VALUE"""),3.7199999999999998)</f>
        <v>3.72</v>
      </c>
      <c r="F29" s="41">
        <f>IFERROR(__xludf.DUMMYFUNCTION("""COMPUTED_VALUE"""),3.0)</f>
        <v>3</v>
      </c>
      <c r="G29" s="41">
        <f>IFERROR(__xludf.DUMMYFUNCTION("""COMPUTED_VALUE"""),4.859999999999999)</f>
        <v>4.86</v>
      </c>
      <c r="H29" s="38"/>
      <c r="I29" s="41" t="b">
        <f>IFERROR(__xludf.DUMMYFUNCTION("""COMPUTED_VALUE"""),FALSE)</f>
        <v>0</v>
      </c>
      <c r="J29" s="41" t="b">
        <f>IFERROR(__xludf.DUMMYFUNCTION("""COMPUTED_VALUE"""),TRUE)</f>
        <v>1</v>
      </c>
      <c r="K29" s="38" t="b">
        <f>IFERROR(__xludf.DUMMYFUNCTION("""COMPUTED_VALUE"""),FALSE)</f>
        <v>0</v>
      </c>
      <c r="L29" s="38" t="b">
        <f>IFERROR(__xludf.DUMMYFUNCTION("""COMPUTED_VALUE"""),FALSE)</f>
        <v>0</v>
      </c>
      <c r="Z29" s="38" t="str">
        <f t="shared" si="1"/>
        <v>#REF!</v>
      </c>
    </row>
    <row r="30">
      <c r="A30" s="38" t="str">
        <f>IFERROR(__xludf.DUMMYFUNCTION("""COMPUTED_VALUE"""),"Caltrops")</f>
        <v>Caltrops</v>
      </c>
      <c r="B30" s="41">
        <f>IFERROR(__xludf.DUMMYFUNCTION("""COMPUTED_VALUE"""),0.6)</f>
        <v>0.6</v>
      </c>
      <c r="C30" s="38" t="str">
        <f>IFERROR(__xludf.DUMMYFUNCTION("""COMPUTED_VALUE"""),"2 lb. bag of 20")</f>
        <v>2 lb. bag of 20</v>
      </c>
      <c r="D30" s="38" t="str">
        <f>IFERROR(__xludf.DUMMYFUNCTION("""COMPUTED_VALUE"""),"Weapon")</f>
        <v>Weapon</v>
      </c>
      <c r="E30" s="41">
        <f>IFERROR(__xludf.DUMMYFUNCTION("""COMPUTED_VALUE"""),0.372)</f>
        <v>0.372</v>
      </c>
      <c r="F30" s="41">
        <f>IFERROR(__xludf.DUMMYFUNCTION("""COMPUTED_VALUE"""),0.3)</f>
        <v>0.3</v>
      </c>
      <c r="G30" s="41">
        <f>IFERROR(__xludf.DUMMYFUNCTION("""COMPUTED_VALUE"""),0.486)</f>
        <v>0.486</v>
      </c>
      <c r="H30" s="38"/>
      <c r="I30" s="41" t="b">
        <f>IFERROR(__xludf.DUMMYFUNCTION("""COMPUTED_VALUE"""),FALSE)</f>
        <v>0</v>
      </c>
      <c r="J30" s="41" t="b">
        <f>IFERROR(__xludf.DUMMYFUNCTION("""COMPUTED_VALUE"""),TRUE)</f>
        <v>1</v>
      </c>
      <c r="K30" s="38" t="b">
        <f>IFERROR(__xludf.DUMMYFUNCTION("""COMPUTED_VALUE"""),FALSE)</f>
        <v>0</v>
      </c>
      <c r="L30" s="38" t="b">
        <f>IFERROR(__xludf.DUMMYFUNCTION("""COMPUTED_VALUE"""),FALSE)</f>
        <v>0</v>
      </c>
      <c r="Z30" s="38" t="str">
        <f t="shared" si="1"/>
        <v>#REF!</v>
      </c>
    </row>
    <row r="31">
      <c r="A31" s="38" t="str">
        <f>IFERROR(__xludf.DUMMYFUNCTION("""COMPUTED_VALUE"""),"Dagger")</f>
        <v>Dagger</v>
      </c>
      <c r="B31" s="41">
        <f>IFERROR(__xludf.DUMMYFUNCTION("""COMPUTED_VALUE"""),1.2)</f>
        <v>1.2</v>
      </c>
      <c r="C31" s="38" t="str">
        <f>IFERROR(__xludf.DUMMYFUNCTION("""COMPUTED_VALUE"""),"1 lb.")</f>
        <v>1 lb.</v>
      </c>
      <c r="D31" s="38" t="str">
        <f>IFERROR(__xludf.DUMMYFUNCTION("""COMPUTED_VALUE"""),"Weapon")</f>
        <v>Weapon</v>
      </c>
      <c r="E31" s="41">
        <f>IFERROR(__xludf.DUMMYFUNCTION("""COMPUTED_VALUE"""),0.744)</f>
        <v>0.744</v>
      </c>
      <c r="F31" s="41">
        <f>IFERROR(__xludf.DUMMYFUNCTION("""COMPUTED_VALUE"""),0.6)</f>
        <v>0.6</v>
      </c>
      <c r="G31" s="41">
        <f>IFERROR(__xludf.DUMMYFUNCTION("""COMPUTED_VALUE"""),0.972)</f>
        <v>0.972</v>
      </c>
      <c r="H31" s="38"/>
      <c r="I31" s="41" t="b">
        <f>IFERROR(__xludf.DUMMYFUNCTION("""COMPUTED_VALUE"""),FALSE)</f>
        <v>0</v>
      </c>
      <c r="J31" s="41" t="b">
        <f>IFERROR(__xludf.DUMMYFUNCTION("""COMPUTED_VALUE"""),TRUE)</f>
        <v>1</v>
      </c>
      <c r="K31" s="38" t="b">
        <f>IFERROR(__xludf.DUMMYFUNCTION("""COMPUTED_VALUE"""),FALSE)</f>
        <v>0</v>
      </c>
      <c r="L31" s="38" t="b">
        <f>IFERROR(__xludf.DUMMYFUNCTION("""COMPUTED_VALUE"""),FALSE)</f>
        <v>0</v>
      </c>
      <c r="Z31" s="38" t="str">
        <f t="shared" si="1"/>
        <v>#REF!</v>
      </c>
    </row>
    <row r="32">
      <c r="A32" s="38" t="str">
        <f>IFERROR(__xludf.DUMMYFUNCTION("""COMPUTED_VALUE"""),"Dart")</f>
        <v>Dart</v>
      </c>
      <c r="B32" s="41">
        <f>IFERROR(__xludf.DUMMYFUNCTION("""COMPUTED_VALUE"""),0.03)</f>
        <v>0.03</v>
      </c>
      <c r="C32" s="38" t="str">
        <f>IFERROR(__xludf.DUMMYFUNCTION("""COMPUTED_VALUE"""),"1/4 lb.")</f>
        <v>1/4 lb.</v>
      </c>
      <c r="D32" s="38" t="str">
        <f>IFERROR(__xludf.DUMMYFUNCTION("""COMPUTED_VALUE"""),"Weapon")</f>
        <v>Weapon</v>
      </c>
      <c r="E32" s="41">
        <f>IFERROR(__xludf.DUMMYFUNCTION("""COMPUTED_VALUE"""),0.0186)</f>
        <v>0.0186</v>
      </c>
      <c r="F32" s="41">
        <f>IFERROR(__xludf.DUMMYFUNCTION("""COMPUTED_VALUE"""),0.015)</f>
        <v>0.015</v>
      </c>
      <c r="G32" s="41">
        <f>IFERROR(__xludf.DUMMYFUNCTION("""COMPUTED_VALUE"""),0.0243)</f>
        <v>0.0243</v>
      </c>
      <c r="H32" s="38"/>
      <c r="I32" s="41" t="b">
        <f>IFERROR(__xludf.DUMMYFUNCTION("""COMPUTED_VALUE"""),FALSE)</f>
        <v>0</v>
      </c>
      <c r="J32" s="41" t="b">
        <f>IFERROR(__xludf.DUMMYFUNCTION("""COMPUTED_VALUE"""),TRUE)</f>
        <v>1</v>
      </c>
      <c r="K32" s="38" t="b">
        <f>IFERROR(__xludf.DUMMYFUNCTION("""COMPUTED_VALUE"""),FALSE)</f>
        <v>0</v>
      </c>
      <c r="L32" s="38" t="b">
        <f>IFERROR(__xludf.DUMMYFUNCTION("""COMPUTED_VALUE"""),FALSE)</f>
        <v>0</v>
      </c>
      <c r="Z32" s="38" t="str">
        <f t="shared" si="1"/>
        <v>#REF!</v>
      </c>
    </row>
    <row r="33">
      <c r="A33" s="38" t="str">
        <f>IFERROR(__xludf.DUMMYFUNCTION("""COMPUTED_VALUE"""),"Flail")</f>
        <v>Flail</v>
      </c>
      <c r="B33" s="41">
        <f>IFERROR(__xludf.DUMMYFUNCTION("""COMPUTED_VALUE"""),6.0)</f>
        <v>6</v>
      </c>
      <c r="C33" s="38" t="str">
        <f>IFERROR(__xludf.DUMMYFUNCTION("""COMPUTED_VALUE"""),"2 lb.")</f>
        <v>2 lb.</v>
      </c>
      <c r="D33" s="38" t="str">
        <f>IFERROR(__xludf.DUMMYFUNCTION("""COMPUTED_VALUE"""),"Weapon")</f>
        <v>Weapon</v>
      </c>
      <c r="E33" s="41">
        <f>IFERROR(__xludf.DUMMYFUNCTION("""COMPUTED_VALUE"""),3.7199999999999998)</f>
        <v>3.72</v>
      </c>
      <c r="F33" s="41">
        <f>IFERROR(__xludf.DUMMYFUNCTION("""COMPUTED_VALUE"""),3.0)</f>
        <v>3</v>
      </c>
      <c r="G33" s="41">
        <f>IFERROR(__xludf.DUMMYFUNCTION("""COMPUTED_VALUE"""),4.859999999999999)</f>
        <v>4.86</v>
      </c>
      <c r="H33" s="38"/>
      <c r="I33" s="41" t="b">
        <f>IFERROR(__xludf.DUMMYFUNCTION("""COMPUTED_VALUE"""),FALSE)</f>
        <v>0</v>
      </c>
      <c r="J33" s="41" t="b">
        <f>IFERROR(__xludf.DUMMYFUNCTION("""COMPUTED_VALUE"""),TRUE)</f>
        <v>1</v>
      </c>
      <c r="K33" s="38" t="b">
        <f>IFERROR(__xludf.DUMMYFUNCTION("""COMPUTED_VALUE"""),FALSE)</f>
        <v>0</v>
      </c>
      <c r="L33" s="38" t="b">
        <f>IFERROR(__xludf.DUMMYFUNCTION("""COMPUTED_VALUE"""),FALSE)</f>
        <v>0</v>
      </c>
      <c r="Z33" s="38" t="str">
        <f t="shared" si="1"/>
        <v>#REF!</v>
      </c>
    </row>
    <row r="34">
      <c r="A34" s="38" t="str">
        <f>IFERROR(__xludf.DUMMYFUNCTION("""COMPUTED_VALUE"""),"Glaive")</f>
        <v>Glaive</v>
      </c>
      <c r="B34" s="41">
        <f>IFERROR(__xludf.DUMMYFUNCTION("""COMPUTED_VALUE"""),12.0)</f>
        <v>12</v>
      </c>
      <c r="C34" s="38" t="str">
        <f>IFERROR(__xludf.DUMMYFUNCTION("""COMPUTED_VALUE"""),"6 lb.")</f>
        <v>6 lb.</v>
      </c>
      <c r="D34" s="38" t="str">
        <f>IFERROR(__xludf.DUMMYFUNCTION("""COMPUTED_VALUE"""),"Weapon")</f>
        <v>Weapon</v>
      </c>
      <c r="E34" s="41">
        <f>IFERROR(__xludf.DUMMYFUNCTION("""COMPUTED_VALUE"""),7.4399999999999995)</f>
        <v>7.44</v>
      </c>
      <c r="F34" s="41">
        <f>IFERROR(__xludf.DUMMYFUNCTION("""COMPUTED_VALUE"""),6.0)</f>
        <v>6</v>
      </c>
      <c r="G34" s="41">
        <f>IFERROR(__xludf.DUMMYFUNCTION("""COMPUTED_VALUE"""),9.719999999999999)</f>
        <v>9.72</v>
      </c>
      <c r="H34" s="38"/>
      <c r="I34" s="41" t="b">
        <f>IFERROR(__xludf.DUMMYFUNCTION("""COMPUTED_VALUE"""),FALSE)</f>
        <v>0</v>
      </c>
      <c r="J34" s="41" t="b">
        <f>IFERROR(__xludf.DUMMYFUNCTION("""COMPUTED_VALUE"""),TRUE)</f>
        <v>1</v>
      </c>
      <c r="K34" s="38" t="b">
        <f>IFERROR(__xludf.DUMMYFUNCTION("""COMPUTED_VALUE"""),FALSE)</f>
        <v>0</v>
      </c>
      <c r="L34" s="38" t="b">
        <f>IFERROR(__xludf.DUMMYFUNCTION("""COMPUTED_VALUE"""),FALSE)</f>
        <v>0</v>
      </c>
      <c r="Z34" s="38" t="str">
        <f t="shared" si="1"/>
        <v>#REF!</v>
      </c>
    </row>
    <row r="35">
      <c r="A35" s="38" t="str">
        <f>IFERROR(__xludf.DUMMYFUNCTION("""COMPUTED_VALUE"""),"Greataxe")</f>
        <v>Greataxe</v>
      </c>
      <c r="B35" s="41">
        <f>IFERROR(__xludf.DUMMYFUNCTION("""COMPUTED_VALUE"""),18.0)</f>
        <v>18</v>
      </c>
      <c r="C35" s="38" t="str">
        <f>IFERROR(__xludf.DUMMYFUNCTION("""COMPUTED_VALUE"""),"7 lb.")</f>
        <v>7 lb.</v>
      </c>
      <c r="D35" s="38" t="str">
        <f>IFERROR(__xludf.DUMMYFUNCTION("""COMPUTED_VALUE"""),"Weapon")</f>
        <v>Weapon</v>
      </c>
      <c r="E35" s="41">
        <f>IFERROR(__xludf.DUMMYFUNCTION("""COMPUTED_VALUE"""),11.16)</f>
        <v>11.16</v>
      </c>
      <c r="F35" s="41">
        <f>IFERROR(__xludf.DUMMYFUNCTION("""COMPUTED_VALUE"""),9.0)</f>
        <v>9</v>
      </c>
      <c r="G35" s="41">
        <f>IFERROR(__xludf.DUMMYFUNCTION("""COMPUTED_VALUE"""),14.58)</f>
        <v>14.58</v>
      </c>
      <c r="H35" s="38"/>
      <c r="I35" s="41" t="b">
        <f>IFERROR(__xludf.DUMMYFUNCTION("""COMPUTED_VALUE"""),FALSE)</f>
        <v>0</v>
      </c>
      <c r="J35" s="41" t="b">
        <f>IFERROR(__xludf.DUMMYFUNCTION("""COMPUTED_VALUE"""),TRUE)</f>
        <v>1</v>
      </c>
      <c r="K35" s="38" t="b">
        <f>IFERROR(__xludf.DUMMYFUNCTION("""COMPUTED_VALUE"""),FALSE)</f>
        <v>0</v>
      </c>
      <c r="L35" s="38" t="b">
        <f>IFERROR(__xludf.DUMMYFUNCTION("""COMPUTED_VALUE"""),FALSE)</f>
        <v>0</v>
      </c>
      <c r="Z35" s="38" t="str">
        <f t="shared" si="1"/>
        <v>#REF!</v>
      </c>
    </row>
    <row r="36">
      <c r="A36" s="38" t="str">
        <f>IFERROR(__xludf.DUMMYFUNCTION("""COMPUTED_VALUE"""),"Greatsword")</f>
        <v>Greatsword</v>
      </c>
      <c r="B36" s="41">
        <f>IFERROR(__xludf.DUMMYFUNCTION("""COMPUTED_VALUE"""),30.0)</f>
        <v>30</v>
      </c>
      <c r="C36" s="38" t="str">
        <f>IFERROR(__xludf.DUMMYFUNCTION("""COMPUTED_VALUE"""),"6 lb.")</f>
        <v>6 lb.</v>
      </c>
      <c r="D36" s="38" t="str">
        <f>IFERROR(__xludf.DUMMYFUNCTION("""COMPUTED_VALUE"""),"Weapon")</f>
        <v>Weapon</v>
      </c>
      <c r="E36" s="41">
        <f>IFERROR(__xludf.DUMMYFUNCTION("""COMPUTED_VALUE"""),24.599999999999998)</f>
        <v>24.6</v>
      </c>
      <c r="F36" s="41">
        <f>IFERROR(__xludf.DUMMYFUNCTION("""COMPUTED_VALUE"""),15.0)</f>
        <v>15</v>
      </c>
      <c r="G36" s="41">
        <f>IFERROR(__xludf.DUMMYFUNCTION("""COMPUTED_VALUE"""),27.299999999999997)</f>
        <v>27.3</v>
      </c>
      <c r="H36" s="38"/>
      <c r="I36" s="41" t="b">
        <f>IFERROR(__xludf.DUMMYFUNCTION("""COMPUTED_VALUE"""),FALSE)</f>
        <v>0</v>
      </c>
      <c r="J36" s="41" t="b">
        <f>IFERROR(__xludf.DUMMYFUNCTION("""COMPUTED_VALUE"""),TRUE)</f>
        <v>1</v>
      </c>
      <c r="K36" s="38" t="b">
        <f>IFERROR(__xludf.DUMMYFUNCTION("""COMPUTED_VALUE"""),FALSE)</f>
        <v>0</v>
      </c>
      <c r="L36" s="38" t="b">
        <f>IFERROR(__xludf.DUMMYFUNCTION("""COMPUTED_VALUE"""),FALSE)</f>
        <v>0</v>
      </c>
      <c r="Z36" s="38" t="str">
        <f t="shared" si="1"/>
        <v>#REF!</v>
      </c>
    </row>
    <row r="37">
      <c r="A37" s="38" t="str">
        <f>IFERROR(__xludf.DUMMYFUNCTION("""COMPUTED_VALUE"""),"Halberd")</f>
        <v>Halberd</v>
      </c>
      <c r="B37" s="41">
        <f>IFERROR(__xludf.DUMMYFUNCTION("""COMPUTED_VALUE"""),12.0)</f>
        <v>12</v>
      </c>
      <c r="C37" s="38" t="str">
        <f>IFERROR(__xludf.DUMMYFUNCTION("""COMPUTED_VALUE"""),"6 lb.")</f>
        <v>6 lb.</v>
      </c>
      <c r="D37" s="38" t="str">
        <f>IFERROR(__xludf.DUMMYFUNCTION("""COMPUTED_VALUE"""),"Weapon")</f>
        <v>Weapon</v>
      </c>
      <c r="E37" s="41">
        <f>IFERROR(__xludf.DUMMYFUNCTION("""COMPUTED_VALUE"""),7.4399999999999995)</f>
        <v>7.44</v>
      </c>
      <c r="F37" s="41">
        <f>IFERROR(__xludf.DUMMYFUNCTION("""COMPUTED_VALUE"""),6.0)</f>
        <v>6</v>
      </c>
      <c r="G37" s="41">
        <f>IFERROR(__xludf.DUMMYFUNCTION("""COMPUTED_VALUE"""),9.719999999999999)</f>
        <v>9.72</v>
      </c>
      <c r="H37" s="38"/>
      <c r="I37" s="41" t="b">
        <f>IFERROR(__xludf.DUMMYFUNCTION("""COMPUTED_VALUE"""),FALSE)</f>
        <v>0</v>
      </c>
      <c r="J37" s="41" t="b">
        <f>IFERROR(__xludf.DUMMYFUNCTION("""COMPUTED_VALUE"""),TRUE)</f>
        <v>1</v>
      </c>
      <c r="K37" s="38" t="b">
        <f>IFERROR(__xludf.DUMMYFUNCTION("""COMPUTED_VALUE"""),FALSE)</f>
        <v>0</v>
      </c>
      <c r="L37" s="38" t="b">
        <f>IFERROR(__xludf.DUMMYFUNCTION("""COMPUTED_VALUE"""),FALSE)</f>
        <v>0</v>
      </c>
      <c r="Z37" s="38" t="str">
        <f t="shared" si="1"/>
        <v>#REF!</v>
      </c>
    </row>
    <row r="38">
      <c r="A38" s="38" t="str">
        <f>IFERROR(__xludf.DUMMYFUNCTION("""COMPUTED_VALUE"""),"Handaxe")</f>
        <v>Handaxe</v>
      </c>
      <c r="B38" s="41">
        <f>IFERROR(__xludf.DUMMYFUNCTION("""COMPUTED_VALUE"""),3.0)</f>
        <v>3</v>
      </c>
      <c r="C38" s="38" t="str">
        <f>IFERROR(__xludf.DUMMYFUNCTION("""COMPUTED_VALUE"""),"2 lb.")</f>
        <v>2 lb.</v>
      </c>
      <c r="D38" s="38" t="str">
        <f>IFERROR(__xludf.DUMMYFUNCTION("""COMPUTED_VALUE"""),"Weapon")</f>
        <v>Weapon</v>
      </c>
      <c r="E38" s="41">
        <f>IFERROR(__xludf.DUMMYFUNCTION("""COMPUTED_VALUE"""),1.8599999999999999)</f>
        <v>1.86</v>
      </c>
      <c r="F38" s="41">
        <f>IFERROR(__xludf.DUMMYFUNCTION("""COMPUTED_VALUE"""),1.5)</f>
        <v>1.5</v>
      </c>
      <c r="G38" s="41">
        <f>IFERROR(__xludf.DUMMYFUNCTION("""COMPUTED_VALUE"""),2.4299999999999997)</f>
        <v>2.43</v>
      </c>
      <c r="H38" s="38"/>
      <c r="I38" s="41" t="b">
        <f>IFERROR(__xludf.DUMMYFUNCTION("""COMPUTED_VALUE"""),FALSE)</f>
        <v>0</v>
      </c>
      <c r="J38" s="41" t="b">
        <f>IFERROR(__xludf.DUMMYFUNCTION("""COMPUTED_VALUE"""),TRUE)</f>
        <v>1</v>
      </c>
      <c r="K38" s="38" t="b">
        <f>IFERROR(__xludf.DUMMYFUNCTION("""COMPUTED_VALUE"""),TRUE)</f>
        <v>1</v>
      </c>
      <c r="L38" s="38" t="b">
        <f>IFERROR(__xludf.DUMMYFUNCTION("""COMPUTED_VALUE"""),FALSE)</f>
        <v>0</v>
      </c>
      <c r="Z38" s="38" t="str">
        <f t="shared" si="1"/>
        <v>#REF!</v>
      </c>
    </row>
    <row r="39">
      <c r="A39" s="38" t="str">
        <f>IFERROR(__xludf.DUMMYFUNCTION("""COMPUTED_VALUE"""),"Javelin")</f>
        <v>Javelin</v>
      </c>
      <c r="B39" s="41">
        <f>IFERROR(__xludf.DUMMYFUNCTION("""COMPUTED_VALUE"""),0.3)</f>
        <v>0.3</v>
      </c>
      <c r="C39" s="38" t="str">
        <f>IFERROR(__xludf.DUMMYFUNCTION("""COMPUTED_VALUE"""),"2 lb.")</f>
        <v>2 lb.</v>
      </c>
      <c r="D39" s="38" t="str">
        <f>IFERROR(__xludf.DUMMYFUNCTION("""COMPUTED_VALUE"""),"Weapon")</f>
        <v>Weapon</v>
      </c>
      <c r="E39" s="41">
        <f>IFERROR(__xludf.DUMMYFUNCTION("""COMPUTED_VALUE"""),0.186)</f>
        <v>0.186</v>
      </c>
      <c r="F39" s="41">
        <f>IFERROR(__xludf.DUMMYFUNCTION("""COMPUTED_VALUE"""),0.15)</f>
        <v>0.15</v>
      </c>
      <c r="G39" s="41">
        <f>IFERROR(__xludf.DUMMYFUNCTION("""COMPUTED_VALUE"""),0.243)</f>
        <v>0.243</v>
      </c>
      <c r="H39" s="38"/>
      <c r="I39" s="41" t="b">
        <f>IFERROR(__xludf.DUMMYFUNCTION("""COMPUTED_VALUE"""),FALSE)</f>
        <v>0</v>
      </c>
      <c r="J39" s="41" t="b">
        <f>IFERROR(__xludf.DUMMYFUNCTION("""COMPUTED_VALUE"""),TRUE)</f>
        <v>1</v>
      </c>
      <c r="K39" s="38" t="b">
        <f>IFERROR(__xludf.DUMMYFUNCTION("""COMPUTED_VALUE"""),FALSE)</f>
        <v>0</v>
      </c>
      <c r="L39" s="38" t="b">
        <f>IFERROR(__xludf.DUMMYFUNCTION("""COMPUTED_VALUE"""),FALSE)</f>
        <v>0</v>
      </c>
      <c r="Z39" s="38" t="str">
        <f t="shared" si="1"/>
        <v>#REF!</v>
      </c>
    </row>
    <row r="40">
      <c r="A40" s="38" t="str">
        <f>IFERROR(__xludf.DUMMYFUNCTION("""COMPUTED_VALUE"""),"Lance")</f>
        <v>Lance</v>
      </c>
      <c r="B40" s="41">
        <f>IFERROR(__xludf.DUMMYFUNCTION("""COMPUTED_VALUE"""),6.0)</f>
        <v>6</v>
      </c>
      <c r="C40" s="38" t="str">
        <f>IFERROR(__xludf.DUMMYFUNCTION("""COMPUTED_VALUE"""),"6 lb.")</f>
        <v>6 lb.</v>
      </c>
      <c r="D40" s="38" t="str">
        <f>IFERROR(__xludf.DUMMYFUNCTION("""COMPUTED_VALUE"""),"Weapon")</f>
        <v>Weapon</v>
      </c>
      <c r="E40" s="41">
        <f>IFERROR(__xludf.DUMMYFUNCTION("""COMPUTED_VALUE"""),3.7199999999999998)</f>
        <v>3.72</v>
      </c>
      <c r="F40" s="41">
        <f>IFERROR(__xludf.DUMMYFUNCTION("""COMPUTED_VALUE"""),3.0)</f>
        <v>3</v>
      </c>
      <c r="G40" s="41">
        <f>IFERROR(__xludf.DUMMYFUNCTION("""COMPUTED_VALUE"""),4.859999999999999)</f>
        <v>4.86</v>
      </c>
      <c r="H40" s="38"/>
      <c r="I40" s="41" t="b">
        <f>IFERROR(__xludf.DUMMYFUNCTION("""COMPUTED_VALUE"""),FALSE)</f>
        <v>0</v>
      </c>
      <c r="J40" s="41" t="b">
        <f>IFERROR(__xludf.DUMMYFUNCTION("""COMPUTED_VALUE"""),TRUE)</f>
        <v>1</v>
      </c>
      <c r="K40" s="38" t="b">
        <f>IFERROR(__xludf.DUMMYFUNCTION("""COMPUTED_VALUE"""),FALSE)</f>
        <v>0</v>
      </c>
      <c r="L40" s="38" t="b">
        <f>IFERROR(__xludf.DUMMYFUNCTION("""COMPUTED_VALUE"""),FALSE)</f>
        <v>0</v>
      </c>
      <c r="Z40" s="38" t="str">
        <f t="shared" si="1"/>
        <v>#REF!</v>
      </c>
    </row>
    <row r="41">
      <c r="A41" s="38" t="str">
        <f>IFERROR(__xludf.DUMMYFUNCTION("""COMPUTED_VALUE"""),"Light Hammer")</f>
        <v>Light Hammer</v>
      </c>
      <c r="B41" s="41">
        <f>IFERROR(__xludf.DUMMYFUNCTION("""COMPUTED_VALUE"""),1.2)</f>
        <v>1.2</v>
      </c>
      <c r="C41" s="38" t="str">
        <f>IFERROR(__xludf.DUMMYFUNCTION("""COMPUTED_VALUE"""),"2 lb.")</f>
        <v>2 lb.</v>
      </c>
      <c r="D41" s="38" t="str">
        <f>IFERROR(__xludf.DUMMYFUNCTION("""COMPUTED_VALUE"""),"Weapon")</f>
        <v>Weapon</v>
      </c>
      <c r="E41" s="41">
        <f>IFERROR(__xludf.DUMMYFUNCTION("""COMPUTED_VALUE"""),0.744)</f>
        <v>0.744</v>
      </c>
      <c r="F41" s="41">
        <f>IFERROR(__xludf.DUMMYFUNCTION("""COMPUTED_VALUE"""),0.6)</f>
        <v>0.6</v>
      </c>
      <c r="G41" s="41">
        <f>IFERROR(__xludf.DUMMYFUNCTION("""COMPUTED_VALUE"""),0.972)</f>
        <v>0.972</v>
      </c>
      <c r="H41" s="38"/>
      <c r="I41" s="41" t="b">
        <f>IFERROR(__xludf.DUMMYFUNCTION("""COMPUTED_VALUE"""),FALSE)</f>
        <v>0</v>
      </c>
      <c r="J41" s="41" t="b">
        <f>IFERROR(__xludf.DUMMYFUNCTION("""COMPUTED_VALUE"""),TRUE)</f>
        <v>1</v>
      </c>
      <c r="K41" s="38" t="b">
        <f>IFERROR(__xludf.DUMMYFUNCTION("""COMPUTED_VALUE"""),FALSE)</f>
        <v>0</v>
      </c>
      <c r="L41" s="38" t="b">
        <f>IFERROR(__xludf.DUMMYFUNCTION("""COMPUTED_VALUE"""),FALSE)</f>
        <v>0</v>
      </c>
      <c r="Z41" s="38" t="str">
        <f t="shared" si="1"/>
        <v>#REF!</v>
      </c>
    </row>
    <row r="42">
      <c r="A42" s="38" t="str">
        <f>IFERROR(__xludf.DUMMYFUNCTION("""COMPUTED_VALUE"""),"Longsword")</f>
        <v>Longsword</v>
      </c>
      <c r="B42" s="41">
        <f>IFERROR(__xludf.DUMMYFUNCTION("""COMPUTED_VALUE"""),9.0)</f>
        <v>9</v>
      </c>
      <c r="C42" s="38" t="str">
        <f>IFERROR(__xludf.DUMMYFUNCTION("""COMPUTED_VALUE"""),"3 lb.")</f>
        <v>3 lb.</v>
      </c>
      <c r="D42" s="38" t="str">
        <f>IFERROR(__xludf.DUMMYFUNCTION("""COMPUTED_VALUE"""),"Weapon")</f>
        <v>Weapon</v>
      </c>
      <c r="E42" s="41">
        <f>IFERROR(__xludf.DUMMYFUNCTION("""COMPUTED_VALUE"""),5.58)</f>
        <v>5.58</v>
      </c>
      <c r="F42" s="41">
        <f>IFERROR(__xludf.DUMMYFUNCTION("""COMPUTED_VALUE"""),4.5)</f>
        <v>4.5</v>
      </c>
      <c r="G42" s="41">
        <f>IFERROR(__xludf.DUMMYFUNCTION("""COMPUTED_VALUE"""),7.29)</f>
        <v>7.29</v>
      </c>
      <c r="H42" s="38"/>
      <c r="I42" s="41" t="b">
        <f>IFERROR(__xludf.DUMMYFUNCTION("""COMPUTED_VALUE"""),FALSE)</f>
        <v>0</v>
      </c>
      <c r="J42" s="41" t="b">
        <f>IFERROR(__xludf.DUMMYFUNCTION("""COMPUTED_VALUE"""),TRUE)</f>
        <v>1</v>
      </c>
      <c r="K42" s="38" t="b">
        <f>IFERROR(__xludf.DUMMYFUNCTION("""COMPUTED_VALUE"""),FALSE)</f>
        <v>0</v>
      </c>
      <c r="L42" s="38" t="b">
        <f>IFERROR(__xludf.DUMMYFUNCTION("""COMPUTED_VALUE"""),FALSE)</f>
        <v>0</v>
      </c>
      <c r="Z42" s="38" t="str">
        <f t="shared" si="1"/>
        <v>#REF!</v>
      </c>
    </row>
    <row r="43">
      <c r="A43" s="38" t="str">
        <f>IFERROR(__xludf.DUMMYFUNCTION("""COMPUTED_VALUE"""),"Mace")</f>
        <v>Mace</v>
      </c>
      <c r="B43" s="41">
        <f>IFERROR(__xludf.DUMMYFUNCTION("""COMPUTED_VALUE"""),3.0)</f>
        <v>3</v>
      </c>
      <c r="C43" s="38" t="str">
        <f>IFERROR(__xludf.DUMMYFUNCTION("""COMPUTED_VALUE"""),"4 lb.")</f>
        <v>4 lb.</v>
      </c>
      <c r="D43" s="38" t="str">
        <f>IFERROR(__xludf.DUMMYFUNCTION("""COMPUTED_VALUE"""),"Weapon")</f>
        <v>Weapon</v>
      </c>
      <c r="E43" s="41">
        <f>IFERROR(__xludf.DUMMYFUNCTION("""COMPUTED_VALUE"""),1.8599999999999999)</f>
        <v>1.86</v>
      </c>
      <c r="F43" s="41">
        <f>IFERROR(__xludf.DUMMYFUNCTION("""COMPUTED_VALUE"""),1.5)</f>
        <v>1.5</v>
      </c>
      <c r="G43" s="41">
        <f>IFERROR(__xludf.DUMMYFUNCTION("""COMPUTED_VALUE"""),2.4299999999999997)</f>
        <v>2.43</v>
      </c>
      <c r="H43" s="38"/>
      <c r="I43" s="41" t="b">
        <f>IFERROR(__xludf.DUMMYFUNCTION("""COMPUTED_VALUE"""),FALSE)</f>
        <v>0</v>
      </c>
      <c r="J43" s="41" t="b">
        <f>IFERROR(__xludf.DUMMYFUNCTION("""COMPUTED_VALUE"""),TRUE)</f>
        <v>1</v>
      </c>
      <c r="K43" s="38" t="b">
        <f>IFERROR(__xludf.DUMMYFUNCTION("""COMPUTED_VALUE"""),FALSE)</f>
        <v>0</v>
      </c>
      <c r="L43" s="38" t="b">
        <f>IFERROR(__xludf.DUMMYFUNCTION("""COMPUTED_VALUE"""),FALSE)</f>
        <v>0</v>
      </c>
      <c r="Z43" s="38" t="str">
        <f t="shared" si="1"/>
        <v>#REF!</v>
      </c>
    </row>
    <row r="44">
      <c r="A44" s="38" t="str">
        <f>IFERROR(__xludf.DUMMYFUNCTION("""COMPUTED_VALUE"""),"Maul")</f>
        <v>Maul</v>
      </c>
      <c r="B44" s="41">
        <f>IFERROR(__xludf.DUMMYFUNCTION("""COMPUTED_VALUE"""),6.0)</f>
        <v>6</v>
      </c>
      <c r="C44" s="38" t="str">
        <f>IFERROR(__xludf.DUMMYFUNCTION("""COMPUTED_VALUE"""),"10 lb.")</f>
        <v>10 lb.</v>
      </c>
      <c r="D44" s="38" t="str">
        <f>IFERROR(__xludf.DUMMYFUNCTION("""COMPUTED_VALUE"""),"Weapon")</f>
        <v>Weapon</v>
      </c>
      <c r="E44" s="41">
        <f>IFERROR(__xludf.DUMMYFUNCTION("""COMPUTED_VALUE"""),3.7199999999999998)</f>
        <v>3.72</v>
      </c>
      <c r="F44" s="41">
        <f>IFERROR(__xludf.DUMMYFUNCTION("""COMPUTED_VALUE"""),3.0)</f>
        <v>3</v>
      </c>
      <c r="G44" s="41">
        <f>IFERROR(__xludf.DUMMYFUNCTION("""COMPUTED_VALUE"""),4.859999999999999)</f>
        <v>4.86</v>
      </c>
      <c r="H44" s="38"/>
      <c r="I44" s="41" t="b">
        <f>IFERROR(__xludf.DUMMYFUNCTION("""COMPUTED_VALUE"""),FALSE)</f>
        <v>0</v>
      </c>
      <c r="J44" s="41" t="b">
        <f>IFERROR(__xludf.DUMMYFUNCTION("""COMPUTED_VALUE"""),TRUE)</f>
        <v>1</v>
      </c>
      <c r="K44" s="38" t="b">
        <f>IFERROR(__xludf.DUMMYFUNCTION("""COMPUTED_VALUE"""),FALSE)</f>
        <v>0</v>
      </c>
      <c r="L44" s="38" t="b">
        <f>IFERROR(__xludf.DUMMYFUNCTION("""COMPUTED_VALUE"""),FALSE)</f>
        <v>0</v>
      </c>
      <c r="Z44" s="38" t="str">
        <f t="shared" si="1"/>
        <v>#REF!</v>
      </c>
    </row>
    <row r="45">
      <c r="A45" s="38" t="str">
        <f>IFERROR(__xludf.DUMMYFUNCTION("""COMPUTED_VALUE"""),"Morningstar")</f>
        <v>Morningstar</v>
      </c>
      <c r="B45" s="41">
        <f>IFERROR(__xludf.DUMMYFUNCTION("""COMPUTED_VALUE"""),9.0)</f>
        <v>9</v>
      </c>
      <c r="C45" s="38" t="str">
        <f>IFERROR(__xludf.DUMMYFUNCTION("""COMPUTED_VALUE"""),"4 lb.")</f>
        <v>4 lb.</v>
      </c>
      <c r="D45" s="38" t="str">
        <f>IFERROR(__xludf.DUMMYFUNCTION("""COMPUTED_VALUE"""),"Weapon")</f>
        <v>Weapon</v>
      </c>
      <c r="E45" s="41">
        <f>IFERROR(__xludf.DUMMYFUNCTION("""COMPUTED_VALUE"""),5.58)</f>
        <v>5.58</v>
      </c>
      <c r="F45" s="41">
        <f>IFERROR(__xludf.DUMMYFUNCTION("""COMPUTED_VALUE"""),4.5)</f>
        <v>4.5</v>
      </c>
      <c r="G45" s="41">
        <f>IFERROR(__xludf.DUMMYFUNCTION("""COMPUTED_VALUE"""),7.29)</f>
        <v>7.29</v>
      </c>
      <c r="H45" s="38"/>
      <c r="I45" s="41" t="b">
        <f>IFERROR(__xludf.DUMMYFUNCTION("""COMPUTED_VALUE"""),FALSE)</f>
        <v>0</v>
      </c>
      <c r="J45" s="41" t="b">
        <f>IFERROR(__xludf.DUMMYFUNCTION("""COMPUTED_VALUE"""),TRUE)</f>
        <v>1</v>
      </c>
      <c r="K45" s="38" t="b">
        <f>IFERROR(__xludf.DUMMYFUNCTION("""COMPUTED_VALUE"""),FALSE)</f>
        <v>0</v>
      </c>
      <c r="L45" s="38" t="b">
        <f>IFERROR(__xludf.DUMMYFUNCTION("""COMPUTED_VALUE"""),FALSE)</f>
        <v>0</v>
      </c>
      <c r="Z45" s="38" t="str">
        <f t="shared" si="1"/>
        <v>#REF!</v>
      </c>
    </row>
    <row r="46">
      <c r="A46" s="38" t="str">
        <f>IFERROR(__xludf.DUMMYFUNCTION("""COMPUTED_VALUE"""),"Pike")</f>
        <v>Pike</v>
      </c>
      <c r="B46" s="41">
        <f>IFERROR(__xludf.DUMMYFUNCTION("""COMPUTED_VALUE"""),3.0)</f>
        <v>3</v>
      </c>
      <c r="C46" s="38" t="str">
        <f>IFERROR(__xludf.DUMMYFUNCTION("""COMPUTED_VALUE"""),"18 lb.")</f>
        <v>18 lb.</v>
      </c>
      <c r="D46" s="38" t="str">
        <f>IFERROR(__xludf.DUMMYFUNCTION("""COMPUTED_VALUE"""),"Weapon")</f>
        <v>Weapon</v>
      </c>
      <c r="E46" s="41">
        <f>IFERROR(__xludf.DUMMYFUNCTION("""COMPUTED_VALUE"""),1.8599999999999999)</f>
        <v>1.86</v>
      </c>
      <c r="F46" s="41">
        <f>IFERROR(__xludf.DUMMYFUNCTION("""COMPUTED_VALUE"""),1.5)</f>
        <v>1.5</v>
      </c>
      <c r="G46" s="41">
        <f>IFERROR(__xludf.DUMMYFUNCTION("""COMPUTED_VALUE"""),2.4299999999999997)</f>
        <v>2.43</v>
      </c>
      <c r="H46" s="38"/>
      <c r="I46" s="41" t="b">
        <f>IFERROR(__xludf.DUMMYFUNCTION("""COMPUTED_VALUE"""),FALSE)</f>
        <v>0</v>
      </c>
      <c r="J46" s="41" t="b">
        <f>IFERROR(__xludf.DUMMYFUNCTION("""COMPUTED_VALUE"""),TRUE)</f>
        <v>1</v>
      </c>
      <c r="K46" s="38" t="b">
        <f>IFERROR(__xludf.DUMMYFUNCTION("""COMPUTED_VALUE"""),FALSE)</f>
        <v>0</v>
      </c>
      <c r="L46" s="38" t="b">
        <f>IFERROR(__xludf.DUMMYFUNCTION("""COMPUTED_VALUE"""),FALSE)</f>
        <v>0</v>
      </c>
      <c r="Z46" s="38" t="str">
        <f t="shared" si="1"/>
        <v>#REF!</v>
      </c>
    </row>
    <row r="47">
      <c r="A47" s="38" t="str">
        <f>IFERROR(__xludf.DUMMYFUNCTION("""COMPUTED_VALUE"""),"Rapier")</f>
        <v>Rapier</v>
      </c>
      <c r="B47" s="41">
        <f>IFERROR(__xludf.DUMMYFUNCTION("""COMPUTED_VALUE"""),15.0)</f>
        <v>15</v>
      </c>
      <c r="C47" s="38" t="str">
        <f>IFERROR(__xludf.DUMMYFUNCTION("""COMPUTED_VALUE"""),"2 lb.")</f>
        <v>2 lb.</v>
      </c>
      <c r="D47" s="38" t="str">
        <f>IFERROR(__xludf.DUMMYFUNCTION("""COMPUTED_VALUE"""),"Weapon")</f>
        <v>Weapon</v>
      </c>
      <c r="E47" s="41">
        <f>IFERROR(__xludf.DUMMYFUNCTION("""COMPUTED_VALUE"""),9.3)</f>
        <v>9.3</v>
      </c>
      <c r="F47" s="41">
        <f>IFERROR(__xludf.DUMMYFUNCTION("""COMPUTED_VALUE"""),7.5)</f>
        <v>7.5</v>
      </c>
      <c r="G47" s="41">
        <f>IFERROR(__xludf.DUMMYFUNCTION("""COMPUTED_VALUE"""),12.15)</f>
        <v>12.15</v>
      </c>
      <c r="H47" s="38"/>
      <c r="I47" s="41" t="b">
        <f>IFERROR(__xludf.DUMMYFUNCTION("""COMPUTED_VALUE"""),FALSE)</f>
        <v>0</v>
      </c>
      <c r="J47" s="41" t="b">
        <f>IFERROR(__xludf.DUMMYFUNCTION("""COMPUTED_VALUE"""),TRUE)</f>
        <v>1</v>
      </c>
      <c r="K47" s="38" t="b">
        <f>IFERROR(__xludf.DUMMYFUNCTION("""COMPUTED_VALUE"""),FALSE)</f>
        <v>0</v>
      </c>
      <c r="L47" s="38" t="b">
        <f>IFERROR(__xludf.DUMMYFUNCTION("""COMPUTED_VALUE"""),FALSE)</f>
        <v>0</v>
      </c>
      <c r="Z47" s="38" t="str">
        <f t="shared" si="1"/>
        <v>#REF!</v>
      </c>
    </row>
    <row r="48">
      <c r="A48" s="38" t="str">
        <f>IFERROR(__xludf.DUMMYFUNCTION("""COMPUTED_VALUE"""),"Scimitar")</f>
        <v>Scimitar</v>
      </c>
      <c r="B48" s="41">
        <f>IFERROR(__xludf.DUMMYFUNCTION("""COMPUTED_VALUE"""),15.0)</f>
        <v>15</v>
      </c>
      <c r="C48" s="38" t="str">
        <f>IFERROR(__xludf.DUMMYFUNCTION("""COMPUTED_VALUE"""),"3 lb.")</f>
        <v>3 lb.</v>
      </c>
      <c r="D48" s="38" t="str">
        <f>IFERROR(__xludf.DUMMYFUNCTION("""COMPUTED_VALUE"""),"Weapon")</f>
        <v>Weapon</v>
      </c>
      <c r="E48" s="41">
        <f>IFERROR(__xludf.DUMMYFUNCTION("""COMPUTED_VALUE"""),9.3)</f>
        <v>9.3</v>
      </c>
      <c r="F48" s="41">
        <f>IFERROR(__xludf.DUMMYFUNCTION("""COMPUTED_VALUE"""),7.5)</f>
        <v>7.5</v>
      </c>
      <c r="G48" s="41">
        <f>IFERROR(__xludf.DUMMYFUNCTION("""COMPUTED_VALUE"""),12.15)</f>
        <v>12.15</v>
      </c>
      <c r="H48" s="38"/>
      <c r="I48" s="41" t="b">
        <f>IFERROR(__xludf.DUMMYFUNCTION("""COMPUTED_VALUE"""),FALSE)</f>
        <v>0</v>
      </c>
      <c r="J48" s="41" t="b">
        <f>IFERROR(__xludf.DUMMYFUNCTION("""COMPUTED_VALUE"""),TRUE)</f>
        <v>1</v>
      </c>
      <c r="K48" s="38" t="b">
        <f>IFERROR(__xludf.DUMMYFUNCTION("""COMPUTED_VALUE"""),FALSE)</f>
        <v>0</v>
      </c>
      <c r="L48" s="38" t="b">
        <f>IFERROR(__xludf.DUMMYFUNCTION("""COMPUTED_VALUE"""),FALSE)</f>
        <v>0</v>
      </c>
      <c r="Z48" s="38" t="str">
        <f t="shared" si="1"/>
        <v>#REF!</v>
      </c>
    </row>
    <row r="49">
      <c r="A49" s="38" t="str">
        <f>IFERROR(__xludf.DUMMYFUNCTION("""COMPUTED_VALUE"""),"Shortsword")</f>
        <v>Shortsword</v>
      </c>
      <c r="B49" s="41">
        <f>IFERROR(__xludf.DUMMYFUNCTION("""COMPUTED_VALUE"""),6.0)</f>
        <v>6</v>
      </c>
      <c r="C49" s="38" t="str">
        <f>IFERROR(__xludf.DUMMYFUNCTION("""COMPUTED_VALUE"""),"2 lb.")</f>
        <v>2 lb.</v>
      </c>
      <c r="D49" s="38" t="str">
        <f>IFERROR(__xludf.DUMMYFUNCTION("""COMPUTED_VALUE"""),"Weapon")</f>
        <v>Weapon</v>
      </c>
      <c r="E49" s="41">
        <f>IFERROR(__xludf.DUMMYFUNCTION("""COMPUTED_VALUE"""),3.7199999999999998)</f>
        <v>3.72</v>
      </c>
      <c r="F49" s="41">
        <f>IFERROR(__xludf.DUMMYFUNCTION("""COMPUTED_VALUE"""),3.0)</f>
        <v>3</v>
      </c>
      <c r="G49" s="41">
        <f>IFERROR(__xludf.DUMMYFUNCTION("""COMPUTED_VALUE"""),4.859999999999999)</f>
        <v>4.86</v>
      </c>
      <c r="H49" s="38"/>
      <c r="I49" s="41" t="b">
        <f>IFERROR(__xludf.DUMMYFUNCTION("""COMPUTED_VALUE"""),FALSE)</f>
        <v>0</v>
      </c>
      <c r="J49" s="41" t="b">
        <f>IFERROR(__xludf.DUMMYFUNCTION("""COMPUTED_VALUE"""),TRUE)</f>
        <v>1</v>
      </c>
      <c r="K49" s="38" t="b">
        <f>IFERROR(__xludf.DUMMYFUNCTION("""COMPUTED_VALUE"""),FALSE)</f>
        <v>0</v>
      </c>
      <c r="L49" s="38" t="b">
        <f>IFERROR(__xludf.DUMMYFUNCTION("""COMPUTED_VALUE"""),FALSE)</f>
        <v>0</v>
      </c>
      <c r="Z49" s="38" t="str">
        <f t="shared" si="1"/>
        <v>#REF!</v>
      </c>
    </row>
    <row r="50">
      <c r="A50" s="38" t="str">
        <f>IFERROR(__xludf.DUMMYFUNCTION("""COMPUTED_VALUE"""),"Sickle")</f>
        <v>Sickle</v>
      </c>
      <c r="B50" s="41">
        <f>IFERROR(__xludf.DUMMYFUNCTION("""COMPUTED_VALUE"""),0.6)</f>
        <v>0.6</v>
      </c>
      <c r="C50" s="38" t="str">
        <f>IFERROR(__xludf.DUMMYFUNCTION("""COMPUTED_VALUE"""),"2 lb.")</f>
        <v>2 lb.</v>
      </c>
      <c r="D50" s="38" t="str">
        <f>IFERROR(__xludf.DUMMYFUNCTION("""COMPUTED_VALUE"""),"Weapon")</f>
        <v>Weapon</v>
      </c>
      <c r="E50" s="41">
        <f>IFERROR(__xludf.DUMMYFUNCTION("""COMPUTED_VALUE"""),0.372)</f>
        <v>0.372</v>
      </c>
      <c r="F50" s="41">
        <f>IFERROR(__xludf.DUMMYFUNCTION("""COMPUTED_VALUE"""),0.3)</f>
        <v>0.3</v>
      </c>
      <c r="G50" s="41">
        <f>IFERROR(__xludf.DUMMYFUNCTION("""COMPUTED_VALUE"""),0.486)</f>
        <v>0.486</v>
      </c>
      <c r="H50" s="38"/>
      <c r="I50" s="41" t="b">
        <f>IFERROR(__xludf.DUMMYFUNCTION("""COMPUTED_VALUE"""),FALSE)</f>
        <v>0</v>
      </c>
      <c r="J50" s="41" t="b">
        <f>IFERROR(__xludf.DUMMYFUNCTION("""COMPUTED_VALUE"""),TRUE)</f>
        <v>1</v>
      </c>
      <c r="K50" s="38" t="b">
        <f>IFERROR(__xludf.DUMMYFUNCTION("""COMPUTED_VALUE"""),TRUE)</f>
        <v>1</v>
      </c>
      <c r="L50" s="38" t="b">
        <f>IFERROR(__xludf.DUMMYFUNCTION("""COMPUTED_VALUE"""),TRUE)</f>
        <v>1</v>
      </c>
      <c r="Z50" s="38" t="str">
        <f t="shared" si="1"/>
        <v>#REF!</v>
      </c>
    </row>
    <row r="51">
      <c r="A51" s="38" t="str">
        <f>IFERROR(__xludf.DUMMYFUNCTION("""COMPUTED_VALUE"""),"Spear")</f>
        <v>Spear</v>
      </c>
      <c r="B51" s="41">
        <f>IFERROR(__xludf.DUMMYFUNCTION("""COMPUTED_VALUE"""),0.6)</f>
        <v>0.6</v>
      </c>
      <c r="C51" s="38" t="str">
        <f>IFERROR(__xludf.DUMMYFUNCTION("""COMPUTED_VALUE"""),"3 lb.")</f>
        <v>3 lb.</v>
      </c>
      <c r="D51" s="38" t="str">
        <f>IFERROR(__xludf.DUMMYFUNCTION("""COMPUTED_VALUE"""),"Weapon")</f>
        <v>Weapon</v>
      </c>
      <c r="E51" s="41">
        <f>IFERROR(__xludf.DUMMYFUNCTION("""COMPUTED_VALUE"""),0.372)</f>
        <v>0.372</v>
      </c>
      <c r="F51" s="41">
        <f>IFERROR(__xludf.DUMMYFUNCTION("""COMPUTED_VALUE"""),0.3)</f>
        <v>0.3</v>
      </c>
      <c r="G51" s="41">
        <f>IFERROR(__xludf.DUMMYFUNCTION("""COMPUTED_VALUE"""),0.486)</f>
        <v>0.486</v>
      </c>
      <c r="H51" s="38"/>
      <c r="I51" s="41" t="b">
        <f>IFERROR(__xludf.DUMMYFUNCTION("""COMPUTED_VALUE"""),FALSE)</f>
        <v>0</v>
      </c>
      <c r="J51" s="41" t="b">
        <f>IFERROR(__xludf.DUMMYFUNCTION("""COMPUTED_VALUE"""),TRUE)</f>
        <v>1</v>
      </c>
      <c r="K51" s="38" t="b">
        <f>IFERROR(__xludf.DUMMYFUNCTION("""COMPUTED_VALUE"""),FALSE)</f>
        <v>0</v>
      </c>
      <c r="L51" s="38" t="b">
        <f>IFERROR(__xludf.DUMMYFUNCTION("""COMPUTED_VALUE"""),FALSE)</f>
        <v>0</v>
      </c>
      <c r="Z51" s="38" t="str">
        <f t="shared" si="1"/>
        <v>#REF!</v>
      </c>
    </row>
    <row r="52">
      <c r="A52" s="38" t="str">
        <f>IFERROR(__xludf.DUMMYFUNCTION("""COMPUTED_VALUE"""),"Trident")</f>
        <v>Trident</v>
      </c>
      <c r="B52" s="41">
        <f>IFERROR(__xludf.DUMMYFUNCTION("""COMPUTED_VALUE"""),3.0)</f>
        <v>3</v>
      </c>
      <c r="C52" s="38" t="str">
        <f>IFERROR(__xludf.DUMMYFUNCTION("""COMPUTED_VALUE"""),"4 lb.")</f>
        <v>4 lb.</v>
      </c>
      <c r="D52" s="38" t="str">
        <f>IFERROR(__xludf.DUMMYFUNCTION("""COMPUTED_VALUE"""),"Weapon")</f>
        <v>Weapon</v>
      </c>
      <c r="E52" s="41">
        <f>IFERROR(__xludf.DUMMYFUNCTION("""COMPUTED_VALUE"""),1.8599999999999999)</f>
        <v>1.86</v>
      </c>
      <c r="F52" s="41">
        <f>IFERROR(__xludf.DUMMYFUNCTION("""COMPUTED_VALUE"""),1.5)</f>
        <v>1.5</v>
      </c>
      <c r="G52" s="41">
        <f>IFERROR(__xludf.DUMMYFUNCTION("""COMPUTED_VALUE"""),2.4299999999999997)</f>
        <v>2.43</v>
      </c>
      <c r="H52" s="38"/>
      <c r="I52" s="41" t="b">
        <f>IFERROR(__xludf.DUMMYFUNCTION("""COMPUTED_VALUE"""),FALSE)</f>
        <v>0</v>
      </c>
      <c r="J52" s="41" t="b">
        <f>IFERROR(__xludf.DUMMYFUNCTION("""COMPUTED_VALUE"""),TRUE)</f>
        <v>1</v>
      </c>
      <c r="K52" s="38" t="b">
        <f>IFERROR(__xludf.DUMMYFUNCTION("""COMPUTED_VALUE"""),FALSE)</f>
        <v>0</v>
      </c>
      <c r="L52" s="38" t="b">
        <f>IFERROR(__xludf.DUMMYFUNCTION("""COMPUTED_VALUE"""),FALSE)</f>
        <v>0</v>
      </c>
      <c r="Z52" s="38" t="str">
        <f t="shared" si="1"/>
        <v>#REF!</v>
      </c>
    </row>
    <row r="53">
      <c r="A53" s="38" t="str">
        <f>IFERROR(__xludf.DUMMYFUNCTION("""COMPUTED_VALUE"""),"War Pick")</f>
        <v>War Pick</v>
      </c>
      <c r="B53" s="41">
        <f>IFERROR(__xludf.DUMMYFUNCTION("""COMPUTED_VALUE"""),3.0)</f>
        <v>3</v>
      </c>
      <c r="C53" s="38" t="str">
        <f>IFERROR(__xludf.DUMMYFUNCTION("""COMPUTED_VALUE"""),"2 lb.")</f>
        <v>2 lb.</v>
      </c>
      <c r="D53" s="38" t="str">
        <f>IFERROR(__xludf.DUMMYFUNCTION("""COMPUTED_VALUE"""),"Weapon")</f>
        <v>Weapon</v>
      </c>
      <c r="E53" s="41">
        <f>IFERROR(__xludf.DUMMYFUNCTION("""COMPUTED_VALUE"""),1.8599999999999999)</f>
        <v>1.86</v>
      </c>
      <c r="F53" s="41">
        <f>IFERROR(__xludf.DUMMYFUNCTION("""COMPUTED_VALUE"""),1.5)</f>
        <v>1.5</v>
      </c>
      <c r="G53" s="41">
        <f>IFERROR(__xludf.DUMMYFUNCTION("""COMPUTED_VALUE"""),2.4299999999999997)</f>
        <v>2.43</v>
      </c>
      <c r="H53" s="38"/>
      <c r="I53" s="41" t="b">
        <f>IFERROR(__xludf.DUMMYFUNCTION("""COMPUTED_VALUE"""),FALSE)</f>
        <v>0</v>
      </c>
      <c r="J53" s="41" t="b">
        <f>IFERROR(__xludf.DUMMYFUNCTION("""COMPUTED_VALUE"""),TRUE)</f>
        <v>1</v>
      </c>
      <c r="K53" s="38" t="b">
        <f>IFERROR(__xludf.DUMMYFUNCTION("""COMPUTED_VALUE"""),FALSE)</f>
        <v>0</v>
      </c>
      <c r="L53" s="38" t="b">
        <f>IFERROR(__xludf.DUMMYFUNCTION("""COMPUTED_VALUE"""),FALSE)</f>
        <v>0</v>
      </c>
      <c r="Z53" s="38" t="str">
        <f t="shared" si="1"/>
        <v>#REF!</v>
      </c>
    </row>
    <row r="54">
      <c r="A54" s="38" t="str">
        <f>IFERROR(__xludf.DUMMYFUNCTION("""COMPUTED_VALUE"""),"Warhammer")</f>
        <v>Warhammer</v>
      </c>
      <c r="B54" s="41">
        <f>IFERROR(__xludf.DUMMYFUNCTION("""COMPUTED_VALUE"""),9.0)</f>
        <v>9</v>
      </c>
      <c r="C54" s="38" t="str">
        <f>IFERROR(__xludf.DUMMYFUNCTION("""COMPUTED_VALUE"""),"2 lb.")</f>
        <v>2 lb.</v>
      </c>
      <c r="D54" s="38" t="str">
        <f>IFERROR(__xludf.DUMMYFUNCTION("""COMPUTED_VALUE"""),"Weapon")</f>
        <v>Weapon</v>
      </c>
      <c r="E54" s="41">
        <f>IFERROR(__xludf.DUMMYFUNCTION("""COMPUTED_VALUE"""),5.58)</f>
        <v>5.58</v>
      </c>
      <c r="F54" s="41">
        <f>IFERROR(__xludf.DUMMYFUNCTION("""COMPUTED_VALUE"""),4.5)</f>
        <v>4.5</v>
      </c>
      <c r="G54" s="41">
        <f>IFERROR(__xludf.DUMMYFUNCTION("""COMPUTED_VALUE"""),7.29)</f>
        <v>7.29</v>
      </c>
      <c r="H54" s="38"/>
      <c r="I54" s="41" t="b">
        <f>IFERROR(__xludf.DUMMYFUNCTION("""COMPUTED_VALUE"""),FALSE)</f>
        <v>0</v>
      </c>
      <c r="J54" s="41" t="b">
        <f>IFERROR(__xludf.DUMMYFUNCTION("""COMPUTED_VALUE"""),TRUE)</f>
        <v>1</v>
      </c>
      <c r="K54" s="38" t="b">
        <f>IFERROR(__xludf.DUMMYFUNCTION("""COMPUTED_VALUE"""),FALSE)</f>
        <v>0</v>
      </c>
      <c r="L54" s="38" t="b">
        <f>IFERROR(__xludf.DUMMYFUNCTION("""COMPUTED_VALUE"""),FALSE)</f>
        <v>0</v>
      </c>
      <c r="Z54" s="38" t="str">
        <f t="shared" si="1"/>
        <v>#REF!</v>
      </c>
    </row>
    <row r="55">
      <c r="A55" s="38" t="str">
        <f>IFERROR(__xludf.DUMMYFUNCTION("""COMPUTED_VALUE"""),"Cook’s Utensils")</f>
        <v>Cook’s Utensils</v>
      </c>
      <c r="B55" s="41">
        <f>IFERROR(__xludf.DUMMYFUNCTION("""COMPUTED_VALUE"""),1.5)</f>
        <v>1.5</v>
      </c>
      <c r="C55" s="38" t="str">
        <f>IFERROR(__xludf.DUMMYFUNCTION("""COMPUTED_VALUE"""),"8 lb.")</f>
        <v>8 lb.</v>
      </c>
      <c r="D55" s="38" t="str">
        <f>IFERROR(__xludf.DUMMYFUNCTION("""COMPUTED_VALUE"""),"Tool")</f>
        <v>Tool</v>
      </c>
      <c r="E55" s="41">
        <f>IFERROR(__xludf.DUMMYFUNCTION("""COMPUTED_VALUE"""),0.9299999999999999)</f>
        <v>0.93</v>
      </c>
      <c r="F55" s="41">
        <f>IFERROR(__xludf.DUMMYFUNCTION("""COMPUTED_VALUE"""),0.75)</f>
        <v>0.75</v>
      </c>
      <c r="G55" s="41">
        <f>IFERROR(__xludf.DUMMYFUNCTION("""COMPUTED_VALUE"""),1.2149999999999999)</f>
        <v>1.215</v>
      </c>
      <c r="H55" s="38" t="str">
        <f>IFERROR(__xludf.DUMMYFUNCTION("""COMPUTED_VALUE"""),"This kit includes the basic items needed by those proficient in cooking to pursue their craft.")</f>
        <v>This kit includes the basic items needed by those proficient in cooking to pursue their craft.</v>
      </c>
      <c r="I55" s="38" t="b">
        <f>IFERROR(__xludf.DUMMYFUNCTION("""COMPUTED_VALUE"""),FALSE)</f>
        <v>0</v>
      </c>
      <c r="J55" s="38" t="b">
        <f>IFERROR(__xludf.DUMMYFUNCTION("""COMPUTED_VALUE"""),TRUE)</f>
        <v>1</v>
      </c>
      <c r="K55" s="38" t="b">
        <f>IFERROR(__xludf.DUMMYFUNCTION("""COMPUTED_VALUE"""),FALSE)</f>
        <v>0</v>
      </c>
      <c r="L55" s="38" t="b">
        <f>IFERROR(__xludf.DUMMYFUNCTION("""COMPUTED_VALUE"""),FALSE)</f>
        <v>0</v>
      </c>
      <c r="Z55" s="38" t="str">
        <f t="shared" si="1"/>
        <v>#REF!</v>
      </c>
    </row>
    <row r="56">
      <c r="A56" s="38" t="str">
        <f>IFERROR(__xludf.DUMMYFUNCTION("""COMPUTED_VALUE"""),"Leatherworker’s Tools")</f>
        <v>Leatherworker’s Tools</v>
      </c>
      <c r="B56" s="41">
        <f>IFERROR(__xludf.DUMMYFUNCTION("""COMPUTED_VALUE"""),7.5)</f>
        <v>7.5</v>
      </c>
      <c r="C56" s="38" t="str">
        <f>IFERROR(__xludf.DUMMYFUNCTION("""COMPUTED_VALUE"""),"5 lb.")</f>
        <v>5 lb.</v>
      </c>
      <c r="D56" s="38" t="str">
        <f>IFERROR(__xludf.DUMMYFUNCTION("""COMPUTED_VALUE"""),"Tool")</f>
        <v>Tool</v>
      </c>
      <c r="E56" s="41">
        <f>IFERROR(__xludf.DUMMYFUNCTION("""COMPUTED_VALUE"""),4.65)</f>
        <v>4.65</v>
      </c>
      <c r="F56" s="41">
        <f>IFERROR(__xludf.DUMMYFUNCTION("""COMPUTED_VALUE"""),3.75)</f>
        <v>3.75</v>
      </c>
      <c r="G56" s="41">
        <f>IFERROR(__xludf.DUMMYFUNCTION("""COMPUTED_VALUE"""),6.075)</f>
        <v>6.075</v>
      </c>
      <c r="H56" s="38" t="str">
        <f>IFERROR(__xludf.DUMMYFUNCTION("""COMPUTED_VALUE"""),"This kit includes the basic items needed by those proficient in leatherwork to pursue their craft.")</f>
        <v>This kit includes the basic items needed by those proficient in leatherwork to pursue their craft.</v>
      </c>
      <c r="I56" s="38" t="b">
        <f>IFERROR(__xludf.DUMMYFUNCTION("""COMPUTED_VALUE"""),FALSE)</f>
        <v>0</v>
      </c>
      <c r="J56" s="38" t="b">
        <f>IFERROR(__xludf.DUMMYFUNCTION("""COMPUTED_VALUE"""),TRUE)</f>
        <v>1</v>
      </c>
      <c r="K56" s="38" t="b">
        <f>IFERROR(__xludf.DUMMYFUNCTION("""COMPUTED_VALUE"""),FALSE)</f>
        <v>0</v>
      </c>
      <c r="L56" s="38" t="b">
        <f>IFERROR(__xludf.DUMMYFUNCTION("""COMPUTED_VALUE"""),FALSE)</f>
        <v>0</v>
      </c>
      <c r="Z56" s="38" t="str">
        <f t="shared" si="1"/>
        <v>#REF!</v>
      </c>
    </row>
    <row r="57">
      <c r="A57" s="38" t="str">
        <f>IFERROR(__xludf.DUMMYFUNCTION("""COMPUTED_VALUE"""),"Mason’s Tools")</f>
        <v>Mason’s Tools</v>
      </c>
      <c r="B57" s="41">
        <f>IFERROR(__xludf.DUMMYFUNCTION("""COMPUTED_VALUE"""),15.0)</f>
        <v>15</v>
      </c>
      <c r="C57" s="38" t="str">
        <f>IFERROR(__xludf.DUMMYFUNCTION("""COMPUTED_VALUE"""),"8 lb.")</f>
        <v>8 lb.</v>
      </c>
      <c r="D57" s="38" t="str">
        <f>IFERROR(__xludf.DUMMYFUNCTION("""COMPUTED_VALUE"""),"Tool")</f>
        <v>Tool</v>
      </c>
      <c r="E57" s="41">
        <f>IFERROR(__xludf.DUMMYFUNCTION("""COMPUTED_VALUE"""),9.3)</f>
        <v>9.3</v>
      </c>
      <c r="F57" s="41">
        <f>IFERROR(__xludf.DUMMYFUNCTION("""COMPUTED_VALUE"""),7.5)</f>
        <v>7.5</v>
      </c>
      <c r="G57" s="41">
        <f>IFERROR(__xludf.DUMMYFUNCTION("""COMPUTED_VALUE"""),12.15)</f>
        <v>12.15</v>
      </c>
      <c r="H57" s="38" t="str">
        <f>IFERROR(__xludf.DUMMYFUNCTION("""COMPUTED_VALUE"""),"This kit includes the basic items needed by those proficient in masonry to pursue their craft.")</f>
        <v>This kit includes the basic items needed by those proficient in masonry to pursue their craft.</v>
      </c>
      <c r="I57" s="38" t="b">
        <f>IFERROR(__xludf.DUMMYFUNCTION("""COMPUTED_VALUE"""),FALSE)</f>
        <v>0</v>
      </c>
      <c r="J57" s="38" t="b">
        <f>IFERROR(__xludf.DUMMYFUNCTION("""COMPUTED_VALUE"""),TRUE)</f>
        <v>1</v>
      </c>
      <c r="K57" s="38" t="b">
        <f>IFERROR(__xludf.DUMMYFUNCTION("""COMPUTED_VALUE"""),FALSE)</f>
        <v>0</v>
      </c>
      <c r="L57" s="38" t="b">
        <f>IFERROR(__xludf.DUMMYFUNCTION("""COMPUTED_VALUE"""),FALSE)</f>
        <v>0</v>
      </c>
      <c r="Z57" s="38" t="str">
        <f t="shared" si="1"/>
        <v>#REF!</v>
      </c>
    </row>
    <row r="58">
      <c r="A58" s="38" t="str">
        <f>IFERROR(__xludf.DUMMYFUNCTION("""COMPUTED_VALUE"""),"Smith’s Tools")</f>
        <v>Smith’s Tools</v>
      </c>
      <c r="B58" s="41">
        <f>IFERROR(__xludf.DUMMYFUNCTION("""COMPUTED_VALUE"""),30.0)</f>
        <v>30</v>
      </c>
      <c r="C58" s="38" t="str">
        <f>IFERROR(__xludf.DUMMYFUNCTION("""COMPUTED_VALUE"""),"8 lb.")</f>
        <v>8 lb.</v>
      </c>
      <c r="D58" s="38" t="str">
        <f>IFERROR(__xludf.DUMMYFUNCTION("""COMPUTED_VALUE"""),"Tool")</f>
        <v>Tool</v>
      </c>
      <c r="E58" s="41">
        <f>IFERROR(__xludf.DUMMYFUNCTION("""COMPUTED_VALUE"""),24.599999999999998)</f>
        <v>24.6</v>
      </c>
      <c r="F58" s="41">
        <f>IFERROR(__xludf.DUMMYFUNCTION("""COMPUTED_VALUE"""),15.0)</f>
        <v>15</v>
      </c>
      <c r="G58" s="41">
        <f>IFERROR(__xludf.DUMMYFUNCTION("""COMPUTED_VALUE"""),27.299999999999997)</f>
        <v>27.3</v>
      </c>
      <c r="H58" s="38" t="str">
        <f>IFERROR(__xludf.DUMMYFUNCTION("""COMPUTED_VALUE"""),"This kit includes the basic items needed by those proficient in smithing to pursue their craft.")</f>
        <v>This kit includes the basic items needed by those proficient in smithing to pursue their craft.</v>
      </c>
      <c r="I58" s="38" t="b">
        <f>IFERROR(__xludf.DUMMYFUNCTION("""COMPUTED_VALUE"""),FALSE)</f>
        <v>0</v>
      </c>
      <c r="J58" s="38" t="b">
        <f>IFERROR(__xludf.DUMMYFUNCTION("""COMPUTED_VALUE"""),TRUE)</f>
        <v>1</v>
      </c>
      <c r="K58" s="38" t="b">
        <f>IFERROR(__xludf.DUMMYFUNCTION("""COMPUTED_VALUE"""),FALSE)</f>
        <v>0</v>
      </c>
      <c r="L58" s="38" t="b">
        <f>IFERROR(__xludf.DUMMYFUNCTION("""COMPUTED_VALUE"""),FALSE)</f>
        <v>0</v>
      </c>
      <c r="Z58" s="38" t="str">
        <f t="shared" si="1"/>
        <v>#REF!</v>
      </c>
    </row>
    <row r="59">
      <c r="A59" s="38" t="str">
        <f>IFERROR(__xludf.DUMMYFUNCTION("""COMPUTED_VALUE"""),"Tinker’s Tools")</f>
        <v>Tinker’s Tools</v>
      </c>
      <c r="B59" s="41">
        <f>IFERROR(__xludf.DUMMYFUNCTION("""COMPUTED_VALUE"""),75.0)</f>
        <v>75</v>
      </c>
      <c r="C59" s="38" t="str">
        <f>IFERROR(__xludf.DUMMYFUNCTION("""COMPUTED_VALUE"""),"10 lb.")</f>
        <v>10 lb.</v>
      </c>
      <c r="D59" s="38" t="str">
        <f>IFERROR(__xludf.DUMMYFUNCTION("""COMPUTED_VALUE"""),"Tool")</f>
        <v>Tool</v>
      </c>
      <c r="E59" s="41">
        <f>IFERROR(__xludf.DUMMYFUNCTION("""COMPUTED_VALUE"""),61.49999999999999)</f>
        <v>61.5</v>
      </c>
      <c r="F59" s="41">
        <f>IFERROR(__xludf.DUMMYFUNCTION("""COMPUTED_VALUE"""),37.5)</f>
        <v>37.5</v>
      </c>
      <c r="G59" s="41">
        <f>IFERROR(__xludf.DUMMYFUNCTION("""COMPUTED_VALUE"""),68.25)</f>
        <v>68.25</v>
      </c>
      <c r="H59" s="38" t="str">
        <f>IFERROR(__xludf.DUMMYFUNCTION("""COMPUTED_VALUE"""),"This kit includes the basic items needed by proficient tinkerers to pursue their craft.")</f>
        <v>This kit includes the basic items needed by proficient tinkerers to pursue their craft.</v>
      </c>
      <c r="I59" s="38" t="b">
        <f>IFERROR(__xludf.DUMMYFUNCTION("""COMPUTED_VALUE"""),FALSE)</f>
        <v>0</v>
      </c>
      <c r="J59" s="38" t="b">
        <f>IFERROR(__xludf.DUMMYFUNCTION("""COMPUTED_VALUE"""),TRUE)</f>
        <v>1</v>
      </c>
      <c r="K59" s="38" t="b">
        <f>IFERROR(__xludf.DUMMYFUNCTION("""COMPUTED_VALUE"""),FALSE)</f>
        <v>0</v>
      </c>
      <c r="L59" s="38" t="b">
        <f>IFERROR(__xludf.DUMMYFUNCTION("""COMPUTED_VALUE"""),FALSE)</f>
        <v>0</v>
      </c>
      <c r="Z59" s="38" t="str">
        <f t="shared" si="1"/>
        <v>#REF!</v>
      </c>
    </row>
    <row r="60">
      <c r="A60" s="38" t="str">
        <f>IFERROR(__xludf.DUMMYFUNCTION("""COMPUTED_VALUE"""),"Woodcarver’s Tools")</f>
        <v>Woodcarver’s Tools</v>
      </c>
      <c r="B60" s="41">
        <f>IFERROR(__xludf.DUMMYFUNCTION("""COMPUTED_VALUE"""),1.5)</f>
        <v>1.5</v>
      </c>
      <c r="C60" s="38" t="str">
        <f>IFERROR(__xludf.DUMMYFUNCTION("""COMPUTED_VALUE"""),"5 lb.")</f>
        <v>5 lb.</v>
      </c>
      <c r="D60" s="38" t="str">
        <f>IFERROR(__xludf.DUMMYFUNCTION("""COMPUTED_VALUE"""),"Tool")</f>
        <v>Tool</v>
      </c>
      <c r="E60" s="41">
        <f>IFERROR(__xludf.DUMMYFUNCTION("""COMPUTED_VALUE"""),0.9299999999999999)</f>
        <v>0.93</v>
      </c>
      <c r="F60" s="41">
        <f>IFERROR(__xludf.DUMMYFUNCTION("""COMPUTED_VALUE"""),0.75)</f>
        <v>0.75</v>
      </c>
      <c r="G60" s="41">
        <f>IFERROR(__xludf.DUMMYFUNCTION("""COMPUTED_VALUE"""),1.2149999999999999)</f>
        <v>1.215</v>
      </c>
      <c r="H60" s="38" t="str">
        <f>IFERROR(__xludf.DUMMYFUNCTION("""COMPUTED_VALUE"""),"This kit includes the basic items needed by those proficient in woodcarving to pursue their craft. Can also be used in the production of scrimshaw.")</f>
        <v>This kit includes the basic items needed by those proficient in woodcarving to pursue their craft. Can also be used in the production of scrimshaw.</v>
      </c>
      <c r="I60" s="38" t="b">
        <f>IFERROR(__xludf.DUMMYFUNCTION("""COMPUTED_VALUE"""),FALSE)</f>
        <v>0</v>
      </c>
      <c r="J60" s="38" t="b">
        <f>IFERROR(__xludf.DUMMYFUNCTION("""COMPUTED_VALUE"""),TRUE)</f>
        <v>1</v>
      </c>
      <c r="K60" s="38" t="b">
        <f>IFERROR(__xludf.DUMMYFUNCTION("""COMPUTED_VALUE"""),FALSE)</f>
        <v>0</v>
      </c>
      <c r="L60" s="38" t="b">
        <f>IFERROR(__xludf.DUMMYFUNCTION("""COMPUTED_VALUE"""),FALSE)</f>
        <v>0</v>
      </c>
      <c r="Z60" s="38" t="str">
        <f t="shared" si="1"/>
        <v>#REF!</v>
      </c>
    </row>
    <row r="61">
      <c r="A61" s="38" t="str">
        <f>IFERROR(__xludf.DUMMYFUNCTION("""COMPUTED_VALUE"""),"Thieves’ Tools")</f>
        <v>Thieves’ Tools</v>
      </c>
      <c r="B61" s="41">
        <f>IFERROR(__xludf.DUMMYFUNCTION("""COMPUTED_VALUE"""),56.25)</f>
        <v>56.25</v>
      </c>
      <c r="C61" s="38" t="str">
        <f>IFERROR(__xludf.DUMMYFUNCTION("""COMPUTED_VALUE"""),"1 lb.")</f>
        <v>1 lb.</v>
      </c>
      <c r="D61" s="38" t="str">
        <f>IFERROR(__xludf.DUMMYFUNCTION("""COMPUTED_VALUE"""),"Tool")</f>
        <v>Tool</v>
      </c>
      <c r="E61" s="41">
        <f>IFERROR(__xludf.DUMMYFUNCTION("""COMPUTED_VALUE"""),46.125)</f>
        <v>46.125</v>
      </c>
      <c r="F61" s="41">
        <f>IFERROR(__xludf.DUMMYFUNCTION("""COMPUTED_VALUE"""),28.125)</f>
        <v>28.125</v>
      </c>
      <c r="G61" s="41">
        <f>IFERROR(__xludf.DUMMYFUNCTION("""COMPUTED_VALUE"""),51.1875)</f>
        <v>51.1875</v>
      </c>
      <c r="H61" s="38" t="str">
        <f>IFERROR(__xludf.DUMMYFUNCTION("""COMPUTED_VALUE"""),"This kit includes the basic items needed by those proficient in thief's skills to pursue their craft.")</f>
        <v>This kit includes the basic items needed by those proficient in thief's skills to pursue their craft.</v>
      </c>
      <c r="I61" s="38" t="b">
        <f>IFERROR(__xludf.DUMMYFUNCTION("""COMPUTED_VALUE"""),FALSE)</f>
        <v>0</v>
      </c>
      <c r="J61" s="38" t="b">
        <f>IFERROR(__xludf.DUMMYFUNCTION("""COMPUTED_VALUE"""),TRUE)</f>
        <v>1</v>
      </c>
      <c r="K61" s="38" t="b">
        <f>IFERROR(__xludf.DUMMYFUNCTION("""COMPUTED_VALUE"""),FALSE)</f>
        <v>0</v>
      </c>
      <c r="L61" s="38" t="b">
        <f>IFERROR(__xludf.DUMMYFUNCTION("""COMPUTED_VALUE"""),FALSE)</f>
        <v>0</v>
      </c>
      <c r="Z61" s="38" t="str">
        <f t="shared" si="1"/>
        <v>#REF!</v>
      </c>
    </row>
    <row r="62">
      <c r="Z62" s="38" t="str">
        <f t="shared" si="1"/>
        <v>#REF!</v>
      </c>
    </row>
    <row r="63">
      <c r="Z63" s="38" t="str">
        <f t="shared" si="1"/>
        <v>#REF!</v>
      </c>
    </row>
    <row r="64">
      <c r="Z64" s="38" t="str">
        <f t="shared" si="1"/>
        <v>#REF!</v>
      </c>
    </row>
    <row r="65">
      <c r="Z65" s="38" t="str">
        <f t="shared" si="1"/>
        <v>#REF!</v>
      </c>
    </row>
    <row r="66">
      <c r="Z66" s="38" t="str">
        <f t="shared" si="1"/>
        <v>#REF!</v>
      </c>
    </row>
    <row r="67">
      <c r="Z67" s="38" t="str">
        <f t="shared" si="1"/>
        <v>#REF!</v>
      </c>
    </row>
    <row r="68">
      <c r="Z68" s="38" t="str">
        <f t="shared" si="1"/>
        <v>#REF!</v>
      </c>
    </row>
    <row r="69">
      <c r="Z69" s="38" t="str">
        <f t="shared" si="1"/>
        <v>#REF!</v>
      </c>
    </row>
    <row r="70">
      <c r="Z70" s="38" t="str">
        <f t="shared" si="1"/>
        <v>#REF!</v>
      </c>
    </row>
    <row r="71">
      <c r="Z71" s="38" t="str">
        <f t="shared" si="1"/>
        <v>#REF!</v>
      </c>
    </row>
    <row r="72">
      <c r="Z72" s="38" t="str">
        <f t="shared" si="1"/>
        <v>#REF!</v>
      </c>
    </row>
    <row r="73">
      <c r="Z73" s="38" t="str">
        <f t="shared" si="1"/>
        <v>#REF!</v>
      </c>
    </row>
    <row r="74">
      <c r="Z74" s="38" t="str">
        <f t="shared" si="1"/>
        <v>#REF!</v>
      </c>
    </row>
    <row r="75">
      <c r="Z75" s="38" t="str">
        <f t="shared" si="1"/>
        <v>#REF!</v>
      </c>
    </row>
    <row r="76">
      <c r="Z76" s="38" t="str">
        <f t="shared" si="1"/>
        <v>#REF!</v>
      </c>
    </row>
    <row r="77">
      <c r="Z77" s="38" t="str">
        <f t="shared" si="1"/>
        <v>#REF!</v>
      </c>
    </row>
    <row r="78">
      <c r="Z78" s="38" t="str">
        <f t="shared" si="1"/>
        <v>#REF!</v>
      </c>
    </row>
    <row r="79">
      <c r="Z79" s="38" t="str">
        <f t="shared" si="1"/>
        <v>#REF!</v>
      </c>
    </row>
    <row r="80">
      <c r="Z80" s="38" t="str">
        <f t="shared" si="1"/>
        <v>#REF!</v>
      </c>
    </row>
    <row r="81">
      <c r="Z81" s="38" t="str">
        <f t="shared" si="1"/>
        <v>#REF!</v>
      </c>
    </row>
    <row r="82">
      <c r="Z82" s="38" t="str">
        <f t="shared" si="1"/>
        <v>#REF!</v>
      </c>
    </row>
    <row r="83">
      <c r="Z83" s="38" t="str">
        <f t="shared" si="1"/>
        <v>#REF!</v>
      </c>
    </row>
    <row r="84">
      <c r="Z84" s="38" t="str">
        <f t="shared" si="1"/>
        <v>#REF!</v>
      </c>
    </row>
    <row r="85">
      <c r="Z85" s="38" t="str">
        <f t="shared" si="1"/>
        <v>#REF!</v>
      </c>
    </row>
    <row r="86">
      <c r="Z86" s="38" t="str">
        <f t="shared" si="1"/>
        <v>#REF!</v>
      </c>
    </row>
    <row r="87">
      <c r="Z87" s="38" t="str">
        <f t="shared" si="1"/>
        <v>#REF!</v>
      </c>
    </row>
    <row r="88">
      <c r="Z88" s="38" t="str">
        <f t="shared" si="1"/>
        <v>#REF!</v>
      </c>
    </row>
    <row r="89">
      <c r="Z89" s="38" t="str">
        <f t="shared" si="1"/>
        <v>#REF!</v>
      </c>
    </row>
    <row r="90">
      <c r="Z90" s="38" t="str">
        <f t="shared" si="1"/>
        <v>#REF!</v>
      </c>
    </row>
    <row r="91">
      <c r="Z91" s="38" t="str">
        <f t="shared" si="1"/>
        <v>#REF!</v>
      </c>
    </row>
    <row r="92">
      <c r="Z92" s="38" t="str">
        <f t="shared" si="1"/>
        <v>#REF!</v>
      </c>
    </row>
    <row r="93">
      <c r="Z93" s="38" t="str">
        <f t="shared" si="1"/>
        <v>#REF!</v>
      </c>
    </row>
    <row r="94">
      <c r="Z94" s="38" t="str">
        <f t="shared" si="1"/>
        <v>#REF!</v>
      </c>
    </row>
    <row r="95">
      <c r="Z95" s="38" t="str">
        <f t="shared" si="1"/>
        <v>#REF!</v>
      </c>
    </row>
    <row r="96">
      <c r="Z96" s="38" t="str">
        <f t="shared" si="1"/>
        <v>#REF!</v>
      </c>
    </row>
    <row r="97">
      <c r="Z97" s="38" t="str">
        <f t="shared" si="1"/>
        <v>#REF!</v>
      </c>
    </row>
    <row r="98">
      <c r="Z98" s="38" t="str">
        <f t="shared" si="1"/>
        <v>#REF!</v>
      </c>
    </row>
    <row r="99">
      <c r="Z99" s="38" t="str">
        <f t="shared" si="1"/>
        <v>#REF!</v>
      </c>
    </row>
    <row r="100">
      <c r="Z100" s="38" t="str">
        <f t="shared" si="1"/>
        <v>#REF!</v>
      </c>
    </row>
    <row r="101">
      <c r="Z101" s="38" t="str">
        <f t="shared" si="1"/>
        <v>#REF!</v>
      </c>
    </row>
    <row r="102">
      <c r="Z102" s="38" t="str">
        <f t="shared" si="1"/>
        <v>#REF!</v>
      </c>
    </row>
    <row r="103">
      <c r="Z103" s="38" t="str">
        <f t="shared" si="1"/>
        <v>#REF!</v>
      </c>
    </row>
    <row r="104">
      <c r="Z104" s="38" t="str">
        <f t="shared" si="1"/>
        <v>#REF!</v>
      </c>
    </row>
    <row r="105">
      <c r="Z105" s="38" t="str">
        <f t="shared" si="1"/>
        <v>#REF!</v>
      </c>
    </row>
    <row r="106">
      <c r="Z106" s="38" t="str">
        <f t="shared" si="1"/>
        <v>#REF!</v>
      </c>
    </row>
    <row r="107">
      <c r="Z107" s="38" t="str">
        <f t="shared" si="1"/>
        <v>#REF!</v>
      </c>
    </row>
    <row r="108">
      <c r="Z108" s="38" t="str">
        <f t="shared" si="1"/>
        <v>#REF!</v>
      </c>
    </row>
    <row r="109">
      <c r="Z109" s="38" t="str">
        <f t="shared" si="1"/>
        <v>#REF!</v>
      </c>
    </row>
    <row r="110">
      <c r="Z110" s="38" t="str">
        <f t="shared" si="1"/>
        <v>#REF!</v>
      </c>
    </row>
    <row r="111">
      <c r="Z111" s="38" t="str">
        <f t="shared" si="1"/>
        <v>#REF!</v>
      </c>
    </row>
    <row r="112">
      <c r="Z112" s="38" t="str">
        <f t="shared" si="1"/>
        <v>#REF!</v>
      </c>
    </row>
    <row r="113">
      <c r="Z113" s="38" t="str">
        <f t="shared" si="1"/>
        <v>#REF!</v>
      </c>
    </row>
    <row r="114">
      <c r="Z114" s="38" t="str">
        <f t="shared" si="1"/>
        <v>#REF!</v>
      </c>
    </row>
    <row r="115">
      <c r="Z115" s="38" t="str">
        <f t="shared" si="1"/>
        <v>#REF!</v>
      </c>
    </row>
    <row r="116">
      <c r="Z116" s="38" t="str">
        <f t="shared" si="1"/>
        <v>#REF!</v>
      </c>
    </row>
    <row r="117">
      <c r="Z117" s="38" t="str">
        <f t="shared" si="1"/>
        <v>#REF!</v>
      </c>
    </row>
    <row r="118">
      <c r="Z118" s="38" t="str">
        <f t="shared" si="1"/>
        <v>#REF!</v>
      </c>
    </row>
    <row r="119">
      <c r="Z119" s="38" t="str">
        <f t="shared" si="1"/>
        <v>#REF!</v>
      </c>
    </row>
    <row r="120">
      <c r="Z120" s="38" t="str">
        <f t="shared" si="1"/>
        <v>#REF!</v>
      </c>
    </row>
    <row r="121">
      <c r="Z121" s="38" t="str">
        <f t="shared" si="1"/>
        <v>#REF!</v>
      </c>
    </row>
    <row r="122">
      <c r="Z122" s="38" t="str">
        <f t="shared" si="1"/>
        <v>#REF!</v>
      </c>
    </row>
    <row r="123">
      <c r="Z123" s="38" t="str">
        <f t="shared" si="1"/>
        <v>#REF!</v>
      </c>
    </row>
    <row r="124">
      <c r="Z124" s="38" t="str">
        <f t="shared" si="1"/>
        <v>#REF!</v>
      </c>
    </row>
    <row r="125">
      <c r="Z125" s="38" t="str">
        <f t="shared" si="1"/>
        <v>#REF!</v>
      </c>
    </row>
    <row r="126">
      <c r="Z126" s="38" t="str">
        <f t="shared" si="1"/>
        <v>#REF!</v>
      </c>
    </row>
    <row r="127">
      <c r="Z127" s="38" t="str">
        <f t="shared" si="1"/>
        <v>#REF!</v>
      </c>
    </row>
    <row r="128">
      <c r="Z128" s="38" t="str">
        <f t="shared" si="1"/>
        <v>#REF!</v>
      </c>
    </row>
    <row r="129">
      <c r="Z129" s="38" t="str">
        <f t="shared" si="1"/>
        <v>#REF!</v>
      </c>
    </row>
    <row r="130">
      <c r="Z130" s="38" t="str">
        <f t="shared" si="1"/>
        <v>#REF!</v>
      </c>
    </row>
    <row r="131">
      <c r="Z131" s="38" t="str">
        <f t="shared" si="1"/>
        <v>#REF!</v>
      </c>
    </row>
    <row r="132">
      <c r="Z132" s="38" t="str">
        <f t="shared" si="1"/>
        <v>#REF!</v>
      </c>
    </row>
    <row r="133">
      <c r="Z133" s="38" t="str">
        <f t="shared" si="1"/>
        <v>#REF!</v>
      </c>
    </row>
    <row r="134">
      <c r="Z134" s="38" t="str">
        <f t="shared" si="1"/>
        <v>#REF!</v>
      </c>
    </row>
    <row r="135">
      <c r="Z135" s="38" t="str">
        <f t="shared" si="1"/>
        <v>#REF!</v>
      </c>
    </row>
    <row r="136">
      <c r="Z136" s="38" t="str">
        <f t="shared" si="1"/>
        <v>#REF!</v>
      </c>
    </row>
    <row r="137">
      <c r="Z137" s="38" t="str">
        <f t="shared" si="1"/>
        <v>#REF!</v>
      </c>
    </row>
    <row r="138">
      <c r="Z138" s="38" t="str">
        <f t="shared" si="1"/>
        <v>#REF!</v>
      </c>
    </row>
    <row r="139">
      <c r="Z139" s="38" t="str">
        <f t="shared" si="1"/>
        <v>#REF!</v>
      </c>
    </row>
    <row r="140">
      <c r="Z140" s="38" t="str">
        <f t="shared" si="1"/>
        <v>#REF!</v>
      </c>
    </row>
    <row r="141">
      <c r="Z141" s="38" t="str">
        <f t="shared" si="1"/>
        <v>#REF!</v>
      </c>
    </row>
    <row r="142">
      <c r="Z142" s="38" t="str">
        <f t="shared" si="1"/>
        <v>#REF!</v>
      </c>
    </row>
    <row r="143">
      <c r="Z143" s="38" t="str">
        <f t="shared" si="1"/>
        <v>#REF!</v>
      </c>
    </row>
    <row r="144">
      <c r="Z144" s="38" t="str">
        <f t="shared" si="1"/>
        <v>#REF!</v>
      </c>
    </row>
    <row r="145">
      <c r="Z145" s="38" t="str">
        <f t="shared" si="1"/>
        <v>#REF!</v>
      </c>
    </row>
    <row r="146">
      <c r="Z146" s="38" t="str">
        <f t="shared" si="1"/>
        <v>#REF!</v>
      </c>
    </row>
    <row r="147">
      <c r="Z147" s="38" t="str">
        <f t="shared" si="1"/>
        <v>#REF!</v>
      </c>
    </row>
    <row r="148">
      <c r="Z148" s="38" t="str">
        <f t="shared" si="1"/>
        <v>#REF!</v>
      </c>
    </row>
    <row r="149">
      <c r="Z149" s="38" t="str">
        <f t="shared" si="1"/>
        <v>#REF!</v>
      </c>
    </row>
    <row r="150">
      <c r="Z150" s="38" t="str">
        <f t="shared" si="1"/>
        <v>#REF!</v>
      </c>
    </row>
    <row r="151">
      <c r="Z151" s="38" t="str">
        <f t="shared" si="1"/>
        <v>#REF!</v>
      </c>
    </row>
    <row r="152">
      <c r="Z152" s="38" t="str">
        <f t="shared" si="1"/>
        <v>#REF!</v>
      </c>
    </row>
    <row r="153">
      <c r="Z153" s="38" t="str">
        <f t="shared" si="1"/>
        <v>#REF!</v>
      </c>
    </row>
    <row r="154">
      <c r="Z154" s="38" t="str">
        <f t="shared" si="1"/>
        <v>#REF!</v>
      </c>
    </row>
    <row r="155">
      <c r="Z155" s="38" t="str">
        <f t="shared" si="1"/>
        <v>#REF!</v>
      </c>
    </row>
    <row r="156">
      <c r="Z156" s="38" t="str">
        <f t="shared" si="1"/>
        <v>#REF!</v>
      </c>
    </row>
    <row r="157">
      <c r="Z157" s="38" t="str">
        <f t="shared" si="1"/>
        <v>#REF!</v>
      </c>
    </row>
    <row r="158">
      <c r="Z158" s="38" t="str">
        <f t="shared" si="1"/>
        <v>#REF!</v>
      </c>
    </row>
    <row r="159">
      <c r="Z159" s="38" t="str">
        <f t="shared" si="1"/>
        <v>#REF!</v>
      </c>
    </row>
    <row r="160">
      <c r="Z160" s="38" t="str">
        <f t="shared" si="1"/>
        <v>#REF!</v>
      </c>
    </row>
    <row r="161">
      <c r="Z161" s="38" t="str">
        <f t="shared" si="1"/>
        <v>#REF!</v>
      </c>
    </row>
    <row r="162">
      <c r="Z162" s="38" t="str">
        <f t="shared" si="1"/>
        <v>#REF!</v>
      </c>
    </row>
    <row r="163">
      <c r="Z163" s="38" t="str">
        <f t="shared" si="1"/>
        <v>#REF!</v>
      </c>
    </row>
    <row r="164">
      <c r="Z164" s="38" t="str">
        <f t="shared" si="1"/>
        <v>#REF!</v>
      </c>
    </row>
    <row r="165">
      <c r="Z165" s="38" t="str">
        <f t="shared" si="1"/>
        <v>#REF!</v>
      </c>
    </row>
    <row r="166">
      <c r="Z166" s="38" t="str">
        <f t="shared" si="1"/>
        <v>#REF!</v>
      </c>
    </row>
    <row r="167">
      <c r="Z167" s="38" t="str">
        <f t="shared" si="1"/>
        <v>#REF!</v>
      </c>
    </row>
    <row r="168">
      <c r="Z168" s="38" t="str">
        <f t="shared" si="1"/>
        <v>#REF!</v>
      </c>
    </row>
    <row r="169">
      <c r="Z169" s="38" t="str">
        <f t="shared" si="1"/>
        <v>#REF!</v>
      </c>
    </row>
    <row r="170">
      <c r="Z170" s="38" t="str">
        <f t="shared" si="1"/>
        <v>#REF!</v>
      </c>
    </row>
    <row r="171">
      <c r="Z171" s="38" t="str">
        <f t="shared" si="1"/>
        <v>#REF!</v>
      </c>
    </row>
    <row r="172">
      <c r="Z172" s="38" t="str">
        <f t="shared" si="1"/>
        <v>#REF!</v>
      </c>
    </row>
    <row r="173">
      <c r="Z173" s="38" t="str">
        <f t="shared" si="1"/>
        <v>#REF!</v>
      </c>
    </row>
    <row r="174">
      <c r="Z174" s="38" t="str">
        <f t="shared" si="1"/>
        <v>#REF!</v>
      </c>
    </row>
    <row r="175">
      <c r="Z175" s="38" t="str">
        <f t="shared" si="1"/>
        <v>#REF!</v>
      </c>
    </row>
    <row r="176">
      <c r="Z176" s="38" t="str">
        <f t="shared" si="1"/>
        <v>#REF!</v>
      </c>
    </row>
    <row r="177">
      <c r="Z177" s="38" t="str">
        <f t="shared" si="1"/>
        <v>#REF!</v>
      </c>
    </row>
    <row r="178">
      <c r="Z178" s="38" t="str">
        <f t="shared" si="1"/>
        <v>#REF!</v>
      </c>
    </row>
    <row r="179">
      <c r="Z179" s="38" t="str">
        <f t="shared" si="1"/>
        <v>#REF!</v>
      </c>
    </row>
    <row r="180">
      <c r="Z180" s="38" t="str">
        <f t="shared" si="1"/>
        <v>#REF!</v>
      </c>
    </row>
    <row r="181">
      <c r="Z181" s="38" t="str">
        <f t="shared" si="1"/>
        <v>#REF!</v>
      </c>
    </row>
    <row r="182">
      <c r="Z182" s="38" t="str">
        <f t="shared" si="1"/>
        <v>#REF!</v>
      </c>
    </row>
    <row r="183">
      <c r="Z183" s="38" t="str">
        <f t="shared" si="1"/>
        <v>#REF!</v>
      </c>
    </row>
    <row r="184">
      <c r="Z184" s="38" t="str">
        <f t="shared" si="1"/>
        <v>#REF!</v>
      </c>
    </row>
    <row r="185">
      <c r="Z185" s="38" t="str">
        <f t="shared" si="1"/>
        <v>#REF!</v>
      </c>
    </row>
    <row r="186">
      <c r="Z186" s="38" t="str">
        <f t="shared" si="1"/>
        <v>#REF!</v>
      </c>
    </row>
    <row r="187">
      <c r="Z187" s="38" t="str">
        <f t="shared" si="1"/>
        <v>#REF!</v>
      </c>
    </row>
    <row r="188">
      <c r="Z188" s="38" t="str">
        <f t="shared" si="1"/>
        <v>#REF!</v>
      </c>
    </row>
    <row r="189">
      <c r="Z189" s="38" t="str">
        <f t="shared" si="1"/>
        <v>#REF!</v>
      </c>
    </row>
    <row r="190">
      <c r="Z190" s="38" t="str">
        <f t="shared" si="1"/>
        <v>#REF!</v>
      </c>
    </row>
    <row r="191">
      <c r="Z191" s="38" t="str">
        <f t="shared" si="1"/>
        <v>#REF!</v>
      </c>
    </row>
    <row r="192">
      <c r="Z192" s="38" t="str">
        <f t="shared" si="1"/>
        <v>#REF!</v>
      </c>
    </row>
    <row r="193">
      <c r="Z193" s="38" t="str">
        <f t="shared" si="1"/>
        <v>#REF!</v>
      </c>
    </row>
    <row r="194">
      <c r="Z194" s="38" t="str">
        <f t="shared" si="1"/>
        <v>#REF!</v>
      </c>
    </row>
    <row r="195">
      <c r="Z195" s="38" t="str">
        <f t="shared" si="1"/>
        <v>#REF!</v>
      </c>
    </row>
    <row r="196">
      <c r="Z196" s="38" t="str">
        <f t="shared" si="1"/>
        <v>#REF!</v>
      </c>
    </row>
    <row r="197">
      <c r="Z197" s="38" t="str">
        <f t="shared" si="1"/>
        <v>#REF!</v>
      </c>
    </row>
    <row r="198">
      <c r="Z198" s="38" t="str">
        <f t="shared" si="1"/>
        <v>#REF!</v>
      </c>
    </row>
    <row r="199">
      <c r="Z199" s="38" t="str">
        <f t="shared" si="1"/>
        <v>#REF!</v>
      </c>
    </row>
    <row r="200">
      <c r="Z200" s="38" t="str">
        <f t="shared" si="1"/>
        <v>#REF!</v>
      </c>
    </row>
    <row r="201">
      <c r="Z201" s="38" t="str">
        <f t="shared" si="1"/>
        <v>#REF!</v>
      </c>
    </row>
    <row r="202">
      <c r="Z202" s="38" t="str">
        <f t="shared" si="1"/>
        <v>#REF!</v>
      </c>
    </row>
    <row r="203">
      <c r="Z203" s="38" t="str">
        <f t="shared" si="1"/>
        <v>#REF!</v>
      </c>
    </row>
    <row r="204">
      <c r="Z204" s="38" t="str">
        <f t="shared" si="1"/>
        <v>#REF!</v>
      </c>
    </row>
    <row r="205">
      <c r="Z205" s="38" t="str">
        <f t="shared" si="1"/>
        <v>#REF!</v>
      </c>
    </row>
    <row r="206">
      <c r="Z206" s="38" t="str">
        <f t="shared" si="1"/>
        <v>#REF!</v>
      </c>
    </row>
    <row r="207">
      <c r="Z207" s="38" t="str">
        <f t="shared" si="1"/>
        <v>#REF!</v>
      </c>
    </row>
    <row r="208">
      <c r="Z208" s="38" t="str">
        <f t="shared" si="1"/>
        <v>#REF!</v>
      </c>
    </row>
    <row r="209">
      <c r="Z209" s="38" t="str">
        <f t="shared" si="1"/>
        <v>#REF!</v>
      </c>
    </row>
    <row r="210">
      <c r="Z210" s="38" t="str">
        <f t="shared" si="1"/>
        <v>#REF!</v>
      </c>
    </row>
    <row r="211">
      <c r="Z211" s="38" t="str">
        <f t="shared" si="1"/>
        <v>#REF!</v>
      </c>
    </row>
    <row r="212">
      <c r="Z212" s="38" t="str">
        <f t="shared" si="1"/>
        <v>#REF!</v>
      </c>
    </row>
    <row r="213">
      <c r="Z213" s="38" t="str">
        <f t="shared" si="1"/>
        <v>#REF!</v>
      </c>
    </row>
    <row r="214">
      <c r="Z214" s="38" t="str">
        <f t="shared" si="1"/>
        <v>#REF!</v>
      </c>
    </row>
    <row r="215">
      <c r="Z215" s="38" t="str">
        <f t="shared" si="1"/>
        <v>#REF!</v>
      </c>
    </row>
    <row r="216">
      <c r="Z216" s="38" t="str">
        <f t="shared" si="1"/>
        <v>#REF!</v>
      </c>
    </row>
    <row r="217">
      <c r="Z217" s="38" t="str">
        <f t="shared" si="1"/>
        <v>#REF!</v>
      </c>
    </row>
    <row r="218">
      <c r="Z218" s="38" t="str">
        <f t="shared" si="1"/>
        <v>#REF!</v>
      </c>
    </row>
    <row r="219">
      <c r="Z219" s="38" t="str">
        <f t="shared" si="1"/>
        <v>#REF!</v>
      </c>
    </row>
    <row r="220">
      <c r="Z220" s="38" t="str">
        <f t="shared" si="1"/>
        <v>#REF!</v>
      </c>
    </row>
    <row r="221">
      <c r="Z221" s="38" t="str">
        <f t="shared" si="1"/>
        <v>#REF!</v>
      </c>
    </row>
    <row r="222">
      <c r="Z222" s="38" t="str">
        <f t="shared" si="1"/>
        <v>#REF!</v>
      </c>
    </row>
    <row r="223">
      <c r="Z223" s="38" t="str">
        <f t="shared" si="1"/>
        <v>#REF!</v>
      </c>
    </row>
    <row r="224">
      <c r="Z224" s="38" t="str">
        <f t="shared" si="1"/>
        <v>#REF!</v>
      </c>
    </row>
    <row r="225">
      <c r="Z225" s="38" t="str">
        <f t="shared" si="1"/>
        <v>#REF!</v>
      </c>
    </row>
    <row r="226">
      <c r="Z226" s="38" t="str">
        <f t="shared" si="1"/>
        <v>#REF!</v>
      </c>
    </row>
    <row r="227">
      <c r="Z227" s="38" t="str">
        <f t="shared" si="1"/>
        <v>#REF!</v>
      </c>
    </row>
    <row r="228">
      <c r="Z228" s="38" t="str">
        <f t="shared" si="1"/>
        <v>#REF!</v>
      </c>
    </row>
    <row r="229">
      <c r="Z229" s="38" t="str">
        <f t="shared" si="1"/>
        <v>#REF!</v>
      </c>
    </row>
    <row r="230">
      <c r="Z230" s="38" t="str">
        <f t="shared" si="1"/>
        <v>#REF!</v>
      </c>
    </row>
    <row r="231">
      <c r="Z231" s="38" t="str">
        <f t="shared" si="1"/>
        <v>#REF!</v>
      </c>
    </row>
    <row r="232">
      <c r="Z232" s="38" t="str">
        <f t="shared" si="1"/>
        <v>#REF!</v>
      </c>
    </row>
    <row r="233">
      <c r="Z233" s="38" t="str">
        <f t="shared" si="1"/>
        <v>#REF!</v>
      </c>
    </row>
    <row r="234">
      <c r="Z234" s="38" t="str">
        <f t="shared" si="1"/>
        <v>#REF!</v>
      </c>
    </row>
    <row r="235">
      <c r="Z235" s="38" t="str">
        <f t="shared" si="1"/>
        <v>#REF!</v>
      </c>
    </row>
    <row r="236">
      <c r="Z236" s="38" t="str">
        <f t="shared" si="1"/>
        <v>#REF!</v>
      </c>
    </row>
    <row r="237">
      <c r="Z237" s="38" t="str">
        <f t="shared" si="1"/>
        <v>#REF!</v>
      </c>
    </row>
    <row r="238">
      <c r="Z238" s="38" t="str">
        <f t="shared" si="1"/>
        <v>#REF!</v>
      </c>
    </row>
    <row r="239">
      <c r="Z239" s="38" t="str">
        <f t="shared" si="1"/>
        <v>#REF!</v>
      </c>
    </row>
    <row r="240">
      <c r="Z240" s="38" t="str">
        <f t="shared" si="1"/>
        <v>#REF!</v>
      </c>
    </row>
    <row r="241">
      <c r="Z241" s="38" t="str">
        <f t="shared" si="1"/>
        <v>#REF!</v>
      </c>
    </row>
    <row r="242">
      <c r="Z242" s="38" t="str">
        <f t="shared" si="1"/>
        <v>#REF!</v>
      </c>
    </row>
    <row r="243">
      <c r="Z243" s="38" t="str">
        <f t="shared" si="1"/>
        <v>#REF!</v>
      </c>
    </row>
    <row r="244">
      <c r="Z244" s="38" t="str">
        <f t="shared" si="1"/>
        <v>#REF!</v>
      </c>
    </row>
    <row r="245">
      <c r="Z245" s="38" t="str">
        <f t="shared" si="1"/>
        <v>#REF!</v>
      </c>
    </row>
    <row r="246">
      <c r="Z246" s="38" t="str">
        <f t="shared" si="1"/>
        <v>#REF!</v>
      </c>
    </row>
    <row r="247">
      <c r="Z247" s="38" t="str">
        <f t="shared" si="1"/>
        <v>#REF!</v>
      </c>
    </row>
    <row r="248">
      <c r="Z248" s="38" t="str">
        <f t="shared" si="1"/>
        <v>#REF!</v>
      </c>
    </row>
    <row r="249">
      <c r="Z249" s="38" t="str">
        <f t="shared" si="1"/>
        <v>#REF!</v>
      </c>
    </row>
    <row r="250">
      <c r="Z250" s="38" t="str">
        <f t="shared" si="1"/>
        <v>#REF!</v>
      </c>
    </row>
    <row r="251">
      <c r="Z251" s="38" t="str">
        <f t="shared" si="1"/>
        <v>#REF!</v>
      </c>
    </row>
    <row r="252">
      <c r="Z252" s="38" t="str">
        <f t="shared" si="1"/>
        <v>#REF!</v>
      </c>
    </row>
    <row r="253">
      <c r="Z253" s="38" t="str">
        <f t="shared" si="1"/>
        <v>#REF!</v>
      </c>
    </row>
    <row r="254">
      <c r="Z254" s="38" t="str">
        <f t="shared" si="1"/>
        <v>#REF!</v>
      </c>
    </row>
    <row r="255">
      <c r="Z255" s="38" t="str">
        <f t="shared" si="1"/>
        <v>#REF!</v>
      </c>
    </row>
    <row r="256">
      <c r="Z256" s="38" t="str">
        <f t="shared" si="1"/>
        <v>#REF!</v>
      </c>
    </row>
    <row r="257">
      <c r="Z257" s="38" t="str">
        <f t="shared" si="1"/>
        <v>#REF!</v>
      </c>
    </row>
    <row r="258">
      <c r="Z258" s="38" t="str">
        <f t="shared" si="1"/>
        <v>#REF!</v>
      </c>
    </row>
    <row r="259">
      <c r="Z259" s="38" t="str">
        <f t="shared" si="1"/>
        <v>#REF!</v>
      </c>
    </row>
    <row r="260">
      <c r="Z260" s="38" t="str">
        <f t="shared" si="1"/>
        <v>#REF!</v>
      </c>
    </row>
    <row r="261">
      <c r="Z261" s="38" t="str">
        <f t="shared" si="1"/>
        <v>#REF!</v>
      </c>
    </row>
    <row r="262">
      <c r="Z262" s="38" t="str">
        <f t="shared" si="1"/>
        <v>#REF!</v>
      </c>
    </row>
    <row r="263">
      <c r="Z263" s="38" t="str">
        <f t="shared" si="1"/>
        <v>#REF!</v>
      </c>
    </row>
    <row r="264">
      <c r="Z264" s="38" t="str">
        <f t="shared" si="1"/>
        <v>#REF!</v>
      </c>
    </row>
    <row r="265">
      <c r="Z265" s="38" t="str">
        <f t="shared" si="1"/>
        <v>#REF!</v>
      </c>
    </row>
    <row r="266">
      <c r="Z266" s="38" t="str">
        <f t="shared" si="1"/>
        <v>#REF!</v>
      </c>
    </row>
    <row r="267">
      <c r="Z267" s="38" t="str">
        <f t="shared" si="1"/>
        <v>#REF!</v>
      </c>
    </row>
    <row r="268">
      <c r="Z268" s="38" t="str">
        <f t="shared" si="1"/>
        <v>#REF!</v>
      </c>
    </row>
    <row r="269">
      <c r="Z269" s="38" t="str">
        <f t="shared" si="1"/>
        <v>#REF!</v>
      </c>
    </row>
    <row r="270">
      <c r="Z270" s="38" t="str">
        <f t="shared" si="1"/>
        <v>#REF!</v>
      </c>
    </row>
    <row r="271">
      <c r="Z271" s="38" t="str">
        <f t="shared" si="1"/>
        <v>#REF!</v>
      </c>
    </row>
    <row r="272">
      <c r="Z272" s="38" t="str">
        <f t="shared" si="1"/>
        <v>#REF!</v>
      </c>
    </row>
    <row r="273">
      <c r="Z273" s="38" t="str">
        <f t="shared" si="1"/>
        <v>#REF!</v>
      </c>
    </row>
    <row r="274">
      <c r="Z274" s="38" t="str">
        <f t="shared" si="1"/>
        <v>#REF!</v>
      </c>
    </row>
    <row r="275">
      <c r="Z275" s="38" t="str">
        <f t="shared" si="1"/>
        <v>#REF!</v>
      </c>
    </row>
    <row r="276">
      <c r="Z276" s="38" t="str">
        <f t="shared" si="1"/>
        <v>#REF!</v>
      </c>
    </row>
    <row r="277">
      <c r="Z277" s="38" t="str">
        <f t="shared" si="1"/>
        <v>#REF!</v>
      </c>
    </row>
    <row r="278">
      <c r="Z278" s="38" t="str">
        <f t="shared" si="1"/>
        <v>#REF!</v>
      </c>
    </row>
    <row r="279">
      <c r="Z279" s="38" t="str">
        <f t="shared" si="1"/>
        <v>#REF!</v>
      </c>
    </row>
    <row r="280">
      <c r="Z280" s="38" t="str">
        <f t="shared" si="1"/>
        <v>#REF!</v>
      </c>
    </row>
    <row r="281">
      <c r="Z281" s="38" t="str">
        <f t="shared" si="1"/>
        <v>#REF!</v>
      </c>
    </row>
    <row r="282">
      <c r="Z282" s="38" t="str">
        <f t="shared" si="1"/>
        <v>#REF!</v>
      </c>
    </row>
    <row r="283">
      <c r="Z283" s="38" t="str">
        <f t="shared" si="1"/>
        <v>#REF!</v>
      </c>
    </row>
    <row r="284">
      <c r="Z284" s="38" t="str">
        <f t="shared" si="1"/>
        <v>#REF!</v>
      </c>
    </row>
    <row r="285">
      <c r="Z285" s="38" t="str">
        <f t="shared" si="1"/>
        <v>#REF!</v>
      </c>
    </row>
    <row r="286">
      <c r="Z286" s="38" t="str">
        <f t="shared" si="1"/>
        <v>#REF!</v>
      </c>
    </row>
    <row r="287">
      <c r="Z287" s="38" t="str">
        <f t="shared" si="1"/>
        <v>#REF!</v>
      </c>
    </row>
    <row r="288">
      <c r="Z288" s="38" t="str">
        <f t="shared" si="1"/>
        <v>#REF!</v>
      </c>
    </row>
    <row r="289">
      <c r="Z289" s="38" t="str">
        <f t="shared" si="1"/>
        <v>#REF!</v>
      </c>
    </row>
    <row r="290">
      <c r="Z290" s="38" t="str">
        <f t="shared" si="1"/>
        <v>#REF!</v>
      </c>
    </row>
    <row r="291">
      <c r="Z291" s="38" t="str">
        <f t="shared" si="1"/>
        <v>#REF!</v>
      </c>
    </row>
    <row r="292">
      <c r="Z292" s="38" t="str">
        <f t="shared" si="1"/>
        <v>#REF!</v>
      </c>
    </row>
    <row r="293">
      <c r="Z293" s="38" t="str">
        <f t="shared" si="1"/>
        <v>#REF!</v>
      </c>
    </row>
    <row r="294">
      <c r="Z294" s="38" t="str">
        <f t="shared" si="1"/>
        <v>#REF!</v>
      </c>
    </row>
    <row r="295">
      <c r="Z295" s="38" t="str">
        <f t="shared" si="1"/>
        <v>#REF!</v>
      </c>
    </row>
    <row r="296">
      <c r="Z296" s="38" t="str">
        <f t="shared" si="1"/>
        <v>#REF!</v>
      </c>
    </row>
    <row r="297">
      <c r="Z297" s="38" t="str">
        <f t="shared" si="1"/>
        <v>#REF!</v>
      </c>
    </row>
    <row r="298">
      <c r="Z298" s="38" t="str">
        <f t="shared" si="1"/>
        <v>#REF!</v>
      </c>
    </row>
    <row r="299">
      <c r="Z299" s="38" t="str">
        <f t="shared" si="1"/>
        <v>#REF!</v>
      </c>
    </row>
    <row r="300">
      <c r="Z300" s="38" t="str">
        <f t="shared" si="1"/>
        <v>#REF!</v>
      </c>
    </row>
    <row r="301">
      <c r="Z301" s="38" t="str">
        <f t="shared" si="1"/>
        <v>#REF!</v>
      </c>
    </row>
    <row r="302">
      <c r="Z302" s="38" t="str">
        <f t="shared" si="1"/>
        <v>#REF!</v>
      </c>
    </row>
    <row r="303">
      <c r="Z303" s="38" t="str">
        <f t="shared" si="1"/>
        <v>#REF!</v>
      </c>
    </row>
    <row r="304">
      <c r="Z304" s="38" t="str">
        <f t="shared" si="1"/>
        <v>#REF!</v>
      </c>
    </row>
    <row r="305">
      <c r="Z305" s="38" t="str">
        <f t="shared" si="1"/>
        <v>#REF!</v>
      </c>
    </row>
    <row r="306">
      <c r="Z306" s="38" t="str">
        <f t="shared" si="1"/>
        <v>#REF!</v>
      </c>
    </row>
    <row r="307">
      <c r="Z307" s="38" t="str">
        <f t="shared" si="1"/>
        <v>#REF!</v>
      </c>
    </row>
    <row r="308">
      <c r="Z308" s="38" t="str">
        <f t="shared" si="1"/>
        <v>#REF!</v>
      </c>
    </row>
    <row r="309">
      <c r="Z309" s="38" t="str">
        <f t="shared" si="1"/>
        <v>#REF!</v>
      </c>
    </row>
    <row r="310">
      <c r="Z310" s="38" t="str">
        <f t="shared" si="1"/>
        <v>#REF!</v>
      </c>
    </row>
    <row r="311">
      <c r="Z311" s="38" t="str">
        <f t="shared" si="1"/>
        <v>#REF!</v>
      </c>
    </row>
    <row r="312">
      <c r="Z312" s="38" t="str">
        <f t="shared" si="1"/>
        <v>#REF!</v>
      </c>
    </row>
    <row r="313">
      <c r="Z313" s="38" t="str">
        <f t="shared" si="1"/>
        <v>#REF!</v>
      </c>
    </row>
    <row r="314">
      <c r="Z314" s="38" t="str">
        <f t="shared" si="1"/>
        <v>#REF!</v>
      </c>
    </row>
    <row r="315">
      <c r="Z315" s="38" t="str">
        <f t="shared" si="1"/>
        <v>#REF!</v>
      </c>
    </row>
    <row r="316">
      <c r="Z316" s="38" t="str">
        <f t="shared" si="1"/>
        <v>#REF!</v>
      </c>
    </row>
    <row r="317">
      <c r="Z317" s="38" t="str">
        <f t="shared" si="1"/>
        <v>#REF!</v>
      </c>
    </row>
    <row r="318">
      <c r="Z318" s="38" t="str">
        <f t="shared" si="1"/>
        <v>#REF!</v>
      </c>
    </row>
    <row r="319">
      <c r="Z319" s="38" t="str">
        <f t="shared" si="1"/>
        <v>#REF!</v>
      </c>
    </row>
    <row r="320">
      <c r="Z320" s="38" t="str">
        <f t="shared" si="1"/>
        <v>#REF!</v>
      </c>
    </row>
    <row r="321">
      <c r="Z321" s="38" t="str">
        <f t="shared" si="1"/>
        <v>#REF!</v>
      </c>
    </row>
    <row r="322">
      <c r="Z322" s="38" t="str">
        <f t="shared" si="1"/>
        <v>#REF!</v>
      </c>
    </row>
    <row r="323">
      <c r="Z323" s="38" t="str">
        <f t="shared" si="1"/>
        <v>#REF!</v>
      </c>
    </row>
    <row r="324">
      <c r="Z324" s="38" t="str">
        <f t="shared" si="1"/>
        <v>#REF!</v>
      </c>
    </row>
    <row r="325">
      <c r="Z325" s="38" t="str">
        <f t="shared" si="1"/>
        <v>#REF!</v>
      </c>
    </row>
    <row r="326">
      <c r="Z326" s="38" t="str">
        <f t="shared" si="1"/>
        <v>#REF!</v>
      </c>
    </row>
    <row r="327">
      <c r="Z327" s="38" t="str">
        <f t="shared" si="1"/>
        <v>#REF!</v>
      </c>
    </row>
    <row r="328">
      <c r="Z328" s="38" t="str">
        <f t="shared" si="1"/>
        <v>#REF!</v>
      </c>
    </row>
    <row r="329">
      <c r="Z329" s="38" t="str">
        <f t="shared" si="1"/>
        <v>#REF!</v>
      </c>
    </row>
    <row r="330">
      <c r="Z330" s="38" t="str">
        <f t="shared" si="1"/>
        <v>#REF!</v>
      </c>
    </row>
    <row r="331">
      <c r="Z331" s="38" t="str">
        <f t="shared" si="1"/>
        <v>#REF!</v>
      </c>
    </row>
    <row r="332">
      <c r="Z332" s="38" t="str">
        <f t="shared" si="1"/>
        <v>#REF!</v>
      </c>
    </row>
    <row r="333">
      <c r="Z333" s="38" t="str">
        <f t="shared" si="1"/>
        <v>#REF!</v>
      </c>
    </row>
    <row r="334">
      <c r="Z334" s="38" t="str">
        <f t="shared" si="1"/>
        <v>#REF!</v>
      </c>
    </row>
    <row r="335">
      <c r="Z335" s="38" t="str">
        <f t="shared" si="1"/>
        <v>#REF!</v>
      </c>
    </row>
    <row r="336">
      <c r="Z336" s="38" t="str">
        <f t="shared" si="1"/>
        <v>#REF!</v>
      </c>
    </row>
    <row r="337">
      <c r="Z337" s="38" t="str">
        <f t="shared" si="1"/>
        <v>#REF!</v>
      </c>
    </row>
    <row r="338">
      <c r="Z338" s="38" t="str">
        <f t="shared" si="1"/>
        <v>#REF!</v>
      </c>
    </row>
    <row r="339">
      <c r="Z339" s="38" t="str">
        <f t="shared" si="1"/>
        <v>#REF!</v>
      </c>
    </row>
    <row r="340">
      <c r="Z340" s="38" t="str">
        <f t="shared" si="1"/>
        <v>#REF!</v>
      </c>
    </row>
    <row r="341">
      <c r="Z341" s="38" t="str">
        <f t="shared" si="1"/>
        <v>#REF!</v>
      </c>
    </row>
    <row r="342">
      <c r="Z342" s="38" t="str">
        <f t="shared" si="1"/>
        <v>#REF!</v>
      </c>
    </row>
    <row r="343">
      <c r="Z343" s="38" t="str">
        <f t="shared" si="1"/>
        <v>#REF!</v>
      </c>
    </row>
    <row r="344">
      <c r="Z344" s="38" t="str">
        <f t="shared" si="1"/>
        <v>#REF!</v>
      </c>
    </row>
    <row r="345">
      <c r="Z345" s="38" t="str">
        <f t="shared" si="1"/>
        <v>#REF!</v>
      </c>
    </row>
    <row r="346">
      <c r="Z346" s="38" t="str">
        <f t="shared" si="1"/>
        <v>#REF!</v>
      </c>
    </row>
    <row r="347">
      <c r="Z347" s="38" t="str">
        <f t="shared" si="1"/>
        <v>#REF!</v>
      </c>
    </row>
    <row r="348">
      <c r="Z348" s="38" t="str">
        <f t="shared" si="1"/>
        <v>#REF!</v>
      </c>
    </row>
    <row r="349">
      <c r="Z349" s="38" t="str">
        <f t="shared" si="1"/>
        <v>#REF!</v>
      </c>
    </row>
    <row r="350">
      <c r="Z350" s="38" t="str">
        <f t="shared" si="1"/>
        <v>#REF!</v>
      </c>
    </row>
    <row r="351">
      <c r="Z351" s="38" t="str">
        <f t="shared" si="1"/>
        <v>#REF!</v>
      </c>
    </row>
    <row r="352">
      <c r="Z352" s="38" t="str">
        <f t="shared" si="1"/>
        <v>#REF!</v>
      </c>
    </row>
    <row r="353">
      <c r="Z353" s="38" t="str">
        <f t="shared" si="1"/>
        <v>#REF!</v>
      </c>
    </row>
    <row r="354">
      <c r="Z354" s="38" t="str">
        <f t="shared" si="1"/>
        <v>#REF!</v>
      </c>
    </row>
    <row r="355">
      <c r="Z355" s="38" t="str">
        <f t="shared" si="1"/>
        <v>#REF!</v>
      </c>
    </row>
    <row r="356">
      <c r="Z356" s="38" t="str">
        <f t="shared" si="1"/>
        <v>#REF!</v>
      </c>
    </row>
    <row r="357">
      <c r="Z357" s="38" t="str">
        <f t="shared" si="1"/>
        <v>#REF!</v>
      </c>
    </row>
    <row r="358">
      <c r="Z358" s="38" t="str">
        <f t="shared" si="1"/>
        <v>#REF!</v>
      </c>
    </row>
    <row r="359">
      <c r="Z359" s="38" t="str">
        <f t="shared" si="1"/>
        <v>#REF!</v>
      </c>
    </row>
    <row r="360">
      <c r="Z360" s="38" t="str">
        <f t="shared" si="1"/>
        <v>#REF!</v>
      </c>
    </row>
    <row r="361">
      <c r="Z361" s="38" t="str">
        <f t="shared" si="1"/>
        <v>#REF!</v>
      </c>
    </row>
    <row r="362">
      <c r="Z362" s="38" t="str">
        <f t="shared" si="1"/>
        <v>#REF!</v>
      </c>
    </row>
    <row r="363">
      <c r="Z363" s="38" t="str">
        <f t="shared" si="1"/>
        <v>#REF!</v>
      </c>
    </row>
    <row r="364">
      <c r="Z364" s="38" t="str">
        <f t="shared" si="1"/>
        <v>#REF!</v>
      </c>
    </row>
    <row r="365">
      <c r="Z365" s="38" t="str">
        <f t="shared" si="1"/>
        <v>#REF!</v>
      </c>
    </row>
    <row r="366">
      <c r="Z366" s="38" t="str">
        <f t="shared" si="1"/>
        <v>#REF!</v>
      </c>
    </row>
    <row r="367">
      <c r="Z367" s="38" t="str">
        <f t="shared" si="1"/>
        <v>#REF!</v>
      </c>
    </row>
    <row r="368">
      <c r="Z368" s="38" t="str">
        <f t="shared" si="1"/>
        <v>#REF!</v>
      </c>
    </row>
    <row r="369">
      <c r="Z369" s="38" t="str">
        <f t="shared" si="1"/>
        <v>#REF!</v>
      </c>
    </row>
    <row r="370">
      <c r="Z370" s="38" t="str">
        <f t="shared" si="1"/>
        <v>#REF!</v>
      </c>
    </row>
    <row r="371">
      <c r="Z371" s="38" t="str">
        <f t="shared" si="1"/>
        <v>#REF!</v>
      </c>
    </row>
    <row r="372">
      <c r="Z372" s="38" t="str">
        <f t="shared" si="1"/>
        <v>#REF!</v>
      </c>
    </row>
    <row r="373">
      <c r="Z373" s="38" t="str">
        <f t="shared" si="1"/>
        <v>#REF!</v>
      </c>
    </row>
    <row r="374">
      <c r="Z374" s="38" t="str">
        <f t="shared" si="1"/>
        <v>#REF!</v>
      </c>
    </row>
    <row r="375">
      <c r="Z375" s="38" t="str">
        <f t="shared" si="1"/>
        <v>#REF!</v>
      </c>
    </row>
    <row r="376">
      <c r="Z376" s="38" t="str">
        <f t="shared" si="1"/>
        <v>#REF!</v>
      </c>
    </row>
    <row r="377">
      <c r="Z377" s="38" t="str">
        <f t="shared" si="1"/>
        <v>#REF!</v>
      </c>
    </row>
    <row r="378">
      <c r="Z378" s="38" t="str">
        <f t="shared" si="1"/>
        <v>#REF!</v>
      </c>
    </row>
    <row r="379">
      <c r="Z379" s="38" t="str">
        <f t="shared" si="1"/>
        <v>#REF!</v>
      </c>
    </row>
    <row r="380">
      <c r="Z380" s="38" t="str">
        <f t="shared" si="1"/>
        <v>#REF!</v>
      </c>
    </row>
    <row r="381">
      <c r="Z381" s="38" t="str">
        <f t="shared" si="1"/>
        <v>#REF!</v>
      </c>
    </row>
    <row r="382">
      <c r="Z382" s="38" t="str">
        <f t="shared" si="1"/>
        <v>#REF!</v>
      </c>
    </row>
    <row r="383">
      <c r="Z383" s="38" t="str">
        <f t="shared" si="1"/>
        <v>#REF!</v>
      </c>
    </row>
    <row r="384">
      <c r="Z384" s="38" t="str">
        <f t="shared" si="1"/>
        <v>#REF!</v>
      </c>
    </row>
    <row r="385">
      <c r="Z385" s="38" t="str">
        <f t="shared" si="1"/>
        <v>#REF!</v>
      </c>
    </row>
    <row r="386">
      <c r="Z386" s="38" t="str">
        <f t="shared" si="1"/>
        <v>#REF!</v>
      </c>
    </row>
    <row r="387">
      <c r="Z387" s="38" t="str">
        <f t="shared" si="1"/>
        <v>#REF!</v>
      </c>
    </row>
    <row r="388">
      <c r="Z388" s="38" t="str">
        <f t="shared" si="1"/>
        <v>#REF!</v>
      </c>
    </row>
    <row r="389">
      <c r="Z389" s="38" t="str">
        <f t="shared" si="1"/>
        <v>#REF!</v>
      </c>
    </row>
    <row r="390">
      <c r="Z390" s="38" t="str">
        <f t="shared" si="1"/>
        <v>#REF!</v>
      </c>
    </row>
    <row r="391">
      <c r="Z391" s="38" t="str">
        <f t="shared" si="1"/>
        <v>#REF!</v>
      </c>
    </row>
    <row r="392">
      <c r="Z392" s="38" t="str">
        <f t="shared" si="1"/>
        <v>#REF!</v>
      </c>
    </row>
    <row r="393">
      <c r="Z393" s="38" t="str">
        <f t="shared" si="1"/>
        <v>#REF!</v>
      </c>
    </row>
    <row r="394">
      <c r="Z394" s="38" t="str">
        <f t="shared" si="1"/>
        <v>#REF!</v>
      </c>
    </row>
    <row r="395">
      <c r="Z395" s="38" t="str">
        <f t="shared" si="1"/>
        <v>#REF!</v>
      </c>
    </row>
    <row r="396">
      <c r="Z396" s="38" t="str">
        <f t="shared" si="1"/>
        <v>#REF!</v>
      </c>
    </row>
    <row r="397">
      <c r="Z397" s="38" t="str">
        <f t="shared" si="1"/>
        <v>#REF!</v>
      </c>
    </row>
    <row r="398">
      <c r="Z398" s="38" t="str">
        <f t="shared" si="1"/>
        <v>#REF!</v>
      </c>
    </row>
    <row r="399">
      <c r="Z399" s="38" t="str">
        <f t="shared" si="1"/>
        <v>#REF!</v>
      </c>
    </row>
    <row r="400">
      <c r="Z400" s="38" t="str">
        <f t="shared" si="1"/>
        <v>#REF!</v>
      </c>
    </row>
    <row r="401">
      <c r="Z401" s="38" t="str">
        <f t="shared" si="1"/>
        <v>#REF!</v>
      </c>
    </row>
    <row r="402">
      <c r="Z402" s="38" t="str">
        <f t="shared" si="1"/>
        <v>#REF!</v>
      </c>
    </row>
    <row r="403">
      <c r="Z403" s="38" t="str">
        <f t="shared" si="1"/>
        <v>#REF!</v>
      </c>
    </row>
    <row r="404">
      <c r="Z404" s="38" t="str">
        <f t="shared" si="1"/>
        <v>#REF!</v>
      </c>
    </row>
    <row r="405">
      <c r="Z405" s="38" t="str">
        <f t="shared" si="1"/>
        <v>#REF!</v>
      </c>
    </row>
    <row r="406">
      <c r="Z406" s="38" t="str">
        <f t="shared" si="1"/>
        <v>#REF!</v>
      </c>
    </row>
    <row r="407">
      <c r="Z407" s="38" t="str">
        <f t="shared" si="1"/>
        <v>#REF!</v>
      </c>
    </row>
    <row r="408">
      <c r="Z408" s="38" t="str">
        <f t="shared" si="1"/>
        <v>#REF!</v>
      </c>
    </row>
    <row r="409">
      <c r="Z409" s="38" t="str">
        <f t="shared" si="1"/>
        <v>#REF!</v>
      </c>
    </row>
    <row r="410">
      <c r="Z410" s="38" t="str">
        <f t="shared" si="1"/>
        <v>#REF!</v>
      </c>
    </row>
    <row r="411">
      <c r="Z411" s="38" t="str">
        <f t="shared" si="1"/>
        <v>#REF!</v>
      </c>
    </row>
    <row r="412">
      <c r="Z412" s="38" t="str">
        <f t="shared" si="1"/>
        <v>#REF!</v>
      </c>
    </row>
    <row r="413">
      <c r="Z413" s="38" t="str">
        <f t="shared" si="1"/>
        <v>#REF!</v>
      </c>
    </row>
    <row r="414">
      <c r="Z414" s="38" t="str">
        <f t="shared" si="1"/>
        <v>#REF!</v>
      </c>
    </row>
    <row r="415">
      <c r="Z415" s="38" t="str">
        <f t="shared" si="1"/>
        <v>#REF!</v>
      </c>
    </row>
    <row r="416">
      <c r="Z416" s="38" t="str">
        <f t="shared" si="1"/>
        <v>#REF!</v>
      </c>
    </row>
    <row r="417">
      <c r="Z417" s="38" t="str">
        <f t="shared" si="1"/>
        <v>#REF!</v>
      </c>
    </row>
    <row r="418">
      <c r="Z418" s="38" t="str">
        <f t="shared" si="1"/>
        <v>#REF!</v>
      </c>
    </row>
    <row r="419">
      <c r="Z419" s="38" t="str">
        <f t="shared" si="1"/>
        <v>#REF!</v>
      </c>
    </row>
    <row r="420">
      <c r="Z420" s="38" t="str">
        <f t="shared" si="1"/>
        <v>#REF!</v>
      </c>
    </row>
    <row r="421">
      <c r="Z421" s="38" t="str">
        <f t="shared" si="1"/>
        <v>#REF!</v>
      </c>
    </row>
    <row r="422">
      <c r="Z422" s="38" t="str">
        <f t="shared" si="1"/>
        <v>#REF!</v>
      </c>
    </row>
    <row r="423">
      <c r="Z423" s="38" t="str">
        <f t="shared" si="1"/>
        <v>#REF!</v>
      </c>
    </row>
    <row r="424">
      <c r="Z424" s="38" t="str">
        <f t="shared" si="1"/>
        <v>#REF!</v>
      </c>
    </row>
    <row r="425">
      <c r="Z425" s="38" t="str">
        <f t="shared" si="1"/>
        <v>#REF!</v>
      </c>
    </row>
    <row r="426">
      <c r="Z426" s="38" t="str">
        <f t="shared" si="1"/>
        <v>#REF!</v>
      </c>
    </row>
    <row r="427">
      <c r="Z427" s="38" t="str">
        <f t="shared" si="1"/>
        <v>#REF!</v>
      </c>
    </row>
    <row r="428">
      <c r="Z428" s="38" t="str">
        <f t="shared" si="1"/>
        <v>#REF!</v>
      </c>
    </row>
    <row r="429">
      <c r="Z429" s="38" t="str">
        <f t="shared" si="1"/>
        <v>#REF!</v>
      </c>
    </row>
    <row r="430">
      <c r="Z430" s="38" t="str">
        <f t="shared" si="1"/>
        <v>#REF!</v>
      </c>
    </row>
    <row r="431">
      <c r="Z431" s="38" t="str">
        <f t="shared" si="1"/>
        <v>#REF!</v>
      </c>
    </row>
    <row r="432">
      <c r="Z432" s="38" t="str">
        <f t="shared" si="1"/>
        <v>#REF!</v>
      </c>
    </row>
    <row r="433">
      <c r="Z433" s="38" t="str">
        <f t="shared" si="1"/>
        <v>#REF!</v>
      </c>
    </row>
    <row r="434">
      <c r="Z434" s="38" t="str">
        <f t="shared" si="1"/>
        <v>#REF!</v>
      </c>
    </row>
    <row r="435">
      <c r="Z435" s="38" t="str">
        <f t="shared" si="1"/>
        <v>#REF!</v>
      </c>
    </row>
    <row r="436">
      <c r="Z436" s="38" t="str">
        <f t="shared" si="1"/>
        <v>#REF!</v>
      </c>
    </row>
    <row r="437">
      <c r="Z437" s="38" t="str">
        <f t="shared" si="1"/>
        <v>#REF!</v>
      </c>
    </row>
    <row r="438">
      <c r="Z438" s="38" t="str">
        <f t="shared" si="1"/>
        <v>#REF!</v>
      </c>
    </row>
    <row r="439">
      <c r="Z439" s="38" t="str">
        <f t="shared" si="1"/>
        <v>#REF!</v>
      </c>
    </row>
    <row r="440">
      <c r="Z440" s="38" t="str">
        <f t="shared" si="1"/>
        <v>#REF!</v>
      </c>
    </row>
    <row r="441">
      <c r="Z441" s="38" t="str">
        <f t="shared" si="1"/>
        <v>#REF!</v>
      </c>
    </row>
    <row r="442">
      <c r="Z442" s="38" t="str">
        <f t="shared" si="1"/>
        <v>#REF!</v>
      </c>
    </row>
    <row r="443">
      <c r="Z443" s="38" t="str">
        <f t="shared" si="1"/>
        <v>#REF!</v>
      </c>
    </row>
    <row r="444">
      <c r="Z444" s="38" t="str">
        <f t="shared" si="1"/>
        <v>#REF!</v>
      </c>
    </row>
    <row r="445">
      <c r="Z445" s="38" t="str">
        <f t="shared" si="1"/>
        <v>#REF!</v>
      </c>
    </row>
    <row r="446">
      <c r="Z446" s="38" t="str">
        <f t="shared" si="1"/>
        <v>#REF!</v>
      </c>
    </row>
    <row r="447">
      <c r="Z447" s="38" t="str">
        <f t="shared" si="1"/>
        <v>#REF!</v>
      </c>
    </row>
    <row r="448">
      <c r="Z448" s="38" t="str">
        <f t="shared" si="1"/>
        <v>#REF!</v>
      </c>
    </row>
    <row r="449">
      <c r="Z449" s="38" t="str">
        <f t="shared" si="1"/>
        <v>#REF!</v>
      </c>
    </row>
    <row r="450">
      <c r="Z450" s="38" t="str">
        <f t="shared" si="1"/>
        <v>#REF!</v>
      </c>
    </row>
    <row r="451">
      <c r="Z451" s="38" t="str">
        <f t="shared" si="1"/>
        <v>#REF!</v>
      </c>
    </row>
    <row r="452">
      <c r="Z452" s="38" t="str">
        <f t="shared" si="1"/>
        <v>#REF!</v>
      </c>
    </row>
    <row r="453">
      <c r="Z453" s="38" t="str">
        <f t="shared" si="1"/>
        <v>#REF!</v>
      </c>
    </row>
    <row r="454">
      <c r="Z454" s="38" t="str">
        <f t="shared" si="1"/>
        <v>#REF!</v>
      </c>
    </row>
    <row r="455">
      <c r="Z455" s="38" t="str">
        <f t="shared" si="1"/>
        <v>#REF!</v>
      </c>
    </row>
    <row r="456">
      <c r="Z456" s="38" t="str">
        <f t="shared" si="1"/>
        <v>#REF!</v>
      </c>
    </row>
    <row r="457">
      <c r="Z457" s="38" t="str">
        <f t="shared" si="1"/>
        <v>#REF!</v>
      </c>
    </row>
    <row r="458">
      <c r="Z458" s="38" t="str">
        <f t="shared" si="1"/>
        <v>#REF!</v>
      </c>
    </row>
    <row r="459">
      <c r="Z459" s="38" t="str">
        <f t="shared" si="1"/>
        <v>#REF!</v>
      </c>
    </row>
    <row r="460">
      <c r="Z460" s="38" t="str">
        <f t="shared" si="1"/>
        <v>#REF!</v>
      </c>
    </row>
    <row r="461">
      <c r="Z461" s="38" t="str">
        <f t="shared" si="1"/>
        <v>#REF!</v>
      </c>
    </row>
    <row r="462">
      <c r="Z462" s="38" t="str">
        <f t="shared" si="1"/>
        <v>#REF!</v>
      </c>
    </row>
    <row r="463">
      <c r="Z463" s="38" t="str">
        <f t="shared" si="1"/>
        <v>#REF!</v>
      </c>
    </row>
    <row r="464">
      <c r="Z464" s="38" t="str">
        <f t="shared" si="1"/>
        <v>#REF!</v>
      </c>
    </row>
    <row r="465">
      <c r="Z465" s="38" t="str">
        <f t="shared" si="1"/>
        <v>#REF!</v>
      </c>
    </row>
    <row r="466">
      <c r="Z466" s="38" t="str">
        <f t="shared" si="1"/>
        <v>#REF!</v>
      </c>
    </row>
    <row r="467">
      <c r="Z467" s="38" t="str">
        <f t="shared" si="1"/>
        <v>#REF!</v>
      </c>
    </row>
    <row r="468">
      <c r="Z468" s="38" t="str">
        <f t="shared" si="1"/>
        <v>#REF!</v>
      </c>
    </row>
    <row r="469">
      <c r="Z469" s="38" t="str">
        <f t="shared" si="1"/>
        <v>#REF!</v>
      </c>
    </row>
    <row r="470">
      <c r="Z470" s="38" t="str">
        <f t="shared" si="1"/>
        <v>#REF!</v>
      </c>
    </row>
    <row r="471">
      <c r="Z471" s="38" t="str">
        <f t="shared" si="1"/>
        <v>#REF!</v>
      </c>
    </row>
    <row r="472">
      <c r="Z472" s="38" t="str">
        <f t="shared" si="1"/>
        <v>#REF!</v>
      </c>
    </row>
    <row r="473">
      <c r="Z473" s="38" t="str">
        <f t="shared" si="1"/>
        <v>#REF!</v>
      </c>
    </row>
    <row r="474">
      <c r="Z474" s="38" t="str">
        <f t="shared" si="1"/>
        <v>#REF!</v>
      </c>
    </row>
    <row r="475">
      <c r="Z475" s="38" t="str">
        <f t="shared" si="1"/>
        <v>#REF!</v>
      </c>
    </row>
    <row r="476">
      <c r="Z476" s="38" t="str">
        <f t="shared" si="1"/>
        <v>#REF!</v>
      </c>
    </row>
    <row r="477">
      <c r="Z477" s="38" t="str">
        <f t="shared" si="1"/>
        <v>#REF!</v>
      </c>
    </row>
    <row r="478">
      <c r="Z478" s="38" t="str">
        <f t="shared" si="1"/>
        <v>#REF!</v>
      </c>
    </row>
    <row r="479">
      <c r="Z479" s="38" t="str">
        <f t="shared" si="1"/>
        <v>#REF!</v>
      </c>
    </row>
    <row r="480">
      <c r="Z480" s="38" t="str">
        <f t="shared" si="1"/>
        <v>#REF!</v>
      </c>
    </row>
    <row r="481">
      <c r="Z481" s="38" t="str">
        <f t="shared" si="1"/>
        <v>#REF!</v>
      </c>
    </row>
    <row r="482">
      <c r="Z482" s="38" t="str">
        <f t="shared" si="1"/>
        <v>#REF!</v>
      </c>
    </row>
    <row r="483">
      <c r="Z483" s="38" t="str">
        <f t="shared" si="1"/>
        <v>#REF!</v>
      </c>
    </row>
    <row r="484">
      <c r="Z484" s="38" t="str">
        <f t="shared" si="1"/>
        <v>#REF!</v>
      </c>
    </row>
    <row r="485">
      <c r="Z485" s="38" t="str">
        <f t="shared" si="1"/>
        <v>#REF!</v>
      </c>
    </row>
    <row r="486">
      <c r="Z486" s="38" t="str">
        <f t="shared" si="1"/>
        <v>#REF!</v>
      </c>
    </row>
    <row r="487">
      <c r="Z487" s="38" t="str">
        <f t="shared" si="1"/>
        <v>#REF!</v>
      </c>
    </row>
    <row r="488">
      <c r="Z488" s="38" t="str">
        <f t="shared" si="1"/>
        <v>#REF!</v>
      </c>
    </row>
    <row r="489">
      <c r="Z489" s="38" t="str">
        <f t="shared" si="1"/>
        <v>#REF!</v>
      </c>
    </row>
    <row r="490">
      <c r="Z490" s="38" t="str">
        <f t="shared" si="1"/>
        <v>#REF!</v>
      </c>
    </row>
    <row r="491">
      <c r="Z491" s="38" t="str">
        <f t="shared" si="1"/>
        <v>#REF!</v>
      </c>
    </row>
    <row r="492">
      <c r="Z492" s="38" t="str">
        <f t="shared" si="1"/>
        <v>#REF!</v>
      </c>
    </row>
    <row r="493">
      <c r="Z493" s="38" t="str">
        <f t="shared" si="1"/>
        <v>#REF!</v>
      </c>
    </row>
    <row r="494">
      <c r="Z494" s="38" t="str">
        <f t="shared" si="1"/>
        <v>#REF!</v>
      </c>
    </row>
    <row r="495">
      <c r="Z495" s="38" t="str">
        <f t="shared" si="1"/>
        <v>#REF!</v>
      </c>
    </row>
    <row r="496">
      <c r="Z496" s="38" t="str">
        <f t="shared" si="1"/>
        <v>#REF!</v>
      </c>
    </row>
    <row r="497">
      <c r="Z497" s="38" t="str">
        <f t="shared" si="1"/>
        <v>#REF!</v>
      </c>
    </row>
    <row r="498">
      <c r="Z498" s="38" t="str">
        <f t="shared" si="1"/>
        <v>#REF!</v>
      </c>
    </row>
    <row r="499">
      <c r="Z499" s="38" t="str">
        <f t="shared" si="1"/>
        <v>#REF!</v>
      </c>
    </row>
    <row r="500">
      <c r="Z500" s="38" t="str">
        <f t="shared" si="1"/>
        <v>#REF!</v>
      </c>
    </row>
    <row r="501">
      <c r="Z501" s="38" t="str">
        <f t="shared" si="1"/>
        <v>#REF!</v>
      </c>
    </row>
    <row r="502">
      <c r="Z502" s="38" t="str">
        <f t="shared" si="1"/>
        <v>#REF!</v>
      </c>
    </row>
    <row r="503">
      <c r="Z503" s="38" t="str">
        <f t="shared" si="1"/>
        <v>#REF!</v>
      </c>
    </row>
    <row r="504">
      <c r="Z504" s="38" t="str">
        <f t="shared" si="1"/>
        <v>#REF!</v>
      </c>
    </row>
    <row r="505">
      <c r="Z505" s="38" t="str">
        <f t="shared" si="1"/>
        <v>#REF!</v>
      </c>
    </row>
    <row r="506">
      <c r="Z506" s="38" t="str">
        <f t="shared" si="1"/>
        <v>#REF!</v>
      </c>
    </row>
  </sheetData>
  <mergeCells count="2">
    <mergeCell ref="A1:C1"/>
    <mergeCell ref="A3:C3"/>
  </mergeCells>
  <conditionalFormatting sqref="A1">
    <cfRule type="cellIs" dxfId="8" priority="1" operator="equal">
      <formula>"No Active World Event"</formula>
    </cfRule>
  </conditionalFormatting>
  <conditionalFormatting sqref="B1:B1002">
    <cfRule type="expression" dxfId="4" priority="2">
      <formula>ISBETWEEN($B1,1,10,TRUE,FALSE)</formula>
    </cfRule>
  </conditionalFormatting>
  <conditionalFormatting sqref="E1:E1002">
    <cfRule type="expression" dxfId="4" priority="3">
      <formula>ISBETWEEN($E1,1,10,TRUE,FALSE)</formula>
    </cfRule>
  </conditionalFormatting>
  <conditionalFormatting sqref="F1:F1002">
    <cfRule type="expression" dxfId="4" priority="4">
      <formula>ISBETWEEN($F1,1,10,TRUE,FALSE)</formula>
    </cfRule>
  </conditionalFormatting>
  <conditionalFormatting sqref="G1:G1002">
    <cfRule type="expression" dxfId="4" priority="5">
      <formula>ISBETWEEN($G1,1,10,TRUE,FALSE)</formula>
    </cfRule>
  </conditionalFormatting>
  <conditionalFormatting sqref="B1:B1002 E1:G1002">
    <cfRule type="cellIs" dxfId="5" priority="6" operator="between">
      <formula>0.1</formula>
      <formula>1</formula>
    </cfRule>
  </conditionalFormatting>
  <conditionalFormatting sqref="B1:B1002 E1:G1002">
    <cfRule type="cellIs" dxfId="6" priority="7" operator="lessThan">
      <formula>0.1</formula>
    </cfRule>
  </conditionalFormatting>
  <conditionalFormatting sqref="B1:B1002 E1:G1002">
    <cfRule type="cellIs" dxfId="7" priority="8" operator="greaterThanOrEqual">
      <formula>10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1" max="1" width="27.88"/>
    <col customWidth="1" min="2" max="2" width="19.5"/>
    <col customWidth="1" min="3" max="3" width="12.38"/>
  </cols>
  <sheetData>
    <row r="1">
      <c r="A1" s="2" t="str">
        <f>IF(ShopGenerator!A4="None","No Active World Event","Currently Active World Event: '"&amp;ShopGenerator!A4&amp;"'")</f>
        <v>Currently Active World Event: 'Crop Failure'</v>
      </c>
    </row>
    <row r="2">
      <c r="A2" s="36" t="s">
        <v>88</v>
      </c>
    </row>
    <row r="3">
      <c r="A3" s="37" t="s">
        <v>89</v>
      </c>
    </row>
    <row r="4">
      <c r="A4" s="38" t="str">
        <f>"This Spell requires a level " &amp;VLOOKUP(A3,SpellDetails!$A$3:$B$300,2,FALSE)&amp; " spellcaster of the " &amp;VLOOKUP(A3,SpellDetails!$A$3:$C$300,3,FALSE)&amp; " school of magic, and will take " &amp; VLOOKUP(A3,SpellDetails!$A$3:$I$50,9,FALSE) &amp; " to cast."</f>
        <v>This Spell requires a level 9 spellcaster of the Necromancy school of magic, and will take 1 hour to cast.</v>
      </c>
    </row>
    <row r="5">
      <c r="A5" s="42" t="str">
        <f>"Can the party provide spell components? ("&amp;VLOOKUP(A3,SpellDetails!$A$3:$E$1000,5,FALSE)&amp;")"</f>
        <v>Can the party provide spell components? (Diamonds and Holy Water (Sprinkle))</v>
      </c>
    </row>
    <row r="6">
      <c r="A6" s="37" t="s">
        <v>90</v>
      </c>
    </row>
    <row r="7">
      <c r="A7" s="2" t="s">
        <v>91</v>
      </c>
    </row>
    <row r="8">
      <c r="A8" s="2" t="s">
        <v>92</v>
      </c>
    </row>
    <row r="9">
      <c r="A9" s="2" t="str">
        <f>"(currently set to '"  &amp;ShopGenerator!A4&amp; "'), and presents a "&amp; CHAR(34) &amp;"bill"&amp;CHAR(34)&amp;" for the services below:"</f>
        <v>(currently set to 'Crop Failure'), and presents a "bill" for the services below:</v>
      </c>
    </row>
    <row r="12">
      <c r="A12" s="43" t="s">
        <v>93</v>
      </c>
      <c r="B12" s="44">
        <f>IF(A6="No",VLOOKUP(A3,SpellDetails!$A$3:$G$300,7,FALSE),0)</f>
        <v>25025</v>
      </c>
    </row>
    <row r="13">
      <c r="A13" s="45" t="s">
        <v>94</v>
      </c>
      <c r="B13" s="46">
        <f>VLOOKUP(A3,SpellDetails!$A$3:$K$300,11,FALSE)/86400</f>
        <v>0.08333333333</v>
      </c>
    </row>
    <row r="14">
      <c r="A14" s="45" t="s">
        <v>95</v>
      </c>
      <c r="B14" s="46">
        <f>VLOOKUP(A3,SpellDetails!$A$3:$J$300,10,FALSE)/86400</f>
        <v>0.04166666667</v>
      </c>
    </row>
    <row r="15">
      <c r="A15" s="45" t="s">
        <v>96</v>
      </c>
      <c r="B15" s="47" t="str">
        <f>"" &amp;VLOOKUP(A3,SpellDetails!$A$3:$B$300,2,FALSE)&amp;" ("&amp;VLOOKUP(A3,SpellDetails!$A$3:$C$300,3,FALSE)&amp;")"</f>
        <v>9 (Necromancy)</v>
      </c>
    </row>
    <row r="16">
      <c r="A16" s="48" t="s">
        <v>97</v>
      </c>
      <c r="B16" s="49">
        <f>VLOOKUP(A3,SpellDetails!$A$3:$L$300,12,FALSE)</f>
        <v>405</v>
      </c>
    </row>
    <row r="17" ht="33.0" customHeight="1">
      <c r="A17" s="50" t="s">
        <v>98</v>
      </c>
      <c r="B17" s="51">
        <f>B12+B16</f>
        <v>25430</v>
      </c>
      <c r="C17" s="52"/>
      <c r="D17" s="52"/>
      <c r="E17" s="52"/>
      <c r="F17" s="52"/>
      <c r="G17" s="52"/>
      <c r="H17" s="52"/>
      <c r="I17" s="52"/>
      <c r="J17" s="52"/>
      <c r="K17" s="52"/>
      <c r="L17" s="52"/>
      <c r="M17" s="52"/>
      <c r="N17" s="52"/>
      <c r="O17" s="52"/>
      <c r="P17" s="52"/>
      <c r="Q17" s="52"/>
      <c r="R17" s="52"/>
      <c r="S17" s="52"/>
      <c r="T17" s="52"/>
      <c r="U17" s="52"/>
      <c r="V17" s="52"/>
      <c r="W17" s="52"/>
      <c r="X17" s="52"/>
      <c r="Y17" s="52"/>
      <c r="Z17" s="52"/>
    </row>
    <row r="19">
      <c r="A19" s="53" t="s">
        <v>99</v>
      </c>
      <c r="B19" s="53" t="s">
        <v>100</v>
      </c>
    </row>
    <row r="20">
      <c r="A20" s="54">
        <f>B17</f>
        <v>25430</v>
      </c>
      <c r="B20" s="54">
        <f>B17*0.62</f>
        <v>15766.6</v>
      </c>
    </row>
  </sheetData>
  <mergeCells count="3">
    <mergeCell ref="A1:C1"/>
    <mergeCell ref="A2:C2"/>
    <mergeCell ref="A5:E5"/>
  </mergeCells>
  <conditionalFormatting sqref="B12 B16:B20">
    <cfRule type="expression" dxfId="4" priority="1">
      <formula>ISBETWEEN($B12,1,10,TRUE,FALSE)</formula>
    </cfRule>
  </conditionalFormatting>
  <conditionalFormatting sqref="B12 B16:B17 A20:B20">
    <cfRule type="cellIs" dxfId="5" priority="2" operator="between">
      <formula>0.1</formula>
      <formula>1</formula>
    </cfRule>
  </conditionalFormatting>
  <conditionalFormatting sqref="B12 B16:B17 A20:B20">
    <cfRule type="cellIs" dxfId="6" priority="3" operator="lessThan">
      <formula>0.1</formula>
    </cfRule>
  </conditionalFormatting>
  <conditionalFormatting sqref="B12 B16:B17 A20:B20">
    <cfRule type="cellIs" dxfId="7" priority="4" operator="greaterThanOrEqual">
      <formula>10</formula>
    </cfRule>
  </conditionalFormatting>
  <conditionalFormatting sqref="A20">
    <cfRule type="expression" dxfId="4" priority="5">
      <formula>ISBETWEEN($A12,1,10,TRUE,FALSE)</formula>
    </cfRule>
  </conditionalFormatting>
  <conditionalFormatting sqref="A1:C1">
    <cfRule type="cellIs" dxfId="8" priority="6" operator="equal">
      <formula>"No Active World Event"</formula>
    </cfRule>
  </conditionalFormatting>
  <dataValidations>
    <dataValidation type="list" allowBlank="1" sqref="A3">
      <formula1>SpellDetails!$A$3:$A$50</formula1>
    </dataValidation>
    <dataValidation type="list" allowBlank="1" sqref="A6">
      <formula1>"No,Yes"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20.25"/>
    <col customWidth="1" min="2" max="2" width="28.88"/>
    <col customWidth="1" min="3" max="3" width="27.38"/>
    <col customWidth="1" min="33" max="33" width="18.75"/>
    <col customWidth="1" min="40" max="40" width="39.13"/>
    <col customWidth="1" min="41" max="41" width="24.75"/>
    <col customWidth="1" min="42" max="42" width="34.38"/>
    <col customWidth="1" min="43" max="43" width="15.5"/>
    <col customWidth="1" min="44" max="44" width="6.25"/>
    <col customWidth="1" min="45" max="45" width="19.0"/>
    <col customWidth="1" min="46" max="46" width="20.88"/>
    <col customWidth="1" min="47" max="47" width="14.88"/>
    <col customWidth="1" min="48" max="48" width="11.25"/>
    <col customWidth="1" min="49" max="49" width="22.5"/>
    <col customWidth="1" min="50" max="50" width="22.88"/>
    <col customWidth="1" min="51" max="51" width="15.25"/>
    <col customWidth="1" min="52" max="53" width="14.25"/>
    <col customWidth="1" min="54" max="54" width="16.25"/>
    <col customWidth="1" min="55" max="55" width="15.63"/>
    <col customWidth="1" min="56" max="56" width="8.88"/>
    <col customWidth="1" min="57" max="59" width="4.88"/>
    <col customWidth="1" min="60" max="60" width="13.63"/>
    <col customWidth="1" min="61" max="61" width="14.5"/>
    <col customWidth="1" min="62" max="62" width="13.25"/>
    <col customWidth="1" min="63" max="63" width="6.25"/>
    <col customWidth="1" min="64" max="64" width="8.75"/>
    <col customWidth="1" min="65" max="66" width="19.0"/>
    <col customWidth="1" min="67" max="67" width="11.88"/>
    <col customWidth="1" min="68" max="68" width="8.13"/>
    <col customWidth="1" min="69" max="69" width="10.88"/>
    <col customWidth="1" min="70" max="70" width="11.0"/>
    <col customWidth="1" min="71" max="71" width="10.63"/>
    <col customWidth="1" min="72" max="72" width="7.63"/>
    <col customWidth="1" min="73" max="73" width="7.88"/>
    <col customWidth="1" min="74" max="74" width="7.63"/>
    <col customWidth="1" min="75" max="75" width="10.75"/>
    <col customWidth="1" min="76" max="76" width="16.25"/>
    <col customWidth="1" min="77" max="77" width="18.63"/>
    <col customWidth="1" min="78" max="78" width="12.13"/>
    <col customWidth="1" min="79" max="79" width="4.88"/>
    <col customWidth="1" min="80" max="80" width="11.38"/>
    <col customWidth="1" min="81" max="95" width="28.75"/>
  </cols>
  <sheetData>
    <row r="1">
      <c r="A1" s="36" t="s">
        <v>101</v>
      </c>
      <c r="B1" s="36" t="s">
        <v>102</v>
      </c>
      <c r="C1" s="36" t="s">
        <v>103</v>
      </c>
      <c r="D1" s="36" t="s">
        <v>104</v>
      </c>
      <c r="AG1" s="36" t="s">
        <v>105</v>
      </c>
      <c r="AO1" s="36" t="s">
        <v>106</v>
      </c>
      <c r="AP1" s="36" t="s">
        <v>107</v>
      </c>
      <c r="AQ1" s="36" t="s">
        <v>108</v>
      </c>
      <c r="AR1" s="36" t="s">
        <v>109</v>
      </c>
      <c r="AS1" s="36" t="s">
        <v>110</v>
      </c>
      <c r="AT1" s="36" t="s">
        <v>111</v>
      </c>
      <c r="AU1" s="36" t="s">
        <v>112</v>
      </c>
      <c r="AV1" s="36" t="s">
        <v>41</v>
      </c>
      <c r="AW1" s="36" t="s">
        <v>113</v>
      </c>
      <c r="AX1" s="36" t="s">
        <v>114</v>
      </c>
      <c r="AY1" s="36" t="s">
        <v>115</v>
      </c>
      <c r="AZ1" s="36" t="s">
        <v>116</v>
      </c>
      <c r="BA1" s="36" t="s">
        <v>117</v>
      </c>
      <c r="BB1" s="36" t="s">
        <v>118</v>
      </c>
      <c r="BC1" s="36" t="s">
        <v>119</v>
      </c>
      <c r="BD1" s="36" t="s">
        <v>120</v>
      </c>
      <c r="BE1" s="36" t="s">
        <v>121</v>
      </c>
      <c r="BF1" s="36"/>
      <c r="BG1" s="36"/>
      <c r="BH1" s="36" t="s">
        <v>122</v>
      </c>
      <c r="BI1" s="36"/>
      <c r="BJ1" s="36" t="str">
        <f>A2</f>
        <v>Black Market</v>
      </c>
      <c r="BK1" s="36" t="str">
        <f>A3</f>
        <v>Farm</v>
      </c>
      <c r="BL1" s="36" t="str">
        <f>A4</f>
        <v>Fletcher</v>
      </c>
      <c r="BM1" s="36" t="str">
        <f>A5</f>
        <v>General Store (Small)</v>
      </c>
      <c r="BN1" s="36" t="str">
        <f>A6</f>
        <v>General Store (Large)</v>
      </c>
      <c r="BO1" s="36" t="str">
        <f>A7</f>
        <v>Generic NPC</v>
      </c>
      <c r="BP1" s="36" t="str">
        <f>A8</f>
        <v>Hospital</v>
      </c>
      <c r="BQ1" s="36" t="str">
        <f>A9</f>
        <v>Inn (Small)</v>
      </c>
      <c r="BR1" s="36" t="str">
        <f>A10</f>
        <v>Inn (Large)</v>
      </c>
      <c r="BS1" s="36" t="str">
        <f>A11</f>
        <v>Inn (Regal)</v>
      </c>
      <c r="BT1" s="36" t="str">
        <f>A12</f>
        <v>Smithy</v>
      </c>
      <c r="BU1" s="36" t="str">
        <f>A13</f>
        <v>Tannery</v>
      </c>
      <c r="BV1" s="36" t="str">
        <f>A14</f>
        <v>Tavern</v>
      </c>
      <c r="BW1" s="36" t="str">
        <f>A17</f>
        <v>Toll Booth</v>
      </c>
      <c r="BX1" s="36" t="str">
        <f>A18</f>
        <v>Wandering Cleric</v>
      </c>
      <c r="BY1" s="36" t="str">
        <f>A15</f>
        <v>Ten-Towns Fishery</v>
      </c>
      <c r="BZ1" s="36" t="str">
        <f>A16</f>
        <v>Ten-Towns Artisan</v>
      </c>
      <c r="CA1" s="36"/>
      <c r="CB1" s="36"/>
      <c r="CC1" s="36" t="s">
        <v>123</v>
      </c>
      <c r="CD1" s="36" t="s">
        <v>109</v>
      </c>
      <c r="CE1" s="36" t="s">
        <v>110</v>
      </c>
      <c r="CF1" s="36" t="s">
        <v>111</v>
      </c>
      <c r="CG1" s="36" t="s">
        <v>112</v>
      </c>
      <c r="CH1" s="36" t="s">
        <v>41</v>
      </c>
      <c r="CI1" s="36" t="s">
        <v>113</v>
      </c>
      <c r="CJ1" s="36" t="s">
        <v>114</v>
      </c>
      <c r="CK1" s="36" t="s">
        <v>115</v>
      </c>
      <c r="CL1" s="36" t="s">
        <v>116</v>
      </c>
      <c r="CM1" s="36" t="s">
        <v>117</v>
      </c>
      <c r="CN1" s="36" t="s">
        <v>118</v>
      </c>
      <c r="CO1" s="36" t="s">
        <v>119</v>
      </c>
      <c r="CP1" s="36" t="s">
        <v>120</v>
      </c>
      <c r="CQ1" s="36" t="s">
        <v>121</v>
      </c>
    </row>
    <row r="2">
      <c r="A2" s="2" t="s">
        <v>124</v>
      </c>
      <c r="B2" s="38" t="str">
        <f>IF(ShopGenerator!A2="Fletcher", "Pricebook!I2:I254", IF(ShopGenerator!A2="Smithy", "Pricebook!J2:J254", IF(ShopGenerator!A2="General Store (Large)", "Pricebook!K2:K254", IF(ShopGenerator!A2="General Store (Small)", "Pricebook!L2:L254", IF(ShopGenerator!A2="Wandering Cleric", "Pricebook!M2:M254", IF(ShopGenerator!A2="Generic NPC", "Pricebook!N2:N254", IF(ShopGenerator!A2="Toll Booth", "Pricebook!O2:O254", IF(ShopGenerator!A2="Inn (Small)", "Pricebook!P2:P254", IF(ShopGenerator!A2="Inn (Large)", "Pricebook!Q2:Q254", IF(ShopGenerator!A2="Inn (Regal)", "Pricebook!R2:R254", IF(ShopGenerator!A2="Tavern", "Pricebook!S2:S254", IF(ShopGenerator!A2="Tannery", "Pricebook!T2:T254", IF(ShopGenerator!A2="Farm", "Pricebook!U2:U254", IF(ShopGenerator!A2="Hospital", "Pricebook!V2:V254", IF(ShopGenerator!A2="Black Market", "Pricebook!W2:W254", IF(ShopGenerator!A2="Ten-Towns Fishery", "Pricebook!X2:X254", IF(ShopGenerator!A2="Ten-Towns Artisan", "Pricebook!Y2:Y254", "Error")))))))))))))))))</f>
        <v>Pricebook!J2:J254</v>
      </c>
      <c r="C2" s="55">
        <f>COUNTA(Stores!D10:D2004)</f>
        <v>52</v>
      </c>
      <c r="D2" s="38" t="str">
        <f>IFERROR(__xludf.DUMMYFUNCTION("SORT(FILTER(Pricebook!A2:Z254,INDIRECT(ReferenceTables!B2)),26,true)"),"Shovel")</f>
        <v>Shovel</v>
      </c>
      <c r="E2" s="41">
        <f>IFERROR(__xludf.DUMMYFUNCTION("""COMPUTED_VALUE"""),3.0)</f>
        <v>3</v>
      </c>
      <c r="F2" s="38" t="str">
        <f>IFERROR(__xludf.DUMMYFUNCTION("""COMPUTED_VALUE"""),"5 lb.")</f>
        <v>5 lb.</v>
      </c>
      <c r="G2" s="38" t="str">
        <f>IFERROR(__xludf.DUMMYFUNCTION("""COMPUTED_VALUE"""),"Tool")</f>
        <v>Tool</v>
      </c>
      <c r="H2" s="41">
        <f>IFERROR(__xludf.DUMMYFUNCTION("""COMPUTED_VALUE"""),1.8599999999999999)</f>
        <v>1.86</v>
      </c>
      <c r="I2" s="41">
        <f>IFERROR(__xludf.DUMMYFUNCTION("""COMPUTED_VALUE"""),1.5)</f>
        <v>1.5</v>
      </c>
      <c r="J2" s="41">
        <f>IFERROR(__xludf.DUMMYFUNCTION("""COMPUTED_VALUE"""),2.4299999999999997)</f>
        <v>2.43</v>
      </c>
      <c r="K2" s="38"/>
      <c r="L2" s="41" t="b">
        <f>IFERROR(__xludf.DUMMYFUNCTION("""COMPUTED_VALUE"""),FALSE)</f>
        <v>0</v>
      </c>
      <c r="M2" s="41" t="b">
        <f>IFERROR(__xludf.DUMMYFUNCTION("""COMPUTED_VALUE"""),TRUE)</f>
        <v>1</v>
      </c>
      <c r="N2" s="38" t="b">
        <f>IFERROR(__xludf.DUMMYFUNCTION("""COMPUTED_VALUE"""),TRUE)</f>
        <v>1</v>
      </c>
      <c r="O2" s="38" t="b">
        <f>IFERROR(__xludf.DUMMYFUNCTION("""COMPUTED_VALUE"""),TRUE)</f>
        <v>1</v>
      </c>
      <c r="P2" s="38" t="b">
        <f>IFERROR(__xludf.DUMMYFUNCTION("""COMPUTED_VALUE"""),FALSE)</f>
        <v>0</v>
      </c>
      <c r="Q2" s="38" t="b">
        <f>IFERROR(__xludf.DUMMYFUNCTION("""COMPUTED_VALUE"""),FALSE)</f>
        <v>0</v>
      </c>
      <c r="R2" s="38" t="b">
        <f>IFERROR(__xludf.DUMMYFUNCTION("""COMPUTED_VALUE"""),FALSE)</f>
        <v>0</v>
      </c>
      <c r="S2" s="38" t="b">
        <f>IFERROR(__xludf.DUMMYFUNCTION("""COMPUTED_VALUE"""),FALSE)</f>
        <v>0</v>
      </c>
      <c r="T2" s="38" t="b">
        <f>IFERROR(__xludf.DUMMYFUNCTION("""COMPUTED_VALUE"""),FALSE)</f>
        <v>0</v>
      </c>
      <c r="U2" s="38" t="b">
        <f>IFERROR(__xludf.DUMMYFUNCTION("""COMPUTED_VALUE"""),FALSE)</f>
        <v>0</v>
      </c>
      <c r="V2" s="38" t="b">
        <f>IFERROR(__xludf.DUMMYFUNCTION("""COMPUTED_VALUE"""),FALSE)</f>
        <v>0</v>
      </c>
      <c r="W2" s="38" t="b">
        <f>IFERROR(__xludf.DUMMYFUNCTION("""COMPUTED_VALUE"""),FALSE)</f>
        <v>0</v>
      </c>
      <c r="X2" s="38" t="b">
        <f>IFERROR(__xludf.DUMMYFUNCTION("""COMPUTED_VALUE"""),TRUE)</f>
        <v>1</v>
      </c>
      <c r="Y2" s="38" t="b">
        <f>IFERROR(__xludf.DUMMYFUNCTION("""COMPUTED_VALUE"""),FALSE)</f>
        <v>0</v>
      </c>
      <c r="Z2" s="38" t="b">
        <f>IFERROR(__xludf.DUMMYFUNCTION("""COMPUTED_VALUE"""),TRUE)</f>
        <v>1</v>
      </c>
      <c r="AA2" s="38" t="b">
        <f>IFERROR(__xludf.DUMMYFUNCTION("""COMPUTED_VALUE"""),FALSE)</f>
        <v>0</v>
      </c>
      <c r="AB2" s="38" t="b">
        <f>IFERROR(__xludf.DUMMYFUNCTION("""COMPUTED_VALUE"""),FALSE)</f>
        <v>0</v>
      </c>
      <c r="AC2" s="38">
        <f>IFERROR(__xludf.DUMMYFUNCTION("""COMPUTED_VALUE"""),0.021495563587835997)</f>
        <v>0.02149556359</v>
      </c>
      <c r="AG2" s="38" t="str">
        <f>INDIRECT("ReferenceTables!D2:K" &amp; C4+1)</f>
        <v>Shovel</v>
      </c>
      <c r="AH2" s="41">
        <v>3.0</v>
      </c>
      <c r="AI2" s="38" t="s">
        <v>57</v>
      </c>
      <c r="AJ2" s="38" t="s">
        <v>58</v>
      </c>
      <c r="AK2" s="41">
        <v>1.8599999999999999</v>
      </c>
      <c r="AL2" s="41">
        <v>1.5</v>
      </c>
      <c r="AM2" s="41">
        <v>2.4299999999999997</v>
      </c>
      <c r="AN2" s="38"/>
      <c r="AQ2" s="38" t="str">
        <f>IFERROR(__xludf.DUMMYFUNCTION("UNIQUE(Pricebook!D2:D337)"),"Ammunition")</f>
        <v>Ammunition</v>
      </c>
      <c r="AR2" s="2">
        <v>1.0</v>
      </c>
      <c r="AS2" s="2">
        <v>2.0</v>
      </c>
      <c r="AT2" s="2">
        <v>1.5</v>
      </c>
      <c r="AU2" s="2">
        <v>1.0</v>
      </c>
      <c r="AV2" s="2">
        <v>1.0</v>
      </c>
      <c r="AW2" s="2">
        <v>1.0</v>
      </c>
      <c r="AX2" s="2">
        <v>1.0</v>
      </c>
      <c r="AY2" s="2">
        <v>0.5</v>
      </c>
      <c r="AZ2" s="2">
        <v>1.0</v>
      </c>
      <c r="BA2" s="2">
        <v>1.0</v>
      </c>
      <c r="BB2" s="2">
        <v>1.0</v>
      </c>
      <c r="BC2" s="2">
        <v>1.0</v>
      </c>
      <c r="BD2" s="2">
        <v>10.0</v>
      </c>
      <c r="BE2" s="2">
        <v>2.0</v>
      </c>
      <c r="BF2" s="2"/>
      <c r="BG2" s="2"/>
      <c r="BH2" s="2"/>
      <c r="BI2" s="2" t="str">
        <f>IFERROR(__xludf.DUMMYFUNCTION("UNIQUE(Pricebook!A2:A337)"),"Arrows (20)")</f>
        <v>Arrows (20)</v>
      </c>
      <c r="BJ2" s="2">
        <v>1.5</v>
      </c>
      <c r="BK2" s="2">
        <v>1.0</v>
      </c>
      <c r="BL2" s="2">
        <v>1.0</v>
      </c>
      <c r="BM2" s="2">
        <v>1.0</v>
      </c>
      <c r="BN2" s="2">
        <v>1.0</v>
      </c>
      <c r="BO2" s="2">
        <v>1.0</v>
      </c>
      <c r="BP2" s="2">
        <v>1.0</v>
      </c>
      <c r="BQ2" s="2">
        <v>1.0</v>
      </c>
      <c r="BR2" s="2">
        <v>1.0</v>
      </c>
      <c r="BS2" s="2">
        <v>1.0</v>
      </c>
      <c r="BT2" s="2">
        <v>1.0</v>
      </c>
      <c r="BU2" s="2">
        <v>1.0</v>
      </c>
      <c r="BV2" s="2">
        <v>1.0</v>
      </c>
      <c r="BW2" s="2">
        <v>1.0</v>
      </c>
      <c r="BX2" s="2">
        <v>1.0</v>
      </c>
      <c r="BY2" s="2">
        <v>1.0</v>
      </c>
      <c r="BZ2" s="2">
        <v>1.0</v>
      </c>
      <c r="CB2" s="2"/>
      <c r="CC2" s="2" t="s">
        <v>125</v>
      </c>
      <c r="CD2" s="2">
        <v>1.0</v>
      </c>
      <c r="CE2" s="2">
        <v>1.0</v>
      </c>
      <c r="CF2" s="2">
        <v>1.0</v>
      </c>
      <c r="CG2" s="2">
        <v>1.0</v>
      </c>
      <c r="CH2" s="2">
        <v>1.0</v>
      </c>
      <c r="CI2" s="2">
        <v>1.0</v>
      </c>
      <c r="CJ2" s="2">
        <v>2.0</v>
      </c>
      <c r="CK2" s="2">
        <v>1.0</v>
      </c>
      <c r="CL2" s="2">
        <v>1.0</v>
      </c>
      <c r="CM2" s="2">
        <v>1.0</v>
      </c>
      <c r="CN2" s="2">
        <v>0.5</v>
      </c>
      <c r="CO2" s="2">
        <v>1.0</v>
      </c>
      <c r="CP2" s="2">
        <v>1.0</v>
      </c>
      <c r="CQ2" s="2">
        <v>5.0</v>
      </c>
    </row>
    <row r="3">
      <c r="A3" s="2" t="s">
        <v>126</v>
      </c>
      <c r="B3" s="38" t="str">
        <f>IF(ShopGenerator!A2="Fletcher", "9", IF(ShopGenerator!A2="Smithy", "10", IF(ShopGenerator!A2="General Store (Large)", "11", IF(ShopGenerator!A2="General Store (Small)", "12", IF(ShopGenerator!A2="Wandering Cleric", "13", IF(ShopGenerator!A2="Generic NPC", "14", IF(ShopGenerator!A2="Toll Booth", "15", IF(ShopGenerator!A2="Inn (Small)", "16", IF(ShopGenerator!A2="Inn (Large)", "17", IF(ShopGenerator!A2="Inn (Regal)", "18", IF(ShopGenerator!A2="Tavern", "19", IF(ShopGenerator!A2="Tannery", "20", IF(ShopGenerator!A2="Farm", "21", IF(ShopGenerator!A2="Hospital", "22", IF(ShopGenerator!A2="Black Market", "23", IF(ShopGenerator!A2="Ten-Towns Fishery", "24", IF(ShopGenerator!A2="Ten-Towns Artisan", "25", "Error")))))))))))))))))</f>
        <v>10</v>
      </c>
      <c r="C3" s="36" t="s">
        <v>127</v>
      </c>
      <c r="D3" s="38" t="str">
        <f>IFERROR(__xludf.DUMMYFUNCTION("""COMPUTED_VALUE"""),"Longsword")</f>
        <v>Longsword</v>
      </c>
      <c r="E3" s="41">
        <f>IFERROR(__xludf.DUMMYFUNCTION("""COMPUTED_VALUE"""),9.0)</f>
        <v>9</v>
      </c>
      <c r="F3" s="38" t="str">
        <f>IFERROR(__xludf.DUMMYFUNCTION("""COMPUTED_VALUE"""),"3 lb.")</f>
        <v>3 lb.</v>
      </c>
      <c r="G3" s="38" t="str">
        <f>IFERROR(__xludf.DUMMYFUNCTION("""COMPUTED_VALUE"""),"Weapon")</f>
        <v>Weapon</v>
      </c>
      <c r="H3" s="41">
        <f>IFERROR(__xludf.DUMMYFUNCTION("""COMPUTED_VALUE"""),5.58)</f>
        <v>5.58</v>
      </c>
      <c r="I3" s="41">
        <f>IFERROR(__xludf.DUMMYFUNCTION("""COMPUTED_VALUE"""),4.5)</f>
        <v>4.5</v>
      </c>
      <c r="J3" s="41">
        <f>IFERROR(__xludf.DUMMYFUNCTION("""COMPUTED_VALUE"""),7.29)</f>
        <v>7.29</v>
      </c>
      <c r="K3" s="38"/>
      <c r="L3" s="41" t="b">
        <f>IFERROR(__xludf.DUMMYFUNCTION("""COMPUTED_VALUE"""),FALSE)</f>
        <v>0</v>
      </c>
      <c r="M3" s="41" t="b">
        <f>IFERROR(__xludf.DUMMYFUNCTION("""COMPUTED_VALUE"""),TRUE)</f>
        <v>1</v>
      </c>
      <c r="N3" s="38" t="b">
        <f>IFERROR(__xludf.DUMMYFUNCTION("""COMPUTED_VALUE"""),FALSE)</f>
        <v>0</v>
      </c>
      <c r="O3" s="38" t="b">
        <f>IFERROR(__xludf.DUMMYFUNCTION("""COMPUTED_VALUE"""),FALSE)</f>
        <v>0</v>
      </c>
      <c r="P3" s="38" t="b">
        <f>IFERROR(__xludf.DUMMYFUNCTION("""COMPUTED_VALUE"""),FALSE)</f>
        <v>0</v>
      </c>
      <c r="Q3" s="38" t="b">
        <f>IFERROR(__xludf.DUMMYFUNCTION("""COMPUTED_VALUE"""),FALSE)</f>
        <v>0</v>
      </c>
      <c r="R3" s="38" t="b">
        <f>IFERROR(__xludf.DUMMYFUNCTION("""COMPUTED_VALUE"""),FALSE)</f>
        <v>0</v>
      </c>
      <c r="S3" s="38" t="b">
        <f>IFERROR(__xludf.DUMMYFUNCTION("""COMPUTED_VALUE"""),FALSE)</f>
        <v>0</v>
      </c>
      <c r="T3" s="38" t="b">
        <f>IFERROR(__xludf.DUMMYFUNCTION("""COMPUTED_VALUE"""),FALSE)</f>
        <v>0</v>
      </c>
      <c r="U3" s="38" t="b">
        <f>IFERROR(__xludf.DUMMYFUNCTION("""COMPUTED_VALUE"""),FALSE)</f>
        <v>0</v>
      </c>
      <c r="V3" s="38" t="b">
        <f>IFERROR(__xludf.DUMMYFUNCTION("""COMPUTED_VALUE"""),FALSE)</f>
        <v>0</v>
      </c>
      <c r="W3" s="38" t="b">
        <f>IFERROR(__xludf.DUMMYFUNCTION("""COMPUTED_VALUE"""),FALSE)</f>
        <v>0</v>
      </c>
      <c r="X3" s="38" t="b">
        <f>IFERROR(__xludf.DUMMYFUNCTION("""COMPUTED_VALUE"""),FALSE)</f>
        <v>0</v>
      </c>
      <c r="Y3" s="38" t="b">
        <f>IFERROR(__xludf.DUMMYFUNCTION("""COMPUTED_VALUE"""),FALSE)</f>
        <v>0</v>
      </c>
      <c r="Z3" s="38" t="b">
        <f>IFERROR(__xludf.DUMMYFUNCTION("""COMPUTED_VALUE"""),TRUE)</f>
        <v>1</v>
      </c>
      <c r="AA3" s="38" t="b">
        <f>IFERROR(__xludf.DUMMYFUNCTION("""COMPUTED_VALUE"""),FALSE)</f>
        <v>0</v>
      </c>
      <c r="AB3" s="38" t="b">
        <f>IFERROR(__xludf.DUMMYFUNCTION("""COMPUTED_VALUE"""),FALSE)</f>
        <v>0</v>
      </c>
      <c r="AC3" s="38">
        <f>IFERROR(__xludf.DUMMYFUNCTION("""COMPUTED_VALUE"""),0.03441821411552515)</f>
        <v>0.03441821412</v>
      </c>
      <c r="AG3" s="38" t="s">
        <v>74</v>
      </c>
      <c r="AH3" s="41">
        <v>9.0</v>
      </c>
      <c r="AI3" s="38" t="s">
        <v>75</v>
      </c>
      <c r="AJ3" s="38" t="s">
        <v>76</v>
      </c>
      <c r="AK3" s="41">
        <v>5.58</v>
      </c>
      <c r="AL3" s="41">
        <v>4.5</v>
      </c>
      <c r="AM3" s="41">
        <v>7.29</v>
      </c>
      <c r="AN3" s="38"/>
      <c r="AQ3" s="38" t="str">
        <f>IFERROR(__xludf.DUMMYFUNCTION("""COMPUTED_VALUE"""),"Armour")</f>
        <v>Armour</v>
      </c>
      <c r="AR3" s="2">
        <v>1.0</v>
      </c>
      <c r="AS3" s="2">
        <v>2.0</v>
      </c>
      <c r="AT3" s="2">
        <v>1.5</v>
      </c>
      <c r="AU3" s="2">
        <v>1.0</v>
      </c>
      <c r="AV3" s="2">
        <v>1.0</v>
      </c>
      <c r="AW3" s="2">
        <v>1.0</v>
      </c>
      <c r="AX3" s="2">
        <v>1.0</v>
      </c>
      <c r="AY3" s="2">
        <v>0.5</v>
      </c>
      <c r="AZ3" s="2">
        <v>1.0</v>
      </c>
      <c r="BA3" s="2">
        <v>1.0</v>
      </c>
      <c r="BB3" s="2">
        <v>1.0</v>
      </c>
      <c r="BC3" s="2">
        <v>1.0</v>
      </c>
      <c r="BD3" s="2">
        <v>3.0</v>
      </c>
      <c r="BE3" s="2">
        <v>3.0</v>
      </c>
      <c r="BF3" s="2"/>
      <c r="BG3" s="2"/>
      <c r="BH3" s="2"/>
      <c r="BI3" s="2" t="str">
        <f>IFERROR(__xludf.DUMMYFUNCTION("""COMPUTED_VALUE"""),"Blowgun Needles (50)")</f>
        <v>Blowgun Needles (50)</v>
      </c>
      <c r="BJ3" s="2">
        <v>1.5</v>
      </c>
      <c r="BK3" s="2">
        <v>1.0</v>
      </c>
      <c r="BL3" s="2">
        <v>1.0</v>
      </c>
      <c r="BM3" s="2">
        <v>1.0</v>
      </c>
      <c r="BN3" s="2">
        <v>1.0</v>
      </c>
      <c r="BO3" s="2">
        <v>1.0</v>
      </c>
      <c r="BP3" s="2">
        <v>1.0</v>
      </c>
      <c r="BQ3" s="2">
        <v>1.0</v>
      </c>
      <c r="BR3" s="2">
        <v>1.0</v>
      </c>
      <c r="BS3" s="2">
        <v>1.0</v>
      </c>
      <c r="BT3" s="2">
        <v>1.0</v>
      </c>
      <c r="BU3" s="2">
        <v>1.0</v>
      </c>
      <c r="BV3" s="2">
        <v>1.0</v>
      </c>
      <c r="BW3" s="2">
        <v>1.0</v>
      </c>
      <c r="BX3" s="2">
        <v>1.0</v>
      </c>
      <c r="BY3" s="2">
        <v>1.0</v>
      </c>
      <c r="BZ3" s="2">
        <v>1.0</v>
      </c>
      <c r="CB3" s="2"/>
      <c r="CC3" s="2" t="s">
        <v>128</v>
      </c>
      <c r="CD3" s="2">
        <v>1.0</v>
      </c>
      <c r="CE3" s="2">
        <v>0.5</v>
      </c>
      <c r="CF3" s="2">
        <v>0.4</v>
      </c>
      <c r="CG3" s="2">
        <v>1.5</v>
      </c>
      <c r="CH3" s="2">
        <v>1.0</v>
      </c>
      <c r="CI3" s="2">
        <v>1.2</v>
      </c>
      <c r="CJ3" s="2">
        <v>1.0</v>
      </c>
      <c r="CK3" s="2">
        <v>0.5</v>
      </c>
      <c r="CL3" s="2">
        <v>1.0</v>
      </c>
      <c r="CM3" s="2">
        <v>2.0</v>
      </c>
      <c r="CN3" s="2">
        <v>0.5</v>
      </c>
      <c r="CO3" s="2">
        <v>2.0</v>
      </c>
      <c r="CP3" s="2">
        <v>2.0</v>
      </c>
      <c r="CQ3" s="2">
        <v>0.6</v>
      </c>
    </row>
    <row r="4">
      <c r="A4" s="56" t="s">
        <v>129</v>
      </c>
      <c r="C4" s="55" t="str">
        <f>IF(ShopGenerator!A2="Fletcher", "7", IF(ShopGenerator!A2="Smithy", "25", IF(ShopGenerator!A2="General Store (Large)", "50", IF(ShopGenerator!A2="General Store (Small)", "15", IF(ShopGenerator!A2="Wandering Cleric", "7", IF(ShopGenerator!A2="Generic NPC","3", IF(ShopGenerator!A2="Toll Booth", "6",  IF(ShopGenerator!A2="Black Market", "15", IF(ShopGenerator!A2="Ten-Towns Artisan", "6", IF(ShopGenerator!A2="Ten-Towns Fishery", "2", INT((C2/7)*5)))))))))))</f>
        <v>25</v>
      </c>
      <c r="D4" s="38" t="str">
        <f>IFERROR(__xludf.DUMMYFUNCTION("""COMPUTED_VALUE"""),"Woodcarver’s Tools")</f>
        <v>Woodcarver’s Tools</v>
      </c>
      <c r="E4" s="41">
        <f>IFERROR(__xludf.DUMMYFUNCTION("""COMPUTED_VALUE"""),1.5)</f>
        <v>1.5</v>
      </c>
      <c r="F4" s="38" t="str">
        <f>IFERROR(__xludf.DUMMYFUNCTION("""COMPUTED_VALUE"""),"5 lb.")</f>
        <v>5 lb.</v>
      </c>
      <c r="G4" s="38" t="str">
        <f>IFERROR(__xludf.DUMMYFUNCTION("""COMPUTED_VALUE"""),"Tool")</f>
        <v>Tool</v>
      </c>
      <c r="H4" s="41">
        <f>IFERROR(__xludf.DUMMYFUNCTION("""COMPUTED_VALUE"""),0.9299999999999999)</f>
        <v>0.93</v>
      </c>
      <c r="I4" s="41">
        <f>IFERROR(__xludf.DUMMYFUNCTION("""COMPUTED_VALUE"""),0.75)</f>
        <v>0.75</v>
      </c>
      <c r="J4" s="41">
        <f>IFERROR(__xludf.DUMMYFUNCTION("""COMPUTED_VALUE"""),1.2149999999999999)</f>
        <v>1.215</v>
      </c>
      <c r="K4" s="38" t="str">
        <f>IFERROR(__xludf.DUMMYFUNCTION("""COMPUTED_VALUE"""),"This kit includes the basic items needed by those proficient in woodcarving to pursue their craft. Can also be used in the production of scrimshaw.")</f>
        <v>This kit includes the basic items needed by those proficient in woodcarving to pursue their craft. Can also be used in the production of scrimshaw.</v>
      </c>
      <c r="L4" s="38" t="b">
        <f>IFERROR(__xludf.DUMMYFUNCTION("""COMPUTED_VALUE"""),FALSE)</f>
        <v>0</v>
      </c>
      <c r="M4" s="38" t="b">
        <f>IFERROR(__xludf.DUMMYFUNCTION("""COMPUTED_VALUE"""),TRUE)</f>
        <v>1</v>
      </c>
      <c r="N4" s="38" t="b">
        <f>IFERROR(__xludf.DUMMYFUNCTION("""COMPUTED_VALUE"""),FALSE)</f>
        <v>0</v>
      </c>
      <c r="O4" s="38" t="b">
        <f>IFERROR(__xludf.DUMMYFUNCTION("""COMPUTED_VALUE"""),FALSE)</f>
        <v>0</v>
      </c>
      <c r="P4" s="38" t="b">
        <f>IFERROR(__xludf.DUMMYFUNCTION("""COMPUTED_VALUE"""),FALSE)</f>
        <v>0</v>
      </c>
      <c r="Q4" s="38" t="b">
        <f>IFERROR(__xludf.DUMMYFUNCTION("""COMPUTED_VALUE"""),FALSE)</f>
        <v>0</v>
      </c>
      <c r="R4" s="38" t="b">
        <f>IFERROR(__xludf.DUMMYFUNCTION("""COMPUTED_VALUE"""),FALSE)</f>
        <v>0</v>
      </c>
      <c r="S4" s="38" t="b">
        <f>IFERROR(__xludf.DUMMYFUNCTION("""COMPUTED_VALUE"""),FALSE)</f>
        <v>0</v>
      </c>
      <c r="T4" s="38" t="b">
        <f>IFERROR(__xludf.DUMMYFUNCTION("""COMPUTED_VALUE"""),FALSE)</f>
        <v>0</v>
      </c>
      <c r="U4" s="38" t="b">
        <f>IFERROR(__xludf.DUMMYFUNCTION("""COMPUTED_VALUE"""),FALSE)</f>
        <v>0</v>
      </c>
      <c r="V4" s="38" t="b">
        <f>IFERROR(__xludf.DUMMYFUNCTION("""COMPUTED_VALUE"""),FALSE)</f>
        <v>0</v>
      </c>
      <c r="W4" s="38" t="b">
        <f>IFERROR(__xludf.DUMMYFUNCTION("""COMPUTED_VALUE"""),FALSE)</f>
        <v>0</v>
      </c>
      <c r="X4" s="38" t="b">
        <f>IFERROR(__xludf.DUMMYFUNCTION("""COMPUTED_VALUE"""),FALSE)</f>
        <v>0</v>
      </c>
      <c r="Y4" s="38" t="b">
        <f>IFERROR(__xludf.DUMMYFUNCTION("""COMPUTED_VALUE"""),FALSE)</f>
        <v>0</v>
      </c>
      <c r="Z4" s="38" t="b">
        <f>IFERROR(__xludf.DUMMYFUNCTION("""COMPUTED_VALUE"""),FALSE)</f>
        <v>0</v>
      </c>
      <c r="AA4" s="38" t="b">
        <f>IFERROR(__xludf.DUMMYFUNCTION("""COMPUTED_VALUE"""),FALSE)</f>
        <v>0</v>
      </c>
      <c r="AB4" s="38" t="b">
        <f>IFERROR(__xludf.DUMMYFUNCTION("""COMPUTED_VALUE"""),TRUE)</f>
        <v>1</v>
      </c>
      <c r="AC4" s="38">
        <f>IFERROR(__xludf.DUMMYFUNCTION("""COMPUTED_VALUE"""),0.04555808175456311)</f>
        <v>0.04555808175</v>
      </c>
      <c r="AG4" s="38" t="s">
        <v>59</v>
      </c>
      <c r="AH4" s="41">
        <v>1.5</v>
      </c>
      <c r="AI4" s="38" t="s">
        <v>57</v>
      </c>
      <c r="AJ4" s="38" t="s">
        <v>58</v>
      </c>
      <c r="AK4" s="41">
        <v>0.9299999999999999</v>
      </c>
      <c r="AL4" s="41">
        <v>0.75</v>
      </c>
      <c r="AM4" s="41">
        <v>1.2149999999999999</v>
      </c>
      <c r="AN4" s="38" t="s">
        <v>60</v>
      </c>
      <c r="AQ4" s="38" t="str">
        <f>IFERROR(__xludf.DUMMYFUNCTION("""COMPUTED_VALUE"""),"Accommodation")</f>
        <v>Accommodation</v>
      </c>
      <c r="AR4" s="2">
        <v>1.0</v>
      </c>
      <c r="AS4" s="2">
        <v>1.0</v>
      </c>
      <c r="AT4" s="2">
        <v>1.0</v>
      </c>
      <c r="AU4" s="2">
        <v>1.0</v>
      </c>
      <c r="AV4" s="2">
        <v>1.0</v>
      </c>
      <c r="AW4" s="2">
        <v>1.0</v>
      </c>
      <c r="AX4" s="2">
        <v>1.0</v>
      </c>
      <c r="AY4" s="2">
        <v>1.0</v>
      </c>
      <c r="AZ4" s="2">
        <v>1.0</v>
      </c>
      <c r="BA4" s="2">
        <v>1.0</v>
      </c>
      <c r="BB4" s="2">
        <v>1.0</v>
      </c>
      <c r="BC4" s="2">
        <v>1.0</v>
      </c>
      <c r="BD4" s="2">
        <v>1.0</v>
      </c>
      <c r="BE4" s="2">
        <v>1.0</v>
      </c>
      <c r="BF4" s="2"/>
      <c r="BG4" s="2"/>
      <c r="BH4" s="2"/>
      <c r="BI4" s="2" t="str">
        <f>IFERROR(__xludf.DUMMYFUNCTION("""COMPUTED_VALUE"""),"Crossbow Bolts (20)")</f>
        <v>Crossbow Bolts (20)</v>
      </c>
      <c r="BJ4" s="2">
        <v>1.5</v>
      </c>
      <c r="BK4" s="2">
        <v>1.0</v>
      </c>
      <c r="BL4" s="2">
        <v>1.0</v>
      </c>
      <c r="BM4" s="2">
        <v>1.0</v>
      </c>
      <c r="BN4" s="2">
        <v>1.0</v>
      </c>
      <c r="BO4" s="2">
        <v>1.0</v>
      </c>
      <c r="BP4" s="2">
        <v>1.0</v>
      </c>
      <c r="BQ4" s="2">
        <v>1.0</v>
      </c>
      <c r="BR4" s="2">
        <v>1.0</v>
      </c>
      <c r="BS4" s="2">
        <v>1.0</v>
      </c>
      <c r="BT4" s="2">
        <v>1.0</v>
      </c>
      <c r="BU4" s="2">
        <v>1.0</v>
      </c>
      <c r="BV4" s="2">
        <v>1.0</v>
      </c>
      <c r="BW4" s="2">
        <v>1.0</v>
      </c>
      <c r="BX4" s="2">
        <v>1.0</v>
      </c>
      <c r="BY4" s="2">
        <v>1.0</v>
      </c>
      <c r="BZ4" s="2">
        <v>1.0</v>
      </c>
      <c r="CB4" s="2"/>
      <c r="CC4" s="2"/>
      <c r="CD4" s="2"/>
      <c r="CE4" s="2"/>
      <c r="CF4" s="2"/>
      <c r="CG4" s="2"/>
      <c r="CH4" s="2"/>
      <c r="CI4" s="2"/>
      <c r="CJ4" s="2"/>
      <c r="CK4" s="2"/>
      <c r="CL4" s="2"/>
      <c r="CM4" s="2"/>
      <c r="CN4" s="2"/>
      <c r="CO4" s="2"/>
      <c r="CP4" s="2"/>
      <c r="CQ4" s="2"/>
    </row>
    <row r="5">
      <c r="A5" s="2" t="s">
        <v>130</v>
      </c>
      <c r="D5" s="38" t="str">
        <f>IFERROR(__xludf.DUMMYFUNCTION("""COMPUTED_VALUE"""),"Scimitar")</f>
        <v>Scimitar</v>
      </c>
      <c r="E5" s="41">
        <f>IFERROR(__xludf.DUMMYFUNCTION("""COMPUTED_VALUE"""),15.0)</f>
        <v>15</v>
      </c>
      <c r="F5" s="38" t="str">
        <f>IFERROR(__xludf.DUMMYFUNCTION("""COMPUTED_VALUE"""),"3 lb.")</f>
        <v>3 lb.</v>
      </c>
      <c r="G5" s="38" t="str">
        <f>IFERROR(__xludf.DUMMYFUNCTION("""COMPUTED_VALUE"""),"Weapon")</f>
        <v>Weapon</v>
      </c>
      <c r="H5" s="41">
        <f>IFERROR(__xludf.DUMMYFUNCTION("""COMPUTED_VALUE"""),9.3)</f>
        <v>9.3</v>
      </c>
      <c r="I5" s="41">
        <f>IFERROR(__xludf.DUMMYFUNCTION("""COMPUTED_VALUE"""),7.5)</f>
        <v>7.5</v>
      </c>
      <c r="J5" s="41">
        <f>IFERROR(__xludf.DUMMYFUNCTION("""COMPUTED_VALUE"""),12.15)</f>
        <v>12.15</v>
      </c>
      <c r="K5" s="38"/>
      <c r="L5" s="41" t="b">
        <f>IFERROR(__xludf.DUMMYFUNCTION("""COMPUTED_VALUE"""),FALSE)</f>
        <v>0</v>
      </c>
      <c r="M5" s="41" t="b">
        <f>IFERROR(__xludf.DUMMYFUNCTION("""COMPUTED_VALUE"""),TRUE)</f>
        <v>1</v>
      </c>
      <c r="N5" s="38" t="b">
        <f>IFERROR(__xludf.DUMMYFUNCTION("""COMPUTED_VALUE"""),FALSE)</f>
        <v>0</v>
      </c>
      <c r="O5" s="38" t="b">
        <f>IFERROR(__xludf.DUMMYFUNCTION("""COMPUTED_VALUE"""),FALSE)</f>
        <v>0</v>
      </c>
      <c r="P5" s="38" t="b">
        <f>IFERROR(__xludf.DUMMYFUNCTION("""COMPUTED_VALUE"""),FALSE)</f>
        <v>0</v>
      </c>
      <c r="Q5" s="38" t="b">
        <f>IFERROR(__xludf.DUMMYFUNCTION("""COMPUTED_VALUE"""),FALSE)</f>
        <v>0</v>
      </c>
      <c r="R5" s="38" t="b">
        <f>IFERROR(__xludf.DUMMYFUNCTION("""COMPUTED_VALUE"""),FALSE)</f>
        <v>0</v>
      </c>
      <c r="S5" s="38" t="b">
        <f>IFERROR(__xludf.DUMMYFUNCTION("""COMPUTED_VALUE"""),FALSE)</f>
        <v>0</v>
      </c>
      <c r="T5" s="38" t="b">
        <f>IFERROR(__xludf.DUMMYFUNCTION("""COMPUTED_VALUE"""),FALSE)</f>
        <v>0</v>
      </c>
      <c r="U5" s="38" t="b">
        <f>IFERROR(__xludf.DUMMYFUNCTION("""COMPUTED_VALUE"""),FALSE)</f>
        <v>0</v>
      </c>
      <c r="V5" s="38" t="b">
        <f>IFERROR(__xludf.DUMMYFUNCTION("""COMPUTED_VALUE"""),FALSE)</f>
        <v>0</v>
      </c>
      <c r="W5" s="38" t="b">
        <f>IFERROR(__xludf.DUMMYFUNCTION("""COMPUTED_VALUE"""),FALSE)</f>
        <v>0</v>
      </c>
      <c r="X5" s="38" t="b">
        <f>IFERROR(__xludf.DUMMYFUNCTION("""COMPUTED_VALUE"""),FALSE)</f>
        <v>0</v>
      </c>
      <c r="Y5" s="38" t="b">
        <f>IFERROR(__xludf.DUMMYFUNCTION("""COMPUTED_VALUE"""),FALSE)</f>
        <v>0</v>
      </c>
      <c r="Z5" s="38" t="b">
        <f>IFERROR(__xludf.DUMMYFUNCTION("""COMPUTED_VALUE"""),TRUE)</f>
        <v>1</v>
      </c>
      <c r="AA5" s="38" t="b">
        <f>IFERROR(__xludf.DUMMYFUNCTION("""COMPUTED_VALUE"""),FALSE)</f>
        <v>0</v>
      </c>
      <c r="AB5" s="38" t="b">
        <f>IFERROR(__xludf.DUMMYFUNCTION("""COMPUTED_VALUE"""),FALSE)</f>
        <v>0</v>
      </c>
      <c r="AC5" s="38">
        <f>IFERROR(__xludf.DUMMYFUNCTION("""COMPUTED_VALUE"""),0.09915610129751107)</f>
        <v>0.0991561013</v>
      </c>
      <c r="AG5" s="38" t="s">
        <v>77</v>
      </c>
      <c r="AH5" s="41">
        <v>15.0</v>
      </c>
      <c r="AI5" s="38" t="s">
        <v>75</v>
      </c>
      <c r="AJ5" s="38" t="s">
        <v>76</v>
      </c>
      <c r="AK5" s="41">
        <v>9.3</v>
      </c>
      <c r="AL5" s="41">
        <v>7.5</v>
      </c>
      <c r="AM5" s="41">
        <v>12.15</v>
      </c>
      <c r="AN5" s="38"/>
      <c r="AQ5" s="38" t="str">
        <f>IFERROR(__xludf.DUMMYFUNCTION("""COMPUTED_VALUE"""),"Clothing")</f>
        <v>Clothing</v>
      </c>
      <c r="AR5" s="2">
        <v>1.0</v>
      </c>
      <c r="AS5" s="2">
        <v>0.5</v>
      </c>
      <c r="AT5" s="2">
        <v>1.0</v>
      </c>
      <c r="AU5" s="2">
        <v>2.0</v>
      </c>
      <c r="AV5" s="2">
        <v>1.0</v>
      </c>
      <c r="AW5" s="2">
        <v>2.0</v>
      </c>
      <c r="AX5" s="2">
        <v>2.0</v>
      </c>
      <c r="AY5" s="2">
        <v>10.0</v>
      </c>
      <c r="AZ5" s="2">
        <v>1.0</v>
      </c>
      <c r="BA5" s="2">
        <v>5.0</v>
      </c>
      <c r="BB5" s="2">
        <v>2.0</v>
      </c>
      <c r="BC5" s="2">
        <v>10.0</v>
      </c>
      <c r="BD5" s="2">
        <v>1.0</v>
      </c>
      <c r="BE5" s="2">
        <v>2.0</v>
      </c>
      <c r="BF5" s="2"/>
      <c r="BG5" s="2"/>
      <c r="BH5" s="2"/>
      <c r="BI5" s="2" t="str">
        <f>IFERROR(__xludf.DUMMYFUNCTION("""COMPUTED_VALUE"""),"Sling Bullets (20)")</f>
        <v>Sling Bullets (20)</v>
      </c>
      <c r="BJ5" s="2">
        <v>1.5</v>
      </c>
      <c r="BK5" s="2">
        <v>1.0</v>
      </c>
      <c r="BL5" s="2">
        <v>1.0</v>
      </c>
      <c r="BM5" s="2">
        <v>1.0</v>
      </c>
      <c r="BN5" s="2">
        <v>1.0</v>
      </c>
      <c r="BO5" s="2">
        <v>1.0</v>
      </c>
      <c r="BP5" s="2">
        <v>1.0</v>
      </c>
      <c r="BQ5" s="2">
        <v>1.0</v>
      </c>
      <c r="BR5" s="2">
        <v>1.0</v>
      </c>
      <c r="BS5" s="2">
        <v>1.0</v>
      </c>
      <c r="BT5" s="2">
        <v>1.0</v>
      </c>
      <c r="BU5" s="2">
        <v>1.0</v>
      </c>
      <c r="BV5" s="2">
        <v>1.0</v>
      </c>
      <c r="BW5" s="2">
        <v>1.0</v>
      </c>
      <c r="BX5" s="2">
        <v>1.0</v>
      </c>
      <c r="BY5" s="2">
        <v>1.0</v>
      </c>
      <c r="BZ5" s="2">
        <v>1.0</v>
      </c>
      <c r="CB5" s="2"/>
      <c r="CC5" s="2"/>
      <c r="CD5" s="2"/>
      <c r="CE5" s="2"/>
      <c r="CF5" s="2"/>
      <c r="CG5" s="2"/>
      <c r="CH5" s="2"/>
      <c r="CI5" s="2"/>
      <c r="CJ5" s="2"/>
      <c r="CK5" s="2"/>
      <c r="CL5" s="2"/>
      <c r="CM5" s="2"/>
      <c r="CN5" s="2"/>
      <c r="CO5" s="2"/>
      <c r="CP5" s="2"/>
      <c r="CQ5" s="2"/>
    </row>
    <row r="6">
      <c r="A6" s="2" t="s">
        <v>131</v>
      </c>
      <c r="D6" s="38" t="str">
        <f>IFERROR(__xludf.DUMMYFUNCTION("""COMPUTED_VALUE"""),"Iron Spikes")</f>
        <v>Iron Spikes</v>
      </c>
      <c r="E6" s="41">
        <f>IFERROR(__xludf.DUMMYFUNCTION("""COMPUTED_VALUE"""),1.5)</f>
        <v>1.5</v>
      </c>
      <c r="F6" s="38" t="str">
        <f>IFERROR(__xludf.DUMMYFUNCTION("""COMPUTED_VALUE"""),"5 lb., 10 spikes")</f>
        <v>5 lb., 10 spikes</v>
      </c>
      <c r="G6" s="38" t="str">
        <f>IFERROR(__xludf.DUMMYFUNCTION("""COMPUTED_VALUE"""),"Tool")</f>
        <v>Tool</v>
      </c>
      <c r="H6" s="41">
        <f>IFERROR(__xludf.DUMMYFUNCTION("""COMPUTED_VALUE"""),0.9299999999999999)</f>
        <v>0.93</v>
      </c>
      <c r="I6" s="41">
        <f>IFERROR(__xludf.DUMMYFUNCTION("""COMPUTED_VALUE"""),0.75)</f>
        <v>0.75</v>
      </c>
      <c r="J6" s="41">
        <f>IFERROR(__xludf.DUMMYFUNCTION("""COMPUTED_VALUE"""),1.2149999999999999)</f>
        <v>1.215</v>
      </c>
      <c r="K6" s="38"/>
      <c r="L6" s="41" t="b">
        <f>IFERROR(__xludf.DUMMYFUNCTION("""COMPUTED_VALUE"""),FALSE)</f>
        <v>0</v>
      </c>
      <c r="M6" s="41" t="b">
        <f>IFERROR(__xludf.DUMMYFUNCTION("""COMPUTED_VALUE"""),TRUE)</f>
        <v>1</v>
      </c>
      <c r="N6" s="38" t="b">
        <f>IFERROR(__xludf.DUMMYFUNCTION("""COMPUTED_VALUE"""),TRUE)</f>
        <v>1</v>
      </c>
      <c r="O6" s="38" t="b">
        <f>IFERROR(__xludf.DUMMYFUNCTION("""COMPUTED_VALUE"""),TRUE)</f>
        <v>1</v>
      </c>
      <c r="P6" s="38" t="b">
        <f>IFERROR(__xludf.DUMMYFUNCTION("""COMPUTED_VALUE"""),FALSE)</f>
        <v>0</v>
      </c>
      <c r="Q6" s="38" t="b">
        <f>IFERROR(__xludf.DUMMYFUNCTION("""COMPUTED_VALUE"""),FALSE)</f>
        <v>0</v>
      </c>
      <c r="R6" s="38" t="b">
        <f>IFERROR(__xludf.DUMMYFUNCTION("""COMPUTED_VALUE"""),FALSE)</f>
        <v>0</v>
      </c>
      <c r="S6" s="38" t="b">
        <f>IFERROR(__xludf.DUMMYFUNCTION("""COMPUTED_VALUE"""),FALSE)</f>
        <v>0</v>
      </c>
      <c r="T6" s="38" t="b">
        <f>IFERROR(__xludf.DUMMYFUNCTION("""COMPUTED_VALUE"""),FALSE)</f>
        <v>0</v>
      </c>
      <c r="U6" s="38" t="b">
        <f>IFERROR(__xludf.DUMMYFUNCTION("""COMPUTED_VALUE"""),FALSE)</f>
        <v>0</v>
      </c>
      <c r="V6" s="38" t="b">
        <f>IFERROR(__xludf.DUMMYFUNCTION("""COMPUTED_VALUE"""),FALSE)</f>
        <v>0</v>
      </c>
      <c r="W6" s="38" t="b">
        <f>IFERROR(__xludf.DUMMYFUNCTION("""COMPUTED_VALUE"""),FALSE)</f>
        <v>0</v>
      </c>
      <c r="X6" s="38" t="b">
        <f>IFERROR(__xludf.DUMMYFUNCTION("""COMPUTED_VALUE"""),TRUE)</f>
        <v>1</v>
      </c>
      <c r="Y6" s="38" t="b">
        <f>IFERROR(__xludf.DUMMYFUNCTION("""COMPUTED_VALUE"""),FALSE)</f>
        <v>0</v>
      </c>
      <c r="Z6" s="38" t="b">
        <f>IFERROR(__xludf.DUMMYFUNCTION("""COMPUTED_VALUE"""),TRUE)</f>
        <v>1</v>
      </c>
      <c r="AA6" s="38" t="b">
        <f>IFERROR(__xludf.DUMMYFUNCTION("""COMPUTED_VALUE"""),FALSE)</f>
        <v>0</v>
      </c>
      <c r="AB6" s="38" t="b">
        <f>IFERROR(__xludf.DUMMYFUNCTION("""COMPUTED_VALUE"""),FALSE)</f>
        <v>0</v>
      </c>
      <c r="AC6" s="38">
        <f>IFERROR(__xludf.DUMMYFUNCTION("""COMPUTED_VALUE"""),0.10413643385519544)</f>
        <v>0.1041364339</v>
      </c>
      <c r="AG6" s="38" t="s">
        <v>61</v>
      </c>
      <c r="AH6" s="41">
        <v>1.5</v>
      </c>
      <c r="AI6" s="38" t="s">
        <v>62</v>
      </c>
      <c r="AJ6" s="38" t="s">
        <v>58</v>
      </c>
      <c r="AK6" s="41">
        <v>0.9299999999999999</v>
      </c>
      <c r="AL6" s="41">
        <v>0.75</v>
      </c>
      <c r="AM6" s="41">
        <v>1.2149999999999999</v>
      </c>
      <c r="AN6" s="38"/>
      <c r="AQ6" s="38" t="str">
        <f>IFERROR(__xludf.DUMMYFUNCTION("""COMPUTED_VALUE"""),"Container")</f>
        <v>Container</v>
      </c>
      <c r="AR6" s="2">
        <v>1.0</v>
      </c>
      <c r="AS6" s="2">
        <v>0.5</v>
      </c>
      <c r="AT6" s="2">
        <v>1.0</v>
      </c>
      <c r="AU6" s="2">
        <v>1.0</v>
      </c>
      <c r="AV6" s="2">
        <v>1.0</v>
      </c>
      <c r="AW6" s="2">
        <v>3.0</v>
      </c>
      <c r="AX6" s="2">
        <v>0.8</v>
      </c>
      <c r="AY6" s="2">
        <v>1.0</v>
      </c>
      <c r="AZ6" s="2">
        <v>1.0</v>
      </c>
      <c r="BA6" s="2">
        <v>1.0</v>
      </c>
      <c r="BB6" s="2">
        <v>1.2</v>
      </c>
      <c r="BC6" s="2">
        <v>1.0</v>
      </c>
      <c r="BD6" s="2">
        <v>1.0</v>
      </c>
      <c r="BE6" s="2">
        <v>2.0</v>
      </c>
      <c r="BF6" s="2"/>
      <c r="BG6" s="2"/>
      <c r="BH6" s="2"/>
      <c r="BI6" s="2" t="str">
        <f>IFERROR(__xludf.DUMMYFUNCTION("""COMPUTED_VALUE"""),"Leather Draught Horse Barding")</f>
        <v>Leather Draught Horse Barding</v>
      </c>
      <c r="BJ6" s="2">
        <v>1.5</v>
      </c>
      <c r="BK6" s="2">
        <v>1.0</v>
      </c>
      <c r="BL6" s="2">
        <v>1.0</v>
      </c>
      <c r="BM6" s="2">
        <v>1.0</v>
      </c>
      <c r="BN6" s="2">
        <v>1.0</v>
      </c>
      <c r="BO6" s="2">
        <v>1.0</v>
      </c>
      <c r="BP6" s="2">
        <v>1.0</v>
      </c>
      <c r="BQ6" s="2">
        <v>1.0</v>
      </c>
      <c r="BR6" s="2">
        <v>1.0</v>
      </c>
      <c r="BS6" s="2">
        <v>1.0</v>
      </c>
      <c r="BT6" s="2">
        <v>1.0</v>
      </c>
      <c r="BU6" s="2">
        <v>1.0</v>
      </c>
      <c r="BV6" s="2">
        <v>1.0</v>
      </c>
      <c r="BW6" s="2">
        <v>1.0</v>
      </c>
      <c r="BX6" s="2">
        <v>1.0</v>
      </c>
      <c r="BY6" s="2">
        <v>1.0</v>
      </c>
      <c r="BZ6" s="2">
        <v>1.0</v>
      </c>
      <c r="CB6" s="2"/>
      <c r="CC6" s="2"/>
      <c r="CD6" s="2"/>
      <c r="CE6" s="2"/>
      <c r="CF6" s="2"/>
      <c r="CG6" s="2"/>
      <c r="CH6" s="2"/>
      <c r="CI6" s="2"/>
      <c r="CJ6" s="2"/>
      <c r="CK6" s="2"/>
      <c r="CL6" s="2"/>
      <c r="CM6" s="2"/>
      <c r="CN6" s="2"/>
      <c r="CO6" s="2"/>
      <c r="CP6" s="2"/>
      <c r="CQ6" s="2"/>
    </row>
    <row r="7">
      <c r="A7" s="2" t="s">
        <v>132</v>
      </c>
      <c r="D7" s="38" t="str">
        <f>IFERROR(__xludf.DUMMYFUNCTION("""COMPUTED_VALUE"""),"Spear")</f>
        <v>Spear</v>
      </c>
      <c r="E7" s="41">
        <f>IFERROR(__xludf.DUMMYFUNCTION("""COMPUTED_VALUE"""),0.6)</f>
        <v>0.6</v>
      </c>
      <c r="F7" s="38" t="str">
        <f>IFERROR(__xludf.DUMMYFUNCTION("""COMPUTED_VALUE"""),"3 lb.")</f>
        <v>3 lb.</v>
      </c>
      <c r="G7" s="38" t="str">
        <f>IFERROR(__xludf.DUMMYFUNCTION("""COMPUTED_VALUE"""),"Weapon")</f>
        <v>Weapon</v>
      </c>
      <c r="H7" s="41">
        <f>IFERROR(__xludf.DUMMYFUNCTION("""COMPUTED_VALUE"""),0.372)</f>
        <v>0.372</v>
      </c>
      <c r="I7" s="41">
        <f>IFERROR(__xludf.DUMMYFUNCTION("""COMPUTED_VALUE"""),0.3)</f>
        <v>0.3</v>
      </c>
      <c r="J7" s="41">
        <f>IFERROR(__xludf.DUMMYFUNCTION("""COMPUTED_VALUE"""),0.486)</f>
        <v>0.486</v>
      </c>
      <c r="K7" s="38"/>
      <c r="L7" s="41" t="b">
        <f>IFERROR(__xludf.DUMMYFUNCTION("""COMPUTED_VALUE"""),FALSE)</f>
        <v>0</v>
      </c>
      <c r="M7" s="41" t="b">
        <f>IFERROR(__xludf.DUMMYFUNCTION("""COMPUTED_VALUE"""),TRUE)</f>
        <v>1</v>
      </c>
      <c r="N7" s="38" t="b">
        <f>IFERROR(__xludf.DUMMYFUNCTION("""COMPUTED_VALUE"""),FALSE)</f>
        <v>0</v>
      </c>
      <c r="O7" s="38" t="b">
        <f>IFERROR(__xludf.DUMMYFUNCTION("""COMPUTED_VALUE"""),FALSE)</f>
        <v>0</v>
      </c>
      <c r="P7" s="38" t="b">
        <f>IFERROR(__xludf.DUMMYFUNCTION("""COMPUTED_VALUE"""),FALSE)</f>
        <v>0</v>
      </c>
      <c r="Q7" s="38" t="b">
        <f>IFERROR(__xludf.DUMMYFUNCTION("""COMPUTED_VALUE"""),FALSE)</f>
        <v>0</v>
      </c>
      <c r="R7" s="38" t="b">
        <f>IFERROR(__xludf.DUMMYFUNCTION("""COMPUTED_VALUE"""),FALSE)</f>
        <v>0</v>
      </c>
      <c r="S7" s="38" t="b">
        <f>IFERROR(__xludf.DUMMYFUNCTION("""COMPUTED_VALUE"""),FALSE)</f>
        <v>0</v>
      </c>
      <c r="T7" s="38" t="b">
        <f>IFERROR(__xludf.DUMMYFUNCTION("""COMPUTED_VALUE"""),FALSE)</f>
        <v>0</v>
      </c>
      <c r="U7" s="38" t="b">
        <f>IFERROR(__xludf.DUMMYFUNCTION("""COMPUTED_VALUE"""),FALSE)</f>
        <v>0</v>
      </c>
      <c r="V7" s="38" t="b">
        <f>IFERROR(__xludf.DUMMYFUNCTION("""COMPUTED_VALUE"""),FALSE)</f>
        <v>0</v>
      </c>
      <c r="W7" s="38" t="b">
        <f>IFERROR(__xludf.DUMMYFUNCTION("""COMPUTED_VALUE"""),FALSE)</f>
        <v>0</v>
      </c>
      <c r="X7" s="38" t="b">
        <f>IFERROR(__xludf.DUMMYFUNCTION("""COMPUTED_VALUE"""),FALSE)</f>
        <v>0</v>
      </c>
      <c r="Y7" s="38" t="b">
        <f>IFERROR(__xludf.DUMMYFUNCTION("""COMPUTED_VALUE"""),FALSE)</f>
        <v>0</v>
      </c>
      <c r="Z7" s="38" t="b">
        <f>IFERROR(__xludf.DUMMYFUNCTION("""COMPUTED_VALUE"""),TRUE)</f>
        <v>1</v>
      </c>
      <c r="AA7" s="38" t="b">
        <f>IFERROR(__xludf.DUMMYFUNCTION("""COMPUTED_VALUE"""),FALSE)</f>
        <v>0</v>
      </c>
      <c r="AB7" s="38" t="b">
        <f>IFERROR(__xludf.DUMMYFUNCTION("""COMPUTED_VALUE"""),FALSE)</f>
        <v>0</v>
      </c>
      <c r="AC7" s="38">
        <f>IFERROR(__xludf.DUMMYFUNCTION("""COMPUTED_VALUE"""),0.11597096111059235)</f>
        <v>0.1159709611</v>
      </c>
      <c r="AG7" s="38" t="s">
        <v>78</v>
      </c>
      <c r="AH7" s="41">
        <v>0.6</v>
      </c>
      <c r="AI7" s="38" t="s">
        <v>75</v>
      </c>
      <c r="AJ7" s="38" t="s">
        <v>76</v>
      </c>
      <c r="AK7" s="41">
        <v>0.372</v>
      </c>
      <c r="AL7" s="41">
        <v>0.3</v>
      </c>
      <c r="AM7" s="41">
        <v>0.486</v>
      </c>
      <c r="AN7" s="38"/>
      <c r="AQ7" s="41" t="str">
        <f>IFERROR(__xludf.DUMMYFUNCTION("""COMPUTED_VALUE"""),"Crop")</f>
        <v>Crop</v>
      </c>
      <c r="AR7" s="2">
        <v>1.0</v>
      </c>
      <c r="AS7" s="2">
        <v>10.0</v>
      </c>
      <c r="AT7" s="2">
        <v>5.0</v>
      </c>
      <c r="AU7" s="2">
        <v>1.0</v>
      </c>
      <c r="AV7" s="2">
        <v>15.0</v>
      </c>
      <c r="AW7" s="2">
        <v>3.0</v>
      </c>
      <c r="AX7" s="2">
        <v>0.8</v>
      </c>
      <c r="AY7" s="2">
        <v>1.0</v>
      </c>
      <c r="AZ7" s="2">
        <v>1.0</v>
      </c>
      <c r="BA7" s="2">
        <v>1.0</v>
      </c>
      <c r="BB7" s="2">
        <v>1.2</v>
      </c>
      <c r="BC7" s="2">
        <v>1.0</v>
      </c>
      <c r="BD7" s="2">
        <v>1.0</v>
      </c>
      <c r="BE7" s="2">
        <v>2.0</v>
      </c>
      <c r="BF7" s="2"/>
      <c r="BG7" s="2"/>
      <c r="BH7" s="2"/>
      <c r="BI7" s="2" t="str">
        <f>IFERROR(__xludf.DUMMYFUNCTION("""COMPUTED_VALUE"""),"Leather Mastiff Barding")</f>
        <v>Leather Mastiff Barding</v>
      </c>
      <c r="BJ7" s="2">
        <v>1.5</v>
      </c>
      <c r="BK7" s="2">
        <v>1.0</v>
      </c>
      <c r="BL7" s="2">
        <v>1.0</v>
      </c>
      <c r="BM7" s="2">
        <v>1.0</v>
      </c>
      <c r="BN7" s="2">
        <v>1.0</v>
      </c>
      <c r="BO7" s="2">
        <v>1.0</v>
      </c>
      <c r="BP7" s="2">
        <v>1.0</v>
      </c>
      <c r="BQ7" s="2">
        <v>1.0</v>
      </c>
      <c r="BR7" s="2">
        <v>1.0</v>
      </c>
      <c r="BS7" s="2">
        <v>1.0</v>
      </c>
      <c r="BT7" s="2">
        <v>1.0</v>
      </c>
      <c r="BU7" s="2">
        <v>1.0</v>
      </c>
      <c r="BV7" s="2">
        <v>1.0</v>
      </c>
      <c r="BW7" s="2">
        <v>1.0</v>
      </c>
      <c r="BX7" s="2">
        <v>1.0</v>
      </c>
      <c r="BY7" s="2">
        <v>1.0</v>
      </c>
      <c r="BZ7" s="2">
        <v>1.0</v>
      </c>
      <c r="CB7" s="2"/>
      <c r="CC7" s="2"/>
      <c r="CD7" s="2"/>
      <c r="CE7" s="2"/>
      <c r="CF7" s="2"/>
      <c r="CG7" s="2"/>
      <c r="CH7" s="2"/>
      <c r="CI7" s="2"/>
      <c r="CJ7" s="2"/>
      <c r="CK7" s="2"/>
      <c r="CL7" s="2"/>
      <c r="CM7" s="2"/>
      <c r="CN7" s="2"/>
      <c r="CO7" s="2"/>
      <c r="CP7" s="2"/>
      <c r="CQ7" s="2"/>
    </row>
    <row r="8">
      <c r="A8" s="2" t="s">
        <v>133</v>
      </c>
      <c r="D8" s="41" t="str">
        <f>IFERROR(__xludf.DUMMYFUNCTION("""COMPUTED_VALUE"""),"Copper")</f>
        <v>Copper</v>
      </c>
      <c r="E8" s="41">
        <f>IFERROR(__xludf.DUMMYFUNCTION("""COMPUTED_VALUE"""),0.5)</f>
        <v>0.5</v>
      </c>
      <c r="F8" s="38" t="str">
        <f>IFERROR(__xludf.DUMMYFUNCTION("""COMPUTED_VALUE"""),"1 lb.")</f>
        <v>1 lb.</v>
      </c>
      <c r="G8" s="41" t="str">
        <f>IFERROR(__xludf.DUMMYFUNCTION("""COMPUTED_VALUE"""),"Metal")</f>
        <v>Metal</v>
      </c>
      <c r="H8" s="41">
        <f>IFERROR(__xludf.DUMMYFUNCTION("""COMPUTED_VALUE"""),0.31)</f>
        <v>0.31</v>
      </c>
      <c r="I8" s="41">
        <f>IFERROR(__xludf.DUMMYFUNCTION("""COMPUTED_VALUE"""),0.25)</f>
        <v>0.25</v>
      </c>
      <c r="J8" s="41">
        <f>IFERROR(__xludf.DUMMYFUNCTION("""COMPUTED_VALUE"""),0.405)</f>
        <v>0.405</v>
      </c>
      <c r="K8" s="38"/>
      <c r="L8" s="41" t="b">
        <f>IFERROR(__xludf.DUMMYFUNCTION("""COMPUTED_VALUE"""),FALSE)</f>
        <v>0</v>
      </c>
      <c r="M8" s="41" t="b">
        <f>IFERROR(__xludf.DUMMYFUNCTION("""COMPUTED_VALUE"""),TRUE)</f>
        <v>1</v>
      </c>
      <c r="N8" s="41" t="b">
        <f>IFERROR(__xludf.DUMMYFUNCTION("""COMPUTED_VALUE"""),TRUE)</f>
        <v>1</v>
      </c>
      <c r="O8" s="41" t="b">
        <f>IFERROR(__xludf.DUMMYFUNCTION("""COMPUTED_VALUE"""),FALSE)</f>
        <v>0</v>
      </c>
      <c r="P8" s="38" t="b">
        <f>IFERROR(__xludf.DUMMYFUNCTION("""COMPUTED_VALUE"""),FALSE)</f>
        <v>0</v>
      </c>
      <c r="Q8" s="38" t="b">
        <f>IFERROR(__xludf.DUMMYFUNCTION("""COMPUTED_VALUE"""),FALSE)</f>
        <v>0</v>
      </c>
      <c r="R8" s="38" t="b">
        <f>IFERROR(__xludf.DUMMYFUNCTION("""COMPUTED_VALUE"""),FALSE)</f>
        <v>0</v>
      </c>
      <c r="S8" s="38" t="b">
        <f>IFERROR(__xludf.DUMMYFUNCTION("""COMPUTED_VALUE"""),FALSE)</f>
        <v>0</v>
      </c>
      <c r="T8" s="38" t="b">
        <f>IFERROR(__xludf.DUMMYFUNCTION("""COMPUTED_VALUE"""),FALSE)</f>
        <v>0</v>
      </c>
      <c r="U8" s="38" t="b">
        <f>IFERROR(__xludf.DUMMYFUNCTION("""COMPUTED_VALUE"""),FALSE)</f>
        <v>0</v>
      </c>
      <c r="V8" s="38" t="b">
        <f>IFERROR(__xludf.DUMMYFUNCTION("""COMPUTED_VALUE"""),FALSE)</f>
        <v>0</v>
      </c>
      <c r="W8" s="38" t="b">
        <f>IFERROR(__xludf.DUMMYFUNCTION("""COMPUTED_VALUE"""),FALSE)</f>
        <v>0</v>
      </c>
      <c r="X8" s="38" t="b">
        <f>IFERROR(__xludf.DUMMYFUNCTION("""COMPUTED_VALUE"""),FALSE)</f>
        <v>0</v>
      </c>
      <c r="Y8" s="38" t="b">
        <f>IFERROR(__xludf.DUMMYFUNCTION("""COMPUTED_VALUE"""),FALSE)</f>
        <v>0</v>
      </c>
      <c r="Z8" s="38" t="b">
        <f>IFERROR(__xludf.DUMMYFUNCTION("""COMPUTED_VALUE"""),TRUE)</f>
        <v>1</v>
      </c>
      <c r="AA8" s="38" t="b">
        <f>IFERROR(__xludf.DUMMYFUNCTION("""COMPUTED_VALUE"""),FALSE)</f>
        <v>0</v>
      </c>
      <c r="AB8" s="38" t="b">
        <f>IFERROR(__xludf.DUMMYFUNCTION("""COMPUTED_VALUE"""),FALSE)</f>
        <v>0</v>
      </c>
      <c r="AC8" s="38">
        <f>IFERROR(__xludf.DUMMYFUNCTION("""COMPUTED_VALUE"""),0.11883948342069262)</f>
        <v>0.1188394834</v>
      </c>
      <c r="AG8" s="41" t="s">
        <v>54</v>
      </c>
      <c r="AH8" s="41">
        <v>0.5</v>
      </c>
      <c r="AI8" s="38" t="s">
        <v>43</v>
      </c>
      <c r="AJ8" s="41" t="s">
        <v>55</v>
      </c>
      <c r="AK8" s="41">
        <v>0.31</v>
      </c>
      <c r="AL8" s="41">
        <v>0.25</v>
      </c>
      <c r="AM8" s="41">
        <v>0.405</v>
      </c>
      <c r="AN8" s="38"/>
      <c r="AQ8" s="41" t="str">
        <f>IFERROR(__xludf.DUMMYFUNCTION("""COMPUTED_VALUE"""),"Culinary")</f>
        <v>Culinary</v>
      </c>
      <c r="AR8" s="2">
        <v>1.0</v>
      </c>
      <c r="AS8" s="2">
        <v>2.0</v>
      </c>
      <c r="AT8" s="2">
        <v>1.5</v>
      </c>
      <c r="AU8" s="2">
        <v>2.0</v>
      </c>
      <c r="AV8" s="2">
        <v>1.0</v>
      </c>
      <c r="AW8" s="2">
        <v>1.0</v>
      </c>
      <c r="AX8" s="2">
        <v>1.0</v>
      </c>
      <c r="AY8" s="2">
        <v>1.0</v>
      </c>
      <c r="AZ8" s="2">
        <v>2.0</v>
      </c>
      <c r="BA8" s="2">
        <v>1.0</v>
      </c>
      <c r="BB8" s="2">
        <v>2.0</v>
      </c>
      <c r="BC8" s="2">
        <v>1.0</v>
      </c>
      <c r="BD8" s="2">
        <v>1.0</v>
      </c>
      <c r="BE8" s="2">
        <v>2.0</v>
      </c>
      <c r="BF8" s="2"/>
      <c r="BG8" s="2"/>
      <c r="BH8" s="2"/>
      <c r="BI8" s="2" t="str">
        <f>IFERROR(__xludf.DUMMYFUNCTION("""COMPUTED_VALUE"""),"Leather Mule Barding")</f>
        <v>Leather Mule Barding</v>
      </c>
      <c r="BJ8" s="2">
        <v>1.5</v>
      </c>
      <c r="BK8" s="2">
        <v>1.0</v>
      </c>
      <c r="BL8" s="2">
        <v>1.0</v>
      </c>
      <c r="BM8" s="2">
        <v>1.0</v>
      </c>
      <c r="BN8" s="2">
        <v>1.0</v>
      </c>
      <c r="BO8" s="2">
        <v>1.0</v>
      </c>
      <c r="BP8" s="2">
        <v>1.0</v>
      </c>
      <c r="BQ8" s="2">
        <v>1.0</v>
      </c>
      <c r="BR8" s="2">
        <v>1.0</v>
      </c>
      <c r="BS8" s="2">
        <v>1.0</v>
      </c>
      <c r="BT8" s="2">
        <v>1.0</v>
      </c>
      <c r="BU8" s="2">
        <v>1.0</v>
      </c>
      <c r="BV8" s="2">
        <v>1.0</v>
      </c>
      <c r="BW8" s="2">
        <v>1.0</v>
      </c>
      <c r="BX8" s="2">
        <v>1.0</v>
      </c>
      <c r="BY8" s="2">
        <v>1.0</v>
      </c>
      <c r="BZ8" s="2">
        <v>1.0</v>
      </c>
      <c r="CB8" s="2"/>
      <c r="CC8" s="2"/>
      <c r="CD8" s="2"/>
      <c r="CE8" s="2"/>
      <c r="CF8" s="2"/>
      <c r="CG8" s="2"/>
      <c r="CH8" s="2"/>
      <c r="CI8" s="2"/>
      <c r="CJ8" s="2"/>
      <c r="CK8" s="2"/>
      <c r="CL8" s="2"/>
      <c r="CM8" s="2"/>
      <c r="CN8" s="2"/>
      <c r="CO8" s="2"/>
      <c r="CP8" s="2"/>
      <c r="CQ8" s="2"/>
    </row>
    <row r="9">
      <c r="A9" s="2" t="s">
        <v>134</v>
      </c>
      <c r="D9" s="38" t="str">
        <f>IFERROR(__xludf.DUMMYFUNCTION("""COMPUTED_VALUE"""),"Tankard")</f>
        <v>Tankard</v>
      </c>
      <c r="E9" s="41">
        <f>IFERROR(__xludf.DUMMYFUNCTION("""COMPUTED_VALUE"""),0.02)</f>
        <v>0.02</v>
      </c>
      <c r="F9" s="38" t="str">
        <f>IFERROR(__xludf.DUMMYFUNCTION("""COMPUTED_VALUE"""),"1 lb.")</f>
        <v>1 lb.</v>
      </c>
      <c r="G9" s="38" t="str">
        <f>IFERROR(__xludf.DUMMYFUNCTION("""COMPUTED_VALUE"""),"Container")</f>
        <v>Container</v>
      </c>
      <c r="H9" s="41">
        <f>IFERROR(__xludf.DUMMYFUNCTION("""COMPUTED_VALUE"""),0.0124)</f>
        <v>0.0124</v>
      </c>
      <c r="I9" s="41">
        <f>IFERROR(__xludf.DUMMYFUNCTION("""COMPUTED_VALUE"""),0.01)</f>
        <v>0.01</v>
      </c>
      <c r="J9" s="41">
        <f>IFERROR(__xludf.DUMMYFUNCTION("""COMPUTED_VALUE"""),0.0162)</f>
        <v>0.0162</v>
      </c>
      <c r="K9" s="38"/>
      <c r="L9" s="41" t="b">
        <f>IFERROR(__xludf.DUMMYFUNCTION("""COMPUTED_VALUE"""),FALSE)</f>
        <v>0</v>
      </c>
      <c r="M9" s="41" t="b">
        <f>IFERROR(__xludf.DUMMYFUNCTION("""COMPUTED_VALUE"""),TRUE)</f>
        <v>1</v>
      </c>
      <c r="N9" s="38" t="b">
        <f>IFERROR(__xludf.DUMMYFUNCTION("""COMPUTED_VALUE"""),TRUE)</f>
        <v>1</v>
      </c>
      <c r="O9" s="38" t="b">
        <f>IFERROR(__xludf.DUMMYFUNCTION("""COMPUTED_VALUE"""),FALSE)</f>
        <v>0</v>
      </c>
      <c r="P9" s="38" t="b">
        <f>IFERROR(__xludf.DUMMYFUNCTION("""COMPUTED_VALUE"""),FALSE)</f>
        <v>0</v>
      </c>
      <c r="Q9" s="38" t="b">
        <f>IFERROR(__xludf.DUMMYFUNCTION("""COMPUTED_VALUE"""),FALSE)</f>
        <v>0</v>
      </c>
      <c r="R9" s="38" t="b">
        <f>IFERROR(__xludf.DUMMYFUNCTION("""COMPUTED_VALUE"""),FALSE)</f>
        <v>0</v>
      </c>
      <c r="S9" s="38" t="b">
        <f>IFERROR(__xludf.DUMMYFUNCTION("""COMPUTED_VALUE"""),FALSE)</f>
        <v>0</v>
      </c>
      <c r="T9" s="38" t="b">
        <f>IFERROR(__xludf.DUMMYFUNCTION("""COMPUTED_VALUE"""),FALSE)</f>
        <v>0</v>
      </c>
      <c r="U9" s="38" t="b">
        <f>IFERROR(__xludf.DUMMYFUNCTION("""COMPUTED_VALUE"""),FALSE)</f>
        <v>0</v>
      </c>
      <c r="V9" s="38" t="b">
        <f>IFERROR(__xludf.DUMMYFUNCTION("""COMPUTED_VALUE"""),FALSE)</f>
        <v>0</v>
      </c>
      <c r="W9" s="38" t="b">
        <f>IFERROR(__xludf.DUMMYFUNCTION("""COMPUTED_VALUE"""),FALSE)</f>
        <v>0</v>
      </c>
      <c r="X9" s="38" t="b">
        <f>IFERROR(__xludf.DUMMYFUNCTION("""COMPUTED_VALUE"""),FALSE)</f>
        <v>0</v>
      </c>
      <c r="Y9" s="38" t="b">
        <f>IFERROR(__xludf.DUMMYFUNCTION("""COMPUTED_VALUE"""),FALSE)</f>
        <v>0</v>
      </c>
      <c r="Z9" s="38" t="b">
        <f>IFERROR(__xludf.DUMMYFUNCTION("""COMPUTED_VALUE"""),TRUE)</f>
        <v>1</v>
      </c>
      <c r="AA9" s="38" t="b">
        <f>IFERROR(__xludf.DUMMYFUNCTION("""COMPUTED_VALUE"""),FALSE)</f>
        <v>0</v>
      </c>
      <c r="AB9" s="38" t="b">
        <f>IFERROR(__xludf.DUMMYFUNCTION("""COMPUTED_VALUE"""),FALSE)</f>
        <v>0</v>
      </c>
      <c r="AC9" s="38">
        <f>IFERROR(__xludf.DUMMYFUNCTION("""COMPUTED_VALUE"""),0.11905922084580345)</f>
        <v>0.1190592208</v>
      </c>
      <c r="AG9" s="38" t="s">
        <v>135</v>
      </c>
      <c r="AH9" s="41">
        <v>0.02</v>
      </c>
      <c r="AI9" s="38" t="s">
        <v>43</v>
      </c>
      <c r="AJ9" s="38" t="s">
        <v>44</v>
      </c>
      <c r="AK9" s="41">
        <v>0.0124</v>
      </c>
      <c r="AL9" s="41">
        <v>0.01</v>
      </c>
      <c r="AM9" s="41">
        <v>0.0162</v>
      </c>
      <c r="AN9" s="38"/>
      <c r="AQ9" s="38" t="str">
        <f>IFERROR(__xludf.DUMMYFUNCTION("""COMPUTED_VALUE"""),"Equipment")</f>
        <v>Equipment</v>
      </c>
      <c r="AR9" s="2">
        <v>1.0</v>
      </c>
      <c r="AS9" s="2">
        <v>1.0</v>
      </c>
      <c r="AT9" s="2">
        <v>3.0</v>
      </c>
      <c r="AU9" s="2">
        <v>1.0</v>
      </c>
      <c r="AV9" s="2">
        <v>1.0</v>
      </c>
      <c r="AW9" s="2">
        <v>2.0</v>
      </c>
      <c r="AX9" s="2">
        <v>0.8</v>
      </c>
      <c r="AY9" s="2">
        <v>1.0</v>
      </c>
      <c r="AZ9" s="2">
        <v>1.2</v>
      </c>
      <c r="BA9" s="2">
        <v>1.0</v>
      </c>
      <c r="BB9" s="2">
        <v>1.0</v>
      </c>
      <c r="BC9" s="2">
        <v>1.0</v>
      </c>
      <c r="BD9" s="2">
        <v>10.0</v>
      </c>
      <c r="BE9" s="2">
        <v>2.8</v>
      </c>
      <c r="BF9" s="2"/>
      <c r="BG9" s="2"/>
      <c r="BH9" s="2"/>
      <c r="BI9" s="2" t="str">
        <f>IFERROR(__xludf.DUMMYFUNCTION("""COMPUTED_VALUE"""),"Leather Pony Barding")</f>
        <v>Leather Pony Barding</v>
      </c>
      <c r="BJ9" s="2">
        <v>1.5</v>
      </c>
      <c r="BK9" s="2">
        <v>1.0</v>
      </c>
      <c r="BL9" s="2">
        <v>1.0</v>
      </c>
      <c r="BM9" s="2">
        <v>1.0</v>
      </c>
      <c r="BN9" s="2">
        <v>1.0</v>
      </c>
      <c r="BO9" s="2">
        <v>1.0</v>
      </c>
      <c r="BP9" s="2">
        <v>1.0</v>
      </c>
      <c r="BQ9" s="2">
        <v>1.0</v>
      </c>
      <c r="BR9" s="2">
        <v>1.0</v>
      </c>
      <c r="BS9" s="2">
        <v>1.0</v>
      </c>
      <c r="BT9" s="2">
        <v>1.0</v>
      </c>
      <c r="BU9" s="2">
        <v>1.0</v>
      </c>
      <c r="BV9" s="2">
        <v>1.0</v>
      </c>
      <c r="BW9" s="2">
        <v>1.0</v>
      </c>
      <c r="BX9" s="2">
        <v>1.0</v>
      </c>
      <c r="BY9" s="2">
        <v>1.0</v>
      </c>
      <c r="BZ9" s="2">
        <v>1.0</v>
      </c>
      <c r="CB9" s="2"/>
      <c r="CC9" s="2"/>
      <c r="CD9" s="2"/>
      <c r="CE9" s="2"/>
      <c r="CF9" s="2"/>
      <c r="CG9" s="2"/>
      <c r="CH9" s="2"/>
      <c r="CI9" s="2"/>
      <c r="CJ9" s="2"/>
      <c r="CK9" s="2"/>
      <c r="CL9" s="2"/>
      <c r="CM9" s="2"/>
      <c r="CN9" s="2"/>
      <c r="CO9" s="2"/>
      <c r="CP9" s="2"/>
      <c r="CQ9" s="2"/>
    </row>
    <row r="10">
      <c r="A10" s="2" t="s">
        <v>136</v>
      </c>
      <c r="D10" s="38" t="str">
        <f>IFERROR(__xludf.DUMMYFUNCTION("""COMPUTED_VALUE"""),"Lance")</f>
        <v>Lance</v>
      </c>
      <c r="E10" s="41">
        <f>IFERROR(__xludf.DUMMYFUNCTION("""COMPUTED_VALUE"""),6.0)</f>
        <v>6</v>
      </c>
      <c r="F10" s="38" t="str">
        <f>IFERROR(__xludf.DUMMYFUNCTION("""COMPUTED_VALUE"""),"6 lb.")</f>
        <v>6 lb.</v>
      </c>
      <c r="G10" s="38" t="str">
        <f>IFERROR(__xludf.DUMMYFUNCTION("""COMPUTED_VALUE"""),"Weapon")</f>
        <v>Weapon</v>
      </c>
      <c r="H10" s="41">
        <f>IFERROR(__xludf.DUMMYFUNCTION("""COMPUTED_VALUE"""),3.7199999999999998)</f>
        <v>3.72</v>
      </c>
      <c r="I10" s="41">
        <f>IFERROR(__xludf.DUMMYFUNCTION("""COMPUTED_VALUE"""),3.0)</f>
        <v>3</v>
      </c>
      <c r="J10" s="41">
        <f>IFERROR(__xludf.DUMMYFUNCTION("""COMPUTED_VALUE"""),4.859999999999999)</f>
        <v>4.86</v>
      </c>
      <c r="K10" s="38"/>
      <c r="L10" s="41" t="b">
        <f>IFERROR(__xludf.DUMMYFUNCTION("""COMPUTED_VALUE"""),FALSE)</f>
        <v>0</v>
      </c>
      <c r="M10" s="41" t="b">
        <f>IFERROR(__xludf.DUMMYFUNCTION("""COMPUTED_VALUE"""),TRUE)</f>
        <v>1</v>
      </c>
      <c r="N10" s="38" t="b">
        <f>IFERROR(__xludf.DUMMYFUNCTION("""COMPUTED_VALUE"""),FALSE)</f>
        <v>0</v>
      </c>
      <c r="O10" s="38" t="b">
        <f>IFERROR(__xludf.DUMMYFUNCTION("""COMPUTED_VALUE"""),FALSE)</f>
        <v>0</v>
      </c>
      <c r="P10" s="38" t="b">
        <f>IFERROR(__xludf.DUMMYFUNCTION("""COMPUTED_VALUE"""),FALSE)</f>
        <v>0</v>
      </c>
      <c r="Q10" s="38" t="b">
        <f>IFERROR(__xludf.DUMMYFUNCTION("""COMPUTED_VALUE"""),FALSE)</f>
        <v>0</v>
      </c>
      <c r="R10" s="38" t="b">
        <f>IFERROR(__xludf.DUMMYFUNCTION("""COMPUTED_VALUE"""),FALSE)</f>
        <v>0</v>
      </c>
      <c r="S10" s="38" t="b">
        <f>IFERROR(__xludf.DUMMYFUNCTION("""COMPUTED_VALUE"""),FALSE)</f>
        <v>0</v>
      </c>
      <c r="T10" s="38" t="b">
        <f>IFERROR(__xludf.DUMMYFUNCTION("""COMPUTED_VALUE"""),FALSE)</f>
        <v>0</v>
      </c>
      <c r="U10" s="38" t="b">
        <f>IFERROR(__xludf.DUMMYFUNCTION("""COMPUTED_VALUE"""),FALSE)</f>
        <v>0</v>
      </c>
      <c r="V10" s="38" t="b">
        <f>IFERROR(__xludf.DUMMYFUNCTION("""COMPUTED_VALUE"""),FALSE)</f>
        <v>0</v>
      </c>
      <c r="W10" s="38" t="b">
        <f>IFERROR(__xludf.DUMMYFUNCTION("""COMPUTED_VALUE"""),FALSE)</f>
        <v>0</v>
      </c>
      <c r="X10" s="38" t="b">
        <f>IFERROR(__xludf.DUMMYFUNCTION("""COMPUTED_VALUE"""),FALSE)</f>
        <v>0</v>
      </c>
      <c r="Y10" s="38" t="b">
        <f>IFERROR(__xludf.DUMMYFUNCTION("""COMPUTED_VALUE"""),FALSE)</f>
        <v>0</v>
      </c>
      <c r="Z10" s="38" t="b">
        <f>IFERROR(__xludf.DUMMYFUNCTION("""COMPUTED_VALUE"""),TRUE)</f>
        <v>1</v>
      </c>
      <c r="AA10" s="38" t="b">
        <f>IFERROR(__xludf.DUMMYFUNCTION("""COMPUTED_VALUE"""),FALSE)</f>
        <v>0</v>
      </c>
      <c r="AB10" s="38" t="b">
        <f>IFERROR(__xludf.DUMMYFUNCTION("""COMPUTED_VALUE"""),FALSE)</f>
        <v>0</v>
      </c>
      <c r="AC10" s="38">
        <f>IFERROR(__xludf.DUMMYFUNCTION("""COMPUTED_VALUE"""),0.12117567667044171)</f>
        <v>0.1211756767</v>
      </c>
      <c r="AG10" s="38" t="s">
        <v>79</v>
      </c>
      <c r="AH10" s="41">
        <v>6.0</v>
      </c>
      <c r="AI10" s="38" t="s">
        <v>80</v>
      </c>
      <c r="AJ10" s="38" t="s">
        <v>76</v>
      </c>
      <c r="AK10" s="41">
        <v>3.7199999999999998</v>
      </c>
      <c r="AL10" s="41">
        <v>3.0</v>
      </c>
      <c r="AM10" s="41">
        <v>4.859999999999999</v>
      </c>
      <c r="AN10" s="38"/>
      <c r="AQ10" s="41" t="str">
        <f>IFERROR(__xludf.DUMMYFUNCTION("""COMPUTED_VALUE"""),"Fabric")</f>
        <v>Fabric</v>
      </c>
      <c r="AR10" s="2">
        <v>1.0</v>
      </c>
      <c r="AS10" s="2">
        <v>10.0</v>
      </c>
      <c r="AT10" s="2">
        <v>3.0</v>
      </c>
      <c r="AU10" s="2">
        <v>1.0</v>
      </c>
      <c r="AV10" s="2">
        <v>1.0</v>
      </c>
      <c r="AW10" s="2">
        <v>1.0</v>
      </c>
      <c r="AX10" s="2">
        <v>1.0</v>
      </c>
      <c r="AY10" s="2">
        <v>1.0</v>
      </c>
      <c r="AZ10" s="2">
        <v>1.0</v>
      </c>
      <c r="BA10" s="2">
        <v>1.0</v>
      </c>
      <c r="BB10" s="2">
        <v>1.0</v>
      </c>
      <c r="BC10" s="2">
        <v>1.0</v>
      </c>
      <c r="BD10" s="2">
        <v>1.0</v>
      </c>
      <c r="BE10" s="2">
        <v>2.0</v>
      </c>
      <c r="BF10" s="2"/>
      <c r="BG10" s="2"/>
      <c r="BH10" s="2"/>
      <c r="BI10" s="2" t="str">
        <f>IFERROR(__xludf.DUMMYFUNCTION("""COMPUTED_VALUE"""),"Leather Riding Horse Barding")</f>
        <v>Leather Riding Horse Barding</v>
      </c>
      <c r="BJ10" s="2">
        <v>1.5</v>
      </c>
      <c r="BK10" s="2">
        <v>1.0</v>
      </c>
      <c r="BL10" s="2">
        <v>1.0</v>
      </c>
      <c r="BM10" s="2">
        <v>1.0</v>
      </c>
      <c r="BN10" s="2">
        <v>1.0</v>
      </c>
      <c r="BO10" s="2">
        <v>1.0</v>
      </c>
      <c r="BP10" s="2">
        <v>1.0</v>
      </c>
      <c r="BQ10" s="2">
        <v>1.0</v>
      </c>
      <c r="BR10" s="2">
        <v>1.0</v>
      </c>
      <c r="BS10" s="2">
        <v>1.0</v>
      </c>
      <c r="BT10" s="2">
        <v>1.0</v>
      </c>
      <c r="BU10" s="2">
        <v>1.0</v>
      </c>
      <c r="BV10" s="2">
        <v>1.0</v>
      </c>
      <c r="BW10" s="2">
        <v>1.0</v>
      </c>
      <c r="BX10" s="2">
        <v>1.0</v>
      </c>
      <c r="BY10" s="2">
        <v>1.0</v>
      </c>
      <c r="BZ10" s="2">
        <v>1.0</v>
      </c>
      <c r="CB10" s="2"/>
      <c r="CC10" s="2"/>
      <c r="CD10" s="2"/>
      <c r="CE10" s="2"/>
      <c r="CF10" s="2"/>
      <c r="CG10" s="2"/>
      <c r="CH10" s="2"/>
      <c r="CI10" s="2"/>
      <c r="CJ10" s="2"/>
      <c r="CK10" s="2"/>
      <c r="CL10" s="2"/>
      <c r="CM10" s="2"/>
      <c r="CN10" s="2"/>
      <c r="CO10" s="2"/>
      <c r="CP10" s="2"/>
      <c r="CQ10" s="2"/>
    </row>
    <row r="11">
      <c r="A11" s="2" t="s">
        <v>137</v>
      </c>
      <c r="D11" s="38" t="str">
        <f>IFERROR(__xludf.DUMMYFUNCTION("""COMPUTED_VALUE"""),"Thieves’ Tools")</f>
        <v>Thieves’ Tools</v>
      </c>
      <c r="E11" s="41">
        <f>IFERROR(__xludf.DUMMYFUNCTION("""COMPUTED_VALUE"""),56.25)</f>
        <v>56.25</v>
      </c>
      <c r="F11" s="38" t="str">
        <f>IFERROR(__xludf.DUMMYFUNCTION("""COMPUTED_VALUE"""),"1 lb.")</f>
        <v>1 lb.</v>
      </c>
      <c r="G11" s="38" t="str">
        <f>IFERROR(__xludf.DUMMYFUNCTION("""COMPUTED_VALUE"""),"Tool")</f>
        <v>Tool</v>
      </c>
      <c r="H11" s="41">
        <f>IFERROR(__xludf.DUMMYFUNCTION("""COMPUTED_VALUE"""),46.125)</f>
        <v>46.125</v>
      </c>
      <c r="I11" s="41">
        <f>IFERROR(__xludf.DUMMYFUNCTION("""COMPUTED_VALUE"""),28.125)</f>
        <v>28.125</v>
      </c>
      <c r="J11" s="41">
        <f>IFERROR(__xludf.DUMMYFUNCTION("""COMPUTED_VALUE"""),51.1875)</f>
        <v>51.1875</v>
      </c>
      <c r="K11" s="38" t="str">
        <f>IFERROR(__xludf.DUMMYFUNCTION("""COMPUTED_VALUE"""),"This kit includes the basic items needed by those proficient in thief's skills to pursue their craft.")</f>
        <v>This kit includes the basic items needed by those proficient in thief's skills to pursue their craft.</v>
      </c>
      <c r="L11" s="38" t="b">
        <f>IFERROR(__xludf.DUMMYFUNCTION("""COMPUTED_VALUE"""),FALSE)</f>
        <v>0</v>
      </c>
      <c r="M11" s="38" t="b">
        <f>IFERROR(__xludf.DUMMYFUNCTION("""COMPUTED_VALUE"""),TRUE)</f>
        <v>1</v>
      </c>
      <c r="N11" s="38" t="b">
        <f>IFERROR(__xludf.DUMMYFUNCTION("""COMPUTED_VALUE"""),FALSE)</f>
        <v>0</v>
      </c>
      <c r="O11" s="38" t="b">
        <f>IFERROR(__xludf.DUMMYFUNCTION("""COMPUTED_VALUE"""),FALSE)</f>
        <v>0</v>
      </c>
      <c r="P11" s="38" t="b">
        <f>IFERROR(__xludf.DUMMYFUNCTION("""COMPUTED_VALUE"""),FALSE)</f>
        <v>0</v>
      </c>
      <c r="Q11" s="38" t="b">
        <f>IFERROR(__xludf.DUMMYFUNCTION("""COMPUTED_VALUE"""),TRUE)</f>
        <v>1</v>
      </c>
      <c r="R11" s="38" t="b">
        <f>IFERROR(__xludf.DUMMYFUNCTION("""COMPUTED_VALUE"""),FALSE)</f>
        <v>0</v>
      </c>
      <c r="S11" s="38" t="b">
        <f>IFERROR(__xludf.DUMMYFUNCTION("""COMPUTED_VALUE"""),FALSE)</f>
        <v>0</v>
      </c>
      <c r="T11" s="38" t="b">
        <f>IFERROR(__xludf.DUMMYFUNCTION("""COMPUTED_VALUE"""),FALSE)</f>
        <v>0</v>
      </c>
      <c r="U11" s="38" t="b">
        <f>IFERROR(__xludf.DUMMYFUNCTION("""COMPUTED_VALUE"""),FALSE)</f>
        <v>0</v>
      </c>
      <c r="V11" s="38" t="b">
        <f>IFERROR(__xludf.DUMMYFUNCTION("""COMPUTED_VALUE"""),FALSE)</f>
        <v>0</v>
      </c>
      <c r="W11" s="38" t="b">
        <f>IFERROR(__xludf.DUMMYFUNCTION("""COMPUTED_VALUE"""),FALSE)</f>
        <v>0</v>
      </c>
      <c r="X11" s="38" t="b">
        <f>IFERROR(__xludf.DUMMYFUNCTION("""COMPUTED_VALUE"""),FALSE)</f>
        <v>0</v>
      </c>
      <c r="Y11" s="38" t="b">
        <f>IFERROR(__xludf.DUMMYFUNCTION("""COMPUTED_VALUE"""),FALSE)</f>
        <v>0</v>
      </c>
      <c r="Z11" s="38" t="b">
        <f>IFERROR(__xludf.DUMMYFUNCTION("""COMPUTED_VALUE"""),TRUE)</f>
        <v>1</v>
      </c>
      <c r="AA11" s="38" t="b">
        <f>IFERROR(__xludf.DUMMYFUNCTION("""COMPUTED_VALUE"""),FALSE)</f>
        <v>0</v>
      </c>
      <c r="AB11" s="38" t="b">
        <f>IFERROR(__xludf.DUMMYFUNCTION("""COMPUTED_VALUE"""),FALSE)</f>
        <v>0</v>
      </c>
      <c r="AC11" s="38">
        <f>IFERROR(__xludf.DUMMYFUNCTION("""COMPUTED_VALUE"""),0.124587645)</f>
        <v>0.124587645</v>
      </c>
      <c r="AG11" s="38" t="s">
        <v>63</v>
      </c>
      <c r="AH11" s="41">
        <v>56.25</v>
      </c>
      <c r="AI11" s="38" t="s">
        <v>43</v>
      </c>
      <c r="AJ11" s="38" t="s">
        <v>58</v>
      </c>
      <c r="AK11" s="41">
        <v>46.125</v>
      </c>
      <c r="AL11" s="41">
        <v>28.125</v>
      </c>
      <c r="AM11" s="41">
        <v>51.1875</v>
      </c>
      <c r="AN11" s="38" t="s">
        <v>64</v>
      </c>
      <c r="AQ11" s="38" t="str">
        <f>IFERROR(__xludf.DUMMYFUNCTION("""COMPUTED_VALUE"""),"Food &amp; Drink")</f>
        <v>Food &amp; Drink</v>
      </c>
      <c r="AR11" s="2">
        <v>1.0</v>
      </c>
      <c r="AS11" s="2">
        <v>10.0</v>
      </c>
      <c r="AT11" s="2">
        <v>5.0</v>
      </c>
      <c r="AU11" s="2">
        <v>2.0</v>
      </c>
      <c r="AV11" s="2">
        <v>5.0</v>
      </c>
      <c r="AW11" s="2">
        <v>2.0</v>
      </c>
      <c r="AX11" s="2">
        <v>0.8</v>
      </c>
      <c r="AY11" s="2">
        <v>1.0</v>
      </c>
      <c r="AZ11" s="2">
        <v>3.0</v>
      </c>
      <c r="BA11" s="2">
        <v>0.8</v>
      </c>
      <c r="BB11" s="2">
        <v>2.0</v>
      </c>
      <c r="BC11" s="2">
        <v>10.0</v>
      </c>
      <c r="BD11" s="2">
        <v>1.0</v>
      </c>
      <c r="BE11" s="2">
        <v>2.0</v>
      </c>
      <c r="BF11" s="2"/>
      <c r="BG11" s="2"/>
      <c r="BH11" s="2"/>
      <c r="BI11" s="2" t="str">
        <f>IFERROR(__xludf.DUMMYFUNCTION("""COMPUTED_VALUE"""),"Plate Elephant Barding")</f>
        <v>Plate Elephant Barding</v>
      </c>
      <c r="BJ11" s="2">
        <v>1.5</v>
      </c>
      <c r="BK11" s="2">
        <v>1.0</v>
      </c>
      <c r="BL11" s="2">
        <v>1.0</v>
      </c>
      <c r="BM11" s="2">
        <v>1.0</v>
      </c>
      <c r="BN11" s="2">
        <v>1.0</v>
      </c>
      <c r="BO11" s="2">
        <v>1.0</v>
      </c>
      <c r="BP11" s="2">
        <v>1.0</v>
      </c>
      <c r="BQ11" s="2">
        <v>1.0</v>
      </c>
      <c r="BR11" s="2">
        <v>1.0</v>
      </c>
      <c r="BS11" s="2">
        <v>1.0</v>
      </c>
      <c r="BT11" s="2">
        <v>1.0</v>
      </c>
      <c r="BU11" s="2">
        <v>1.0</v>
      </c>
      <c r="BV11" s="2">
        <v>1.0</v>
      </c>
      <c r="BW11" s="2">
        <v>1.0</v>
      </c>
      <c r="BX11" s="2">
        <v>1.0</v>
      </c>
      <c r="BY11" s="2">
        <v>1.0</v>
      </c>
      <c r="BZ11" s="2">
        <v>1.0</v>
      </c>
      <c r="CB11" s="2"/>
      <c r="CC11" s="2"/>
      <c r="CD11" s="2"/>
      <c r="CE11" s="2"/>
      <c r="CF11" s="2"/>
      <c r="CG11" s="2"/>
      <c r="CH11" s="2"/>
      <c r="CI11" s="2"/>
      <c r="CJ11" s="2"/>
      <c r="CK11" s="2"/>
      <c r="CL11" s="2"/>
      <c r="CM11" s="2"/>
      <c r="CN11" s="2"/>
      <c r="CO11" s="2"/>
      <c r="CP11" s="2"/>
      <c r="CQ11" s="2"/>
    </row>
    <row r="12">
      <c r="A12" s="56" t="s">
        <v>39</v>
      </c>
      <c r="D12" s="38" t="str">
        <f>IFERROR(__xludf.DUMMYFUNCTION("""COMPUTED_VALUE"""),"Flail")</f>
        <v>Flail</v>
      </c>
      <c r="E12" s="41">
        <f>IFERROR(__xludf.DUMMYFUNCTION("""COMPUTED_VALUE"""),6.0)</f>
        <v>6</v>
      </c>
      <c r="F12" s="38" t="str">
        <f>IFERROR(__xludf.DUMMYFUNCTION("""COMPUTED_VALUE"""),"2 lb.")</f>
        <v>2 lb.</v>
      </c>
      <c r="G12" s="38" t="str">
        <f>IFERROR(__xludf.DUMMYFUNCTION("""COMPUTED_VALUE"""),"Weapon")</f>
        <v>Weapon</v>
      </c>
      <c r="H12" s="41">
        <f>IFERROR(__xludf.DUMMYFUNCTION("""COMPUTED_VALUE"""),3.7199999999999998)</f>
        <v>3.72</v>
      </c>
      <c r="I12" s="41">
        <f>IFERROR(__xludf.DUMMYFUNCTION("""COMPUTED_VALUE"""),3.0)</f>
        <v>3</v>
      </c>
      <c r="J12" s="41">
        <f>IFERROR(__xludf.DUMMYFUNCTION("""COMPUTED_VALUE"""),4.859999999999999)</f>
        <v>4.86</v>
      </c>
      <c r="K12" s="38"/>
      <c r="L12" s="41" t="b">
        <f>IFERROR(__xludf.DUMMYFUNCTION("""COMPUTED_VALUE"""),FALSE)</f>
        <v>0</v>
      </c>
      <c r="M12" s="41" t="b">
        <f>IFERROR(__xludf.DUMMYFUNCTION("""COMPUTED_VALUE"""),TRUE)</f>
        <v>1</v>
      </c>
      <c r="N12" s="38" t="b">
        <f>IFERROR(__xludf.DUMMYFUNCTION("""COMPUTED_VALUE"""),FALSE)</f>
        <v>0</v>
      </c>
      <c r="O12" s="38" t="b">
        <f>IFERROR(__xludf.DUMMYFUNCTION("""COMPUTED_VALUE"""),FALSE)</f>
        <v>0</v>
      </c>
      <c r="P12" s="38" t="b">
        <f>IFERROR(__xludf.DUMMYFUNCTION("""COMPUTED_VALUE"""),FALSE)</f>
        <v>0</v>
      </c>
      <c r="Q12" s="38" t="b">
        <f>IFERROR(__xludf.DUMMYFUNCTION("""COMPUTED_VALUE"""),FALSE)</f>
        <v>0</v>
      </c>
      <c r="R12" s="38" t="b">
        <f>IFERROR(__xludf.DUMMYFUNCTION("""COMPUTED_VALUE"""),FALSE)</f>
        <v>0</v>
      </c>
      <c r="S12" s="38" t="b">
        <f>IFERROR(__xludf.DUMMYFUNCTION("""COMPUTED_VALUE"""),FALSE)</f>
        <v>0</v>
      </c>
      <c r="T12" s="38" t="b">
        <f>IFERROR(__xludf.DUMMYFUNCTION("""COMPUTED_VALUE"""),FALSE)</f>
        <v>0</v>
      </c>
      <c r="U12" s="38" t="b">
        <f>IFERROR(__xludf.DUMMYFUNCTION("""COMPUTED_VALUE"""),FALSE)</f>
        <v>0</v>
      </c>
      <c r="V12" s="38" t="b">
        <f>IFERROR(__xludf.DUMMYFUNCTION("""COMPUTED_VALUE"""),FALSE)</f>
        <v>0</v>
      </c>
      <c r="W12" s="38" t="b">
        <f>IFERROR(__xludf.DUMMYFUNCTION("""COMPUTED_VALUE"""),FALSE)</f>
        <v>0</v>
      </c>
      <c r="X12" s="38" t="b">
        <f>IFERROR(__xludf.DUMMYFUNCTION("""COMPUTED_VALUE"""),FALSE)</f>
        <v>0</v>
      </c>
      <c r="Y12" s="38" t="b">
        <f>IFERROR(__xludf.DUMMYFUNCTION("""COMPUTED_VALUE"""),FALSE)</f>
        <v>0</v>
      </c>
      <c r="Z12" s="38" t="b">
        <f>IFERROR(__xludf.DUMMYFUNCTION("""COMPUTED_VALUE"""),TRUE)</f>
        <v>1</v>
      </c>
      <c r="AA12" s="38" t="b">
        <f>IFERROR(__xludf.DUMMYFUNCTION("""COMPUTED_VALUE"""),FALSE)</f>
        <v>0</v>
      </c>
      <c r="AB12" s="38" t="b">
        <f>IFERROR(__xludf.DUMMYFUNCTION("""COMPUTED_VALUE"""),FALSE)</f>
        <v>0</v>
      </c>
      <c r="AC12" s="38">
        <f>IFERROR(__xludf.DUMMYFUNCTION("""COMPUTED_VALUE"""),0.13310301395993307)</f>
        <v>0.133103014</v>
      </c>
      <c r="AG12" s="38" t="s">
        <v>81</v>
      </c>
      <c r="AH12" s="41">
        <v>6.0</v>
      </c>
      <c r="AI12" s="38" t="s">
        <v>51</v>
      </c>
      <c r="AJ12" s="38" t="s">
        <v>76</v>
      </c>
      <c r="AK12" s="41">
        <v>3.7199999999999998</v>
      </c>
      <c r="AL12" s="41">
        <v>3.0</v>
      </c>
      <c r="AM12" s="41">
        <v>4.859999999999999</v>
      </c>
      <c r="AN12" s="38"/>
      <c r="AQ12" s="38" t="str">
        <f>IFERROR(__xludf.DUMMYFUNCTION("""COMPUTED_VALUE"""),"Harness")</f>
        <v>Harness</v>
      </c>
      <c r="AR12" s="2">
        <v>1.0</v>
      </c>
      <c r="AS12" s="2">
        <v>1.0</v>
      </c>
      <c r="AT12" s="2">
        <v>1.0</v>
      </c>
      <c r="AU12" s="2">
        <v>1.0</v>
      </c>
      <c r="AV12" s="2">
        <v>1.0</v>
      </c>
      <c r="AW12" s="2">
        <v>1.0</v>
      </c>
      <c r="AX12" s="2">
        <v>1.0</v>
      </c>
      <c r="AY12" s="2">
        <v>1.0</v>
      </c>
      <c r="AZ12" s="2">
        <v>5.0</v>
      </c>
      <c r="BA12" s="2">
        <v>0.5</v>
      </c>
      <c r="BB12" s="2">
        <v>1.0</v>
      </c>
      <c r="BC12" s="2">
        <v>1.0</v>
      </c>
      <c r="BD12" s="2">
        <v>10.0</v>
      </c>
      <c r="BE12" s="2">
        <v>2.0</v>
      </c>
      <c r="BF12" s="2"/>
      <c r="BG12" s="2"/>
      <c r="BH12" s="2"/>
      <c r="BI12" s="2" t="str">
        <f>IFERROR(__xludf.DUMMYFUNCTION("""COMPUTED_VALUE"""),"Ringmail Warhorse Barding")</f>
        <v>Ringmail Warhorse Barding</v>
      </c>
      <c r="BJ12" s="2">
        <v>1.5</v>
      </c>
      <c r="BK12" s="2">
        <v>1.0</v>
      </c>
      <c r="BL12" s="2">
        <v>1.0</v>
      </c>
      <c r="BM12" s="2">
        <v>1.0</v>
      </c>
      <c r="BN12" s="2">
        <v>1.0</v>
      </c>
      <c r="BO12" s="2">
        <v>1.0</v>
      </c>
      <c r="BP12" s="2">
        <v>1.0</v>
      </c>
      <c r="BQ12" s="2">
        <v>1.0</v>
      </c>
      <c r="BR12" s="2">
        <v>1.0</v>
      </c>
      <c r="BS12" s="2">
        <v>1.0</v>
      </c>
      <c r="BT12" s="2">
        <v>1.0</v>
      </c>
      <c r="BU12" s="2">
        <v>1.0</v>
      </c>
      <c r="BV12" s="2">
        <v>1.0</v>
      </c>
      <c r="BW12" s="2">
        <v>1.0</v>
      </c>
      <c r="BX12" s="2">
        <v>1.0</v>
      </c>
      <c r="BY12" s="2">
        <v>1.0</v>
      </c>
      <c r="BZ12" s="2">
        <v>1.0</v>
      </c>
      <c r="CB12" s="2"/>
      <c r="CC12" s="2"/>
      <c r="CD12" s="2"/>
      <c r="CE12" s="2"/>
      <c r="CF12" s="2"/>
      <c r="CG12" s="2"/>
      <c r="CH12" s="2"/>
      <c r="CI12" s="2"/>
      <c r="CJ12" s="2"/>
      <c r="CK12" s="2"/>
      <c r="CL12" s="2"/>
      <c r="CM12" s="2"/>
      <c r="CN12" s="2"/>
      <c r="CO12" s="2"/>
      <c r="CP12" s="2"/>
      <c r="CQ12" s="2"/>
    </row>
    <row r="13">
      <c r="A13" s="2" t="s">
        <v>138</v>
      </c>
      <c r="D13" s="38" t="str">
        <f>IFERROR(__xludf.DUMMYFUNCTION("""COMPUTED_VALUE"""),"Maul")</f>
        <v>Maul</v>
      </c>
      <c r="E13" s="41">
        <f>IFERROR(__xludf.DUMMYFUNCTION("""COMPUTED_VALUE"""),6.0)</f>
        <v>6</v>
      </c>
      <c r="F13" s="38" t="str">
        <f>IFERROR(__xludf.DUMMYFUNCTION("""COMPUTED_VALUE"""),"10 lb.")</f>
        <v>10 lb.</v>
      </c>
      <c r="G13" s="38" t="str">
        <f>IFERROR(__xludf.DUMMYFUNCTION("""COMPUTED_VALUE"""),"Weapon")</f>
        <v>Weapon</v>
      </c>
      <c r="H13" s="41">
        <f>IFERROR(__xludf.DUMMYFUNCTION("""COMPUTED_VALUE"""),3.7199999999999998)</f>
        <v>3.72</v>
      </c>
      <c r="I13" s="41">
        <f>IFERROR(__xludf.DUMMYFUNCTION("""COMPUTED_VALUE"""),3.0)</f>
        <v>3</v>
      </c>
      <c r="J13" s="41">
        <f>IFERROR(__xludf.DUMMYFUNCTION("""COMPUTED_VALUE"""),4.859999999999999)</f>
        <v>4.86</v>
      </c>
      <c r="K13" s="38"/>
      <c r="L13" s="41" t="b">
        <f>IFERROR(__xludf.DUMMYFUNCTION("""COMPUTED_VALUE"""),FALSE)</f>
        <v>0</v>
      </c>
      <c r="M13" s="41" t="b">
        <f>IFERROR(__xludf.DUMMYFUNCTION("""COMPUTED_VALUE"""),TRUE)</f>
        <v>1</v>
      </c>
      <c r="N13" s="38" t="b">
        <f>IFERROR(__xludf.DUMMYFUNCTION("""COMPUTED_VALUE"""),FALSE)</f>
        <v>0</v>
      </c>
      <c r="O13" s="38" t="b">
        <f>IFERROR(__xludf.DUMMYFUNCTION("""COMPUTED_VALUE"""),FALSE)</f>
        <v>0</v>
      </c>
      <c r="P13" s="38" t="b">
        <f>IFERROR(__xludf.DUMMYFUNCTION("""COMPUTED_VALUE"""),FALSE)</f>
        <v>0</v>
      </c>
      <c r="Q13" s="38" t="b">
        <f>IFERROR(__xludf.DUMMYFUNCTION("""COMPUTED_VALUE"""),FALSE)</f>
        <v>0</v>
      </c>
      <c r="R13" s="38" t="b">
        <f>IFERROR(__xludf.DUMMYFUNCTION("""COMPUTED_VALUE"""),FALSE)</f>
        <v>0</v>
      </c>
      <c r="S13" s="38" t="b">
        <f>IFERROR(__xludf.DUMMYFUNCTION("""COMPUTED_VALUE"""),FALSE)</f>
        <v>0</v>
      </c>
      <c r="T13" s="38" t="b">
        <f>IFERROR(__xludf.DUMMYFUNCTION("""COMPUTED_VALUE"""),FALSE)</f>
        <v>0</v>
      </c>
      <c r="U13" s="38" t="b">
        <f>IFERROR(__xludf.DUMMYFUNCTION("""COMPUTED_VALUE"""),FALSE)</f>
        <v>0</v>
      </c>
      <c r="V13" s="38" t="b">
        <f>IFERROR(__xludf.DUMMYFUNCTION("""COMPUTED_VALUE"""),FALSE)</f>
        <v>0</v>
      </c>
      <c r="W13" s="38" t="b">
        <f>IFERROR(__xludf.DUMMYFUNCTION("""COMPUTED_VALUE"""),FALSE)</f>
        <v>0</v>
      </c>
      <c r="X13" s="38" t="b">
        <f>IFERROR(__xludf.DUMMYFUNCTION("""COMPUTED_VALUE"""),FALSE)</f>
        <v>0</v>
      </c>
      <c r="Y13" s="38" t="b">
        <f>IFERROR(__xludf.DUMMYFUNCTION("""COMPUTED_VALUE"""),FALSE)</f>
        <v>0</v>
      </c>
      <c r="Z13" s="38" t="b">
        <f>IFERROR(__xludf.DUMMYFUNCTION("""COMPUTED_VALUE"""),TRUE)</f>
        <v>1</v>
      </c>
      <c r="AA13" s="38" t="b">
        <f>IFERROR(__xludf.DUMMYFUNCTION("""COMPUTED_VALUE"""),FALSE)</f>
        <v>0</v>
      </c>
      <c r="AB13" s="38" t="b">
        <f>IFERROR(__xludf.DUMMYFUNCTION("""COMPUTED_VALUE"""),FALSE)</f>
        <v>0</v>
      </c>
      <c r="AC13" s="38">
        <f>IFERROR(__xludf.DUMMYFUNCTION("""COMPUTED_VALUE"""),0.20119003462758034)</f>
        <v>0.2011900346</v>
      </c>
      <c r="AG13" s="38" t="s">
        <v>82</v>
      </c>
      <c r="AH13" s="41">
        <v>6.0</v>
      </c>
      <c r="AI13" s="38" t="s">
        <v>72</v>
      </c>
      <c r="AJ13" s="38" t="s">
        <v>76</v>
      </c>
      <c r="AK13" s="41">
        <v>3.7199999999999998</v>
      </c>
      <c r="AL13" s="41">
        <v>3.0</v>
      </c>
      <c r="AM13" s="41">
        <v>4.859999999999999</v>
      </c>
      <c r="AN13" s="38"/>
      <c r="AQ13" s="38" t="str">
        <f>IFERROR(__xludf.DUMMYFUNCTION("""COMPUTED_VALUE"""),"Hireling")</f>
        <v>Hireling</v>
      </c>
      <c r="AR13" s="2">
        <v>1.0</v>
      </c>
      <c r="AS13" s="2">
        <v>1.0</v>
      </c>
      <c r="AT13" s="2">
        <v>1.0</v>
      </c>
      <c r="AU13" s="2">
        <v>1.0</v>
      </c>
      <c r="AV13" s="2">
        <v>1.0</v>
      </c>
      <c r="AW13" s="2">
        <v>1.0</v>
      </c>
      <c r="AX13" s="2">
        <v>1.0</v>
      </c>
      <c r="AY13" s="2">
        <v>1.0</v>
      </c>
      <c r="AZ13" s="2">
        <v>1.0</v>
      </c>
      <c r="BA13" s="2">
        <v>1.0</v>
      </c>
      <c r="BB13" s="2">
        <v>2.0</v>
      </c>
      <c r="BC13" s="2">
        <v>1.0</v>
      </c>
      <c r="BD13" s="2">
        <v>5.0</v>
      </c>
      <c r="BE13" s="2">
        <v>2.8</v>
      </c>
      <c r="BF13" s="2"/>
      <c r="BG13" s="2"/>
      <c r="BH13" s="2"/>
      <c r="BI13" s="2" t="str">
        <f>IFERROR(__xludf.DUMMYFUNCTION("""COMPUTED_VALUE"""),"Comfortable Room")</f>
        <v>Comfortable Room</v>
      </c>
      <c r="BJ13" s="2">
        <v>1.5</v>
      </c>
      <c r="BK13" s="2">
        <v>1.0</v>
      </c>
      <c r="BL13" s="2">
        <v>1.0</v>
      </c>
      <c r="BM13" s="2">
        <v>1.0</v>
      </c>
      <c r="BN13" s="2">
        <v>1.0</v>
      </c>
      <c r="BO13" s="2">
        <v>1.0</v>
      </c>
      <c r="BP13" s="2">
        <v>1.0</v>
      </c>
      <c r="BQ13" s="2">
        <v>1.0</v>
      </c>
      <c r="BR13" s="2">
        <v>1.0</v>
      </c>
      <c r="BS13" s="2">
        <v>1.0</v>
      </c>
      <c r="BT13" s="2">
        <v>1.0</v>
      </c>
      <c r="BU13" s="2">
        <v>1.0</v>
      </c>
      <c r="BV13" s="2">
        <v>1.0</v>
      </c>
      <c r="BW13" s="2">
        <v>1.0</v>
      </c>
      <c r="BX13" s="2">
        <v>1.0</v>
      </c>
      <c r="BY13" s="2">
        <v>1.0</v>
      </c>
      <c r="BZ13" s="2">
        <v>1.0</v>
      </c>
      <c r="CB13" s="2"/>
      <c r="CC13" s="2"/>
      <c r="CD13" s="2"/>
      <c r="CE13" s="2"/>
      <c r="CF13" s="2"/>
      <c r="CG13" s="2"/>
      <c r="CH13" s="2"/>
      <c r="CI13" s="2"/>
      <c r="CJ13" s="2"/>
      <c r="CK13" s="2"/>
      <c r="CL13" s="2"/>
      <c r="CM13" s="2"/>
      <c r="CN13" s="2"/>
      <c r="CO13" s="2"/>
      <c r="CP13" s="2"/>
      <c r="CQ13" s="2"/>
    </row>
    <row r="14">
      <c r="A14" s="2" t="s">
        <v>139</v>
      </c>
      <c r="D14" s="38" t="str">
        <f>IFERROR(__xludf.DUMMYFUNCTION("""COMPUTED_VALUE"""),"Handaxe")</f>
        <v>Handaxe</v>
      </c>
      <c r="E14" s="41">
        <f>IFERROR(__xludf.DUMMYFUNCTION("""COMPUTED_VALUE"""),3.0)</f>
        <v>3</v>
      </c>
      <c r="F14" s="38" t="str">
        <f>IFERROR(__xludf.DUMMYFUNCTION("""COMPUTED_VALUE"""),"2 lb.")</f>
        <v>2 lb.</v>
      </c>
      <c r="G14" s="38" t="str">
        <f>IFERROR(__xludf.DUMMYFUNCTION("""COMPUTED_VALUE"""),"Weapon")</f>
        <v>Weapon</v>
      </c>
      <c r="H14" s="41">
        <f>IFERROR(__xludf.DUMMYFUNCTION("""COMPUTED_VALUE"""),1.8599999999999999)</f>
        <v>1.86</v>
      </c>
      <c r="I14" s="41">
        <f>IFERROR(__xludf.DUMMYFUNCTION("""COMPUTED_VALUE"""),1.5)</f>
        <v>1.5</v>
      </c>
      <c r="J14" s="41">
        <f>IFERROR(__xludf.DUMMYFUNCTION("""COMPUTED_VALUE"""),2.4299999999999997)</f>
        <v>2.43</v>
      </c>
      <c r="K14" s="38"/>
      <c r="L14" s="41" t="b">
        <f>IFERROR(__xludf.DUMMYFUNCTION("""COMPUTED_VALUE"""),FALSE)</f>
        <v>0</v>
      </c>
      <c r="M14" s="41" t="b">
        <f>IFERROR(__xludf.DUMMYFUNCTION("""COMPUTED_VALUE"""),TRUE)</f>
        <v>1</v>
      </c>
      <c r="N14" s="38" t="b">
        <f>IFERROR(__xludf.DUMMYFUNCTION("""COMPUTED_VALUE"""),TRUE)</f>
        <v>1</v>
      </c>
      <c r="O14" s="38" t="b">
        <f>IFERROR(__xludf.DUMMYFUNCTION("""COMPUTED_VALUE"""),FALSE)</f>
        <v>0</v>
      </c>
      <c r="P14" s="38" t="b">
        <f>IFERROR(__xludf.DUMMYFUNCTION("""COMPUTED_VALUE"""),FALSE)</f>
        <v>0</v>
      </c>
      <c r="Q14" s="38" t="b">
        <f>IFERROR(__xludf.DUMMYFUNCTION("""COMPUTED_VALUE"""),FALSE)</f>
        <v>0</v>
      </c>
      <c r="R14" s="38" t="b">
        <f>IFERROR(__xludf.DUMMYFUNCTION("""COMPUTED_VALUE"""),FALSE)</f>
        <v>0</v>
      </c>
      <c r="S14" s="38" t="b">
        <f>IFERROR(__xludf.DUMMYFUNCTION("""COMPUTED_VALUE"""),FALSE)</f>
        <v>0</v>
      </c>
      <c r="T14" s="38" t="b">
        <f>IFERROR(__xludf.DUMMYFUNCTION("""COMPUTED_VALUE"""),FALSE)</f>
        <v>0</v>
      </c>
      <c r="U14" s="38" t="b">
        <f>IFERROR(__xludf.DUMMYFUNCTION("""COMPUTED_VALUE"""),FALSE)</f>
        <v>0</v>
      </c>
      <c r="V14" s="38" t="b">
        <f>IFERROR(__xludf.DUMMYFUNCTION("""COMPUTED_VALUE"""),FALSE)</f>
        <v>0</v>
      </c>
      <c r="W14" s="38" t="b">
        <f>IFERROR(__xludf.DUMMYFUNCTION("""COMPUTED_VALUE"""),FALSE)</f>
        <v>0</v>
      </c>
      <c r="X14" s="38" t="b">
        <f>IFERROR(__xludf.DUMMYFUNCTION("""COMPUTED_VALUE"""),FALSE)</f>
        <v>0</v>
      </c>
      <c r="Y14" s="38" t="b">
        <f>IFERROR(__xludf.DUMMYFUNCTION("""COMPUTED_VALUE"""),FALSE)</f>
        <v>0</v>
      </c>
      <c r="Z14" s="38" t="b">
        <f>IFERROR(__xludf.DUMMYFUNCTION("""COMPUTED_VALUE"""),TRUE)</f>
        <v>1</v>
      </c>
      <c r="AA14" s="38" t="b">
        <f>IFERROR(__xludf.DUMMYFUNCTION("""COMPUTED_VALUE"""),FALSE)</f>
        <v>0</v>
      </c>
      <c r="AB14" s="38" t="b">
        <f>IFERROR(__xludf.DUMMYFUNCTION("""COMPUTED_VALUE"""),FALSE)</f>
        <v>0</v>
      </c>
      <c r="AC14" s="38">
        <f>IFERROR(__xludf.DUMMYFUNCTION("""COMPUTED_VALUE"""),0.20568360988167012)</f>
        <v>0.2056836099</v>
      </c>
      <c r="AG14" s="38" t="s">
        <v>83</v>
      </c>
      <c r="AH14" s="41">
        <v>3.0</v>
      </c>
      <c r="AI14" s="38" t="s">
        <v>51</v>
      </c>
      <c r="AJ14" s="38" t="s">
        <v>76</v>
      </c>
      <c r="AK14" s="41">
        <v>1.8599999999999999</v>
      </c>
      <c r="AL14" s="41">
        <v>1.5</v>
      </c>
      <c r="AM14" s="41">
        <v>2.4299999999999997</v>
      </c>
      <c r="AN14" s="38"/>
      <c r="AQ14" s="38" t="str">
        <f>IFERROR(__xludf.DUMMYFUNCTION("""COMPUTED_VALUE"""),"Item")</f>
        <v>Item</v>
      </c>
      <c r="AR14" s="2">
        <v>1.0</v>
      </c>
      <c r="AS14" s="2">
        <v>40.0</v>
      </c>
      <c r="AT14" s="2">
        <v>250.0</v>
      </c>
      <c r="AU14" s="2">
        <v>3.0</v>
      </c>
      <c r="AV14" s="2">
        <v>1.0</v>
      </c>
      <c r="AW14" s="2">
        <v>1.0</v>
      </c>
      <c r="AX14" s="2">
        <v>3.0</v>
      </c>
      <c r="AY14" s="2">
        <v>1.0</v>
      </c>
      <c r="AZ14" s="2">
        <v>1.0</v>
      </c>
      <c r="BA14" s="2">
        <v>1.0</v>
      </c>
      <c r="BB14" s="2">
        <v>2.0</v>
      </c>
      <c r="BC14" s="2">
        <v>10.0</v>
      </c>
      <c r="BD14" s="2">
        <v>10.0</v>
      </c>
      <c r="BE14" s="2">
        <v>4.0</v>
      </c>
      <c r="BF14" s="2"/>
      <c r="BG14" s="2"/>
      <c r="BH14" s="2"/>
      <c r="BI14" s="2" t="str">
        <f>IFERROR(__xludf.DUMMYFUNCTION("""COMPUTED_VALUE"""),"Modest Room")</f>
        <v>Modest Room</v>
      </c>
      <c r="BJ14" s="2">
        <v>1.5</v>
      </c>
      <c r="BK14" s="2">
        <v>1.0</v>
      </c>
      <c r="BL14" s="2">
        <v>1.0</v>
      </c>
      <c r="BM14" s="2">
        <v>1.0</v>
      </c>
      <c r="BN14" s="2">
        <v>1.0</v>
      </c>
      <c r="BO14" s="2">
        <v>1.0</v>
      </c>
      <c r="BP14" s="2">
        <v>1.0</v>
      </c>
      <c r="BQ14" s="2">
        <v>1.0</v>
      </c>
      <c r="BR14" s="2">
        <v>1.0</v>
      </c>
      <c r="BS14" s="2">
        <v>1.0</v>
      </c>
      <c r="BT14" s="2">
        <v>1.0</v>
      </c>
      <c r="BU14" s="2">
        <v>1.0</v>
      </c>
      <c r="BV14" s="2">
        <v>1.0</v>
      </c>
      <c r="BW14" s="2">
        <v>1.0</v>
      </c>
      <c r="BX14" s="2">
        <v>1.0</v>
      </c>
      <c r="BY14" s="2">
        <v>1.0</v>
      </c>
      <c r="BZ14" s="2">
        <v>1.0</v>
      </c>
      <c r="CB14" s="2"/>
      <c r="CC14" s="2"/>
      <c r="CD14" s="2"/>
      <c r="CE14" s="2"/>
      <c r="CF14" s="2"/>
      <c r="CG14" s="2"/>
      <c r="CH14" s="2"/>
      <c r="CI14" s="2"/>
      <c r="CJ14" s="2"/>
      <c r="CK14" s="2"/>
      <c r="CL14" s="2"/>
      <c r="CM14" s="2"/>
      <c r="CN14" s="2"/>
      <c r="CO14" s="2"/>
      <c r="CP14" s="2"/>
      <c r="CQ14" s="2"/>
    </row>
    <row r="15">
      <c r="A15" s="2" t="s">
        <v>140</v>
      </c>
      <c r="D15" s="38" t="str">
        <f>IFERROR(__xludf.DUMMYFUNCTION("""COMPUTED_VALUE"""),"Smith’s Tools")</f>
        <v>Smith’s Tools</v>
      </c>
      <c r="E15" s="41">
        <f>IFERROR(__xludf.DUMMYFUNCTION("""COMPUTED_VALUE"""),30.0)</f>
        <v>30</v>
      </c>
      <c r="F15" s="38" t="str">
        <f>IFERROR(__xludf.DUMMYFUNCTION("""COMPUTED_VALUE"""),"8 lb.")</f>
        <v>8 lb.</v>
      </c>
      <c r="G15" s="38" t="str">
        <f>IFERROR(__xludf.DUMMYFUNCTION("""COMPUTED_VALUE"""),"Tool")</f>
        <v>Tool</v>
      </c>
      <c r="H15" s="41">
        <f>IFERROR(__xludf.DUMMYFUNCTION("""COMPUTED_VALUE"""),24.599999999999998)</f>
        <v>24.6</v>
      </c>
      <c r="I15" s="41">
        <f>IFERROR(__xludf.DUMMYFUNCTION("""COMPUTED_VALUE"""),15.0)</f>
        <v>15</v>
      </c>
      <c r="J15" s="41">
        <f>IFERROR(__xludf.DUMMYFUNCTION("""COMPUTED_VALUE"""),27.299999999999997)</f>
        <v>27.3</v>
      </c>
      <c r="K15" s="38" t="str">
        <f>IFERROR(__xludf.DUMMYFUNCTION("""COMPUTED_VALUE"""),"This kit includes the basic items needed by those proficient in smithing to pursue their craft.")</f>
        <v>This kit includes the basic items needed by those proficient in smithing to pursue their craft.</v>
      </c>
      <c r="L15" s="38" t="b">
        <f>IFERROR(__xludf.DUMMYFUNCTION("""COMPUTED_VALUE"""),FALSE)</f>
        <v>0</v>
      </c>
      <c r="M15" s="38" t="b">
        <f>IFERROR(__xludf.DUMMYFUNCTION("""COMPUTED_VALUE"""),TRUE)</f>
        <v>1</v>
      </c>
      <c r="N15" s="38" t="b">
        <f>IFERROR(__xludf.DUMMYFUNCTION("""COMPUTED_VALUE"""),FALSE)</f>
        <v>0</v>
      </c>
      <c r="O15" s="38" t="b">
        <f>IFERROR(__xludf.DUMMYFUNCTION("""COMPUTED_VALUE"""),FALSE)</f>
        <v>0</v>
      </c>
      <c r="P15" s="38" t="b">
        <f>IFERROR(__xludf.DUMMYFUNCTION("""COMPUTED_VALUE"""),FALSE)</f>
        <v>0</v>
      </c>
      <c r="Q15" s="38" t="b">
        <f>IFERROR(__xludf.DUMMYFUNCTION("""COMPUTED_VALUE"""),FALSE)</f>
        <v>0</v>
      </c>
      <c r="R15" s="38" t="b">
        <f>IFERROR(__xludf.DUMMYFUNCTION("""COMPUTED_VALUE"""),FALSE)</f>
        <v>0</v>
      </c>
      <c r="S15" s="38" t="b">
        <f>IFERROR(__xludf.DUMMYFUNCTION("""COMPUTED_VALUE"""),FALSE)</f>
        <v>0</v>
      </c>
      <c r="T15" s="38" t="b">
        <f>IFERROR(__xludf.DUMMYFUNCTION("""COMPUTED_VALUE"""),FALSE)</f>
        <v>0</v>
      </c>
      <c r="U15" s="38" t="b">
        <f>IFERROR(__xludf.DUMMYFUNCTION("""COMPUTED_VALUE"""),FALSE)</f>
        <v>0</v>
      </c>
      <c r="V15" s="38" t="b">
        <f>IFERROR(__xludf.DUMMYFUNCTION("""COMPUTED_VALUE"""),FALSE)</f>
        <v>0</v>
      </c>
      <c r="W15" s="38" t="b">
        <f>IFERROR(__xludf.DUMMYFUNCTION("""COMPUTED_VALUE"""),FALSE)</f>
        <v>0</v>
      </c>
      <c r="X15" s="38" t="b">
        <f>IFERROR(__xludf.DUMMYFUNCTION("""COMPUTED_VALUE"""),FALSE)</f>
        <v>0</v>
      </c>
      <c r="Y15" s="38" t="b">
        <f>IFERROR(__xludf.DUMMYFUNCTION("""COMPUTED_VALUE"""),FALSE)</f>
        <v>0</v>
      </c>
      <c r="Z15" s="38" t="b">
        <f>IFERROR(__xludf.DUMMYFUNCTION("""COMPUTED_VALUE"""),FALSE)</f>
        <v>0</v>
      </c>
      <c r="AA15" s="38" t="b">
        <f>IFERROR(__xludf.DUMMYFUNCTION("""COMPUTED_VALUE"""),FALSE)</f>
        <v>0</v>
      </c>
      <c r="AB15" s="38" t="b">
        <f>IFERROR(__xludf.DUMMYFUNCTION("""COMPUTED_VALUE"""),FALSE)</f>
        <v>0</v>
      </c>
      <c r="AC15" s="38">
        <f>IFERROR(__xludf.DUMMYFUNCTION("""COMPUTED_VALUE"""),0.22280718836047408)</f>
        <v>0.2228071884</v>
      </c>
      <c r="AG15" s="38" t="s">
        <v>65</v>
      </c>
      <c r="AH15" s="41">
        <v>30.0</v>
      </c>
      <c r="AI15" s="38" t="s">
        <v>66</v>
      </c>
      <c r="AJ15" s="38" t="s">
        <v>58</v>
      </c>
      <c r="AK15" s="41">
        <v>24.599999999999998</v>
      </c>
      <c r="AL15" s="41">
        <v>15.0</v>
      </c>
      <c r="AM15" s="41">
        <v>27.299999999999997</v>
      </c>
      <c r="AN15" s="38" t="s">
        <v>67</v>
      </c>
      <c r="AQ15" s="38" t="str">
        <f>IFERROR(__xludf.DUMMYFUNCTION("""COMPUTED_VALUE"""),"Jewellery")</f>
        <v>Jewellery</v>
      </c>
      <c r="AR15" s="2">
        <v>1.0</v>
      </c>
      <c r="AS15" s="2">
        <v>0.5</v>
      </c>
      <c r="AT15" s="2">
        <v>0.4</v>
      </c>
      <c r="AU15" s="2">
        <v>1.0</v>
      </c>
      <c r="AV15" s="2">
        <v>1.0</v>
      </c>
      <c r="AW15" s="2">
        <v>1.5</v>
      </c>
      <c r="AX15" s="2">
        <v>1.0</v>
      </c>
      <c r="AY15" s="2">
        <v>1.0</v>
      </c>
      <c r="AZ15" s="2">
        <v>1.0</v>
      </c>
      <c r="BA15" s="2">
        <v>1.0</v>
      </c>
      <c r="BB15" s="2">
        <v>2.5</v>
      </c>
      <c r="BC15" s="2">
        <v>5.0</v>
      </c>
      <c r="BD15" s="2">
        <v>1.0</v>
      </c>
      <c r="BE15" s="2">
        <v>2.0</v>
      </c>
      <c r="BF15" s="2"/>
      <c r="BG15" s="2"/>
      <c r="BH15" s="2"/>
      <c r="BI15" s="2" t="str">
        <f>IFERROR(__xludf.DUMMYFUNCTION("""COMPUTED_VALUE"""),"Poor Room")</f>
        <v>Poor Room</v>
      </c>
      <c r="BJ15" s="2">
        <v>1.5</v>
      </c>
      <c r="BK15" s="2">
        <v>1.0</v>
      </c>
      <c r="BL15" s="2">
        <v>1.0</v>
      </c>
      <c r="BM15" s="2">
        <v>1.0</v>
      </c>
      <c r="BN15" s="2">
        <v>1.0</v>
      </c>
      <c r="BO15" s="2">
        <v>1.0</v>
      </c>
      <c r="BP15" s="2">
        <v>1.0</v>
      </c>
      <c r="BQ15" s="2">
        <v>1.0</v>
      </c>
      <c r="BR15" s="2">
        <v>1.0</v>
      </c>
      <c r="BS15" s="2">
        <v>1.0</v>
      </c>
      <c r="BT15" s="2">
        <v>1.0</v>
      </c>
      <c r="BU15" s="2">
        <v>1.0</v>
      </c>
      <c r="BV15" s="2">
        <v>1.0</v>
      </c>
      <c r="BW15" s="2">
        <v>1.0</v>
      </c>
      <c r="BX15" s="2">
        <v>1.0</v>
      </c>
      <c r="BY15" s="2">
        <v>1.0</v>
      </c>
      <c r="BZ15" s="2">
        <v>1.0</v>
      </c>
      <c r="CB15" s="2"/>
      <c r="CC15" s="2"/>
      <c r="CD15" s="2"/>
      <c r="CE15" s="2"/>
      <c r="CF15" s="2"/>
      <c r="CG15" s="2"/>
      <c r="CH15" s="2"/>
      <c r="CI15" s="2"/>
      <c r="CJ15" s="2"/>
      <c r="CK15" s="2"/>
      <c r="CL15" s="2"/>
      <c r="CM15" s="2"/>
      <c r="CN15" s="2"/>
      <c r="CO15" s="2"/>
      <c r="CP15" s="2"/>
      <c r="CQ15" s="2"/>
    </row>
    <row r="16">
      <c r="A16" s="2" t="s">
        <v>141</v>
      </c>
      <c r="D16" s="38" t="str">
        <f>IFERROR(__xludf.DUMMYFUNCTION("""COMPUTED_VALUE"""),"Hooded Lantern")</f>
        <v>Hooded Lantern</v>
      </c>
      <c r="E16" s="41">
        <f>IFERROR(__xludf.DUMMYFUNCTION("""COMPUTED_VALUE"""),5.0)</f>
        <v>5</v>
      </c>
      <c r="F16" s="38" t="str">
        <f>IFERROR(__xludf.DUMMYFUNCTION("""COMPUTED_VALUE"""),"2 lb.")</f>
        <v>2 lb.</v>
      </c>
      <c r="G16" s="38" t="str">
        <f>IFERROR(__xludf.DUMMYFUNCTION("""COMPUTED_VALUE"""),"Light")</f>
        <v>Light</v>
      </c>
      <c r="H16" s="41">
        <f>IFERROR(__xludf.DUMMYFUNCTION("""COMPUTED_VALUE"""),3.1)</f>
        <v>3.1</v>
      </c>
      <c r="I16" s="41">
        <f>IFERROR(__xludf.DUMMYFUNCTION("""COMPUTED_VALUE"""),2.5)</f>
        <v>2.5</v>
      </c>
      <c r="J16" s="41">
        <f>IFERROR(__xludf.DUMMYFUNCTION("""COMPUTED_VALUE"""),4.05)</f>
        <v>4.05</v>
      </c>
      <c r="K16" s="38"/>
      <c r="L16" s="41" t="b">
        <f>IFERROR(__xludf.DUMMYFUNCTION("""COMPUTED_VALUE"""),FALSE)</f>
        <v>0</v>
      </c>
      <c r="M16" s="41" t="b">
        <f>IFERROR(__xludf.DUMMYFUNCTION("""COMPUTED_VALUE"""),TRUE)</f>
        <v>1</v>
      </c>
      <c r="N16" s="38" t="b">
        <f>IFERROR(__xludf.DUMMYFUNCTION("""COMPUTED_VALUE"""),FALSE)</f>
        <v>0</v>
      </c>
      <c r="O16" s="38" t="b">
        <f>IFERROR(__xludf.DUMMYFUNCTION("""COMPUTED_VALUE"""),FALSE)</f>
        <v>0</v>
      </c>
      <c r="P16" s="38" t="b">
        <f>IFERROR(__xludf.DUMMYFUNCTION("""COMPUTED_VALUE"""),FALSE)</f>
        <v>0</v>
      </c>
      <c r="Q16" s="38" t="b">
        <f>IFERROR(__xludf.DUMMYFUNCTION("""COMPUTED_VALUE"""),FALSE)</f>
        <v>0</v>
      </c>
      <c r="R16" s="38" t="b">
        <f>IFERROR(__xludf.DUMMYFUNCTION("""COMPUTED_VALUE"""),FALSE)</f>
        <v>0</v>
      </c>
      <c r="S16" s="38" t="b">
        <f>IFERROR(__xludf.DUMMYFUNCTION("""COMPUTED_VALUE"""),FALSE)</f>
        <v>0</v>
      </c>
      <c r="T16" s="38" t="b">
        <f>IFERROR(__xludf.DUMMYFUNCTION("""COMPUTED_VALUE"""),FALSE)</f>
        <v>0</v>
      </c>
      <c r="U16" s="38" t="b">
        <f>IFERROR(__xludf.DUMMYFUNCTION("""COMPUTED_VALUE"""),FALSE)</f>
        <v>0</v>
      </c>
      <c r="V16" s="38" t="b">
        <f>IFERROR(__xludf.DUMMYFUNCTION("""COMPUTED_VALUE"""),FALSE)</f>
        <v>0</v>
      </c>
      <c r="W16" s="38" t="b">
        <f>IFERROR(__xludf.DUMMYFUNCTION("""COMPUTED_VALUE"""),FALSE)</f>
        <v>0</v>
      </c>
      <c r="X16" s="38" t="b">
        <f>IFERROR(__xludf.DUMMYFUNCTION("""COMPUTED_VALUE"""),FALSE)</f>
        <v>0</v>
      </c>
      <c r="Y16" s="38" t="b">
        <f>IFERROR(__xludf.DUMMYFUNCTION("""COMPUTED_VALUE"""),FALSE)</f>
        <v>0</v>
      </c>
      <c r="Z16" s="38" t="b">
        <f>IFERROR(__xludf.DUMMYFUNCTION("""COMPUTED_VALUE"""),TRUE)</f>
        <v>1</v>
      </c>
      <c r="AA16" s="38" t="b">
        <f>IFERROR(__xludf.DUMMYFUNCTION("""COMPUTED_VALUE"""),FALSE)</f>
        <v>0</v>
      </c>
      <c r="AB16" s="38" t="b">
        <f>IFERROR(__xludf.DUMMYFUNCTION("""COMPUTED_VALUE"""),FALSE)</f>
        <v>0</v>
      </c>
      <c r="AC16" s="38">
        <f>IFERROR(__xludf.DUMMYFUNCTION("""COMPUTED_VALUE"""),0.2544362297868995)</f>
        <v>0.2544362298</v>
      </c>
      <c r="AG16" s="38" t="s">
        <v>50</v>
      </c>
      <c r="AH16" s="41">
        <v>5.0</v>
      </c>
      <c r="AI16" s="38" t="s">
        <v>51</v>
      </c>
      <c r="AJ16" s="38" t="s">
        <v>52</v>
      </c>
      <c r="AK16" s="41">
        <v>3.1</v>
      </c>
      <c r="AL16" s="41">
        <v>2.5</v>
      </c>
      <c r="AM16" s="41">
        <v>4.05</v>
      </c>
      <c r="AN16" s="38"/>
      <c r="AQ16" s="38" t="str">
        <f>IFERROR(__xludf.DUMMYFUNCTION("""COMPUTED_VALUE"""),"Light")</f>
        <v>Light</v>
      </c>
      <c r="AR16" s="2">
        <v>1.0</v>
      </c>
      <c r="AS16" s="2">
        <v>0.1</v>
      </c>
      <c r="AT16" s="2">
        <v>0.1</v>
      </c>
      <c r="AU16" s="2">
        <v>3.0</v>
      </c>
      <c r="AV16" s="2">
        <v>1.0</v>
      </c>
      <c r="AW16" s="2">
        <v>1.0</v>
      </c>
      <c r="AX16" s="2">
        <v>3.0</v>
      </c>
      <c r="AY16" s="2">
        <v>10.0</v>
      </c>
      <c r="AZ16" s="2">
        <v>0.8</v>
      </c>
      <c r="BA16" s="2">
        <v>0.8</v>
      </c>
      <c r="BB16" s="2">
        <v>1.2</v>
      </c>
      <c r="BC16" s="2">
        <v>1.0</v>
      </c>
      <c r="BD16" s="2">
        <v>1.0</v>
      </c>
      <c r="BE16" s="2">
        <v>2.0</v>
      </c>
      <c r="BF16" s="2"/>
      <c r="BG16" s="2"/>
      <c r="BH16" s="2"/>
      <c r="BI16" s="2" t="str">
        <f>IFERROR(__xludf.DUMMYFUNCTION("""COMPUTED_VALUE"""),"Squalid Room")</f>
        <v>Squalid Room</v>
      </c>
      <c r="BJ16" s="2">
        <v>1.5</v>
      </c>
      <c r="BK16" s="2">
        <v>1.0</v>
      </c>
      <c r="BL16" s="2">
        <v>1.0</v>
      </c>
      <c r="BM16" s="2">
        <v>1.0</v>
      </c>
      <c r="BN16" s="2">
        <v>1.0</v>
      </c>
      <c r="BO16" s="2">
        <v>1.0</v>
      </c>
      <c r="BP16" s="2">
        <v>1.0</v>
      </c>
      <c r="BQ16" s="2">
        <v>1.0</v>
      </c>
      <c r="BR16" s="2">
        <v>1.0</v>
      </c>
      <c r="BS16" s="2">
        <v>1.0</v>
      </c>
      <c r="BT16" s="2">
        <v>1.0</v>
      </c>
      <c r="BU16" s="2">
        <v>1.0</v>
      </c>
      <c r="BV16" s="2">
        <v>1.0</v>
      </c>
      <c r="BW16" s="2">
        <v>1.0</v>
      </c>
      <c r="BX16" s="2">
        <v>1.0</v>
      </c>
      <c r="BY16" s="2">
        <v>1.0</v>
      </c>
      <c r="BZ16" s="2">
        <v>1.0</v>
      </c>
      <c r="CB16" s="2"/>
      <c r="CC16" s="2"/>
      <c r="CD16" s="2"/>
      <c r="CE16" s="2"/>
      <c r="CF16" s="2"/>
      <c r="CG16" s="2"/>
      <c r="CH16" s="2"/>
      <c r="CI16" s="2"/>
      <c r="CJ16" s="2"/>
      <c r="CK16" s="2"/>
      <c r="CL16" s="2"/>
      <c r="CM16" s="2"/>
      <c r="CN16" s="2"/>
      <c r="CO16" s="2"/>
      <c r="CP16" s="2"/>
      <c r="CQ16" s="2"/>
    </row>
    <row r="17">
      <c r="A17" s="2" t="s">
        <v>142</v>
      </c>
      <c r="D17" s="38" t="str">
        <f>IFERROR(__xludf.DUMMYFUNCTION("""COMPUTED_VALUE"""),"Bullseye Lantern")</f>
        <v>Bullseye Lantern</v>
      </c>
      <c r="E17" s="41">
        <f>IFERROR(__xludf.DUMMYFUNCTION("""COMPUTED_VALUE"""),10.0)</f>
        <v>10</v>
      </c>
      <c r="F17" s="38" t="str">
        <f>IFERROR(__xludf.DUMMYFUNCTION("""COMPUTED_VALUE"""),"2 lb.")</f>
        <v>2 lb.</v>
      </c>
      <c r="G17" s="38" t="str">
        <f>IFERROR(__xludf.DUMMYFUNCTION("""COMPUTED_VALUE"""),"Light")</f>
        <v>Light</v>
      </c>
      <c r="H17" s="41">
        <f>IFERROR(__xludf.DUMMYFUNCTION("""COMPUTED_VALUE"""),6.2)</f>
        <v>6.2</v>
      </c>
      <c r="I17" s="41">
        <f>IFERROR(__xludf.DUMMYFUNCTION("""COMPUTED_VALUE"""),5.0)</f>
        <v>5</v>
      </c>
      <c r="J17" s="41">
        <f>IFERROR(__xludf.DUMMYFUNCTION("""COMPUTED_VALUE"""),8.1)</f>
        <v>8.1</v>
      </c>
      <c r="K17" s="38"/>
      <c r="L17" s="41" t="b">
        <f>IFERROR(__xludf.DUMMYFUNCTION("""COMPUTED_VALUE"""),FALSE)</f>
        <v>0</v>
      </c>
      <c r="M17" s="41" t="b">
        <f>IFERROR(__xludf.DUMMYFUNCTION("""COMPUTED_VALUE"""),TRUE)</f>
        <v>1</v>
      </c>
      <c r="N17" s="38" t="b">
        <f>IFERROR(__xludf.DUMMYFUNCTION("""COMPUTED_VALUE"""),FALSE)</f>
        <v>0</v>
      </c>
      <c r="O17" s="38" t="b">
        <f>IFERROR(__xludf.DUMMYFUNCTION("""COMPUTED_VALUE"""),FALSE)</f>
        <v>0</v>
      </c>
      <c r="P17" s="38" t="b">
        <f>IFERROR(__xludf.DUMMYFUNCTION("""COMPUTED_VALUE"""),FALSE)</f>
        <v>0</v>
      </c>
      <c r="Q17" s="38" t="b">
        <f>IFERROR(__xludf.DUMMYFUNCTION("""COMPUTED_VALUE"""),TRUE)</f>
        <v>1</v>
      </c>
      <c r="R17" s="38" t="b">
        <f>IFERROR(__xludf.DUMMYFUNCTION("""COMPUTED_VALUE"""),FALSE)</f>
        <v>0</v>
      </c>
      <c r="S17" s="38" t="b">
        <f>IFERROR(__xludf.DUMMYFUNCTION("""COMPUTED_VALUE"""),FALSE)</f>
        <v>0</v>
      </c>
      <c r="T17" s="38" t="b">
        <f>IFERROR(__xludf.DUMMYFUNCTION("""COMPUTED_VALUE"""),FALSE)</f>
        <v>0</v>
      </c>
      <c r="U17" s="38" t="b">
        <f>IFERROR(__xludf.DUMMYFUNCTION("""COMPUTED_VALUE"""),FALSE)</f>
        <v>0</v>
      </c>
      <c r="V17" s="38" t="b">
        <f>IFERROR(__xludf.DUMMYFUNCTION("""COMPUTED_VALUE"""),FALSE)</f>
        <v>0</v>
      </c>
      <c r="W17" s="38" t="b">
        <f>IFERROR(__xludf.DUMMYFUNCTION("""COMPUTED_VALUE"""),FALSE)</f>
        <v>0</v>
      </c>
      <c r="X17" s="38" t="b">
        <f>IFERROR(__xludf.DUMMYFUNCTION("""COMPUTED_VALUE"""),FALSE)</f>
        <v>0</v>
      </c>
      <c r="Y17" s="38" t="b">
        <f>IFERROR(__xludf.DUMMYFUNCTION("""COMPUTED_VALUE"""),FALSE)</f>
        <v>0</v>
      </c>
      <c r="Z17" s="38" t="b">
        <f>IFERROR(__xludf.DUMMYFUNCTION("""COMPUTED_VALUE"""),TRUE)</f>
        <v>1</v>
      </c>
      <c r="AA17" s="38" t="b">
        <f>IFERROR(__xludf.DUMMYFUNCTION("""COMPUTED_VALUE"""),FALSE)</f>
        <v>0</v>
      </c>
      <c r="AB17" s="38" t="b">
        <f>IFERROR(__xludf.DUMMYFUNCTION("""COMPUTED_VALUE"""),FALSE)</f>
        <v>0</v>
      </c>
      <c r="AC17" s="38">
        <f>IFERROR(__xludf.DUMMYFUNCTION("""COMPUTED_VALUE"""),0.2753272172567577)</f>
        <v>0.2753272173</v>
      </c>
      <c r="AG17" s="38" t="s">
        <v>53</v>
      </c>
      <c r="AH17" s="41">
        <v>10.0</v>
      </c>
      <c r="AI17" s="38" t="s">
        <v>51</v>
      </c>
      <c r="AJ17" s="38" t="s">
        <v>52</v>
      </c>
      <c r="AK17" s="41">
        <v>6.2</v>
      </c>
      <c r="AL17" s="41">
        <v>5.0</v>
      </c>
      <c r="AM17" s="41">
        <v>8.1</v>
      </c>
      <c r="AN17" s="38"/>
      <c r="AQ17" s="38" t="str">
        <f>IFERROR(__xludf.DUMMYFUNCTION("""COMPUTED_VALUE"""),"Livestock")</f>
        <v>Livestock</v>
      </c>
      <c r="AR17" s="2">
        <v>1.0</v>
      </c>
      <c r="AS17" s="2">
        <v>10.0</v>
      </c>
      <c r="AT17" s="2">
        <v>0.6</v>
      </c>
      <c r="AU17" s="2">
        <v>5.0</v>
      </c>
      <c r="AV17" s="2">
        <v>0.6</v>
      </c>
      <c r="AW17" s="2">
        <v>2.0</v>
      </c>
      <c r="AX17" s="2">
        <v>0.8</v>
      </c>
      <c r="AY17" s="2">
        <v>1.0</v>
      </c>
      <c r="AZ17" s="2">
        <v>1.0</v>
      </c>
      <c r="BA17" s="2">
        <v>50.0</v>
      </c>
      <c r="BB17" s="2">
        <v>2.0</v>
      </c>
      <c r="BC17" s="2">
        <v>1.0</v>
      </c>
      <c r="BD17" s="2">
        <v>1.0</v>
      </c>
      <c r="BE17" s="2">
        <v>2.0</v>
      </c>
      <c r="BF17" s="2"/>
      <c r="BG17" s="2"/>
      <c r="BH17" s="2"/>
      <c r="BI17" s="2" t="str">
        <f>IFERROR(__xludf.DUMMYFUNCTION("""COMPUTED_VALUE"""),"Common Clothes")</f>
        <v>Common Clothes</v>
      </c>
      <c r="BJ17" s="2">
        <v>1.5</v>
      </c>
      <c r="BK17" s="2">
        <v>1.0</v>
      </c>
      <c r="BL17" s="2">
        <v>1.0</v>
      </c>
      <c r="BM17" s="2">
        <v>1.0</v>
      </c>
      <c r="BN17" s="2">
        <v>1.0</v>
      </c>
      <c r="BO17" s="2">
        <v>1.0</v>
      </c>
      <c r="BP17" s="2">
        <v>1.0</v>
      </c>
      <c r="BQ17" s="2">
        <v>1.0</v>
      </c>
      <c r="BR17" s="2">
        <v>1.0</v>
      </c>
      <c r="BS17" s="2">
        <v>1.0</v>
      </c>
      <c r="BT17" s="2">
        <v>1.0</v>
      </c>
      <c r="BU17" s="2">
        <v>1.0</v>
      </c>
      <c r="BV17" s="2">
        <v>1.0</v>
      </c>
      <c r="BW17" s="2">
        <v>1.0</v>
      </c>
      <c r="BX17" s="2">
        <v>1.0</v>
      </c>
      <c r="BY17" s="2">
        <v>1.0</v>
      </c>
      <c r="BZ17" s="2">
        <v>1.0</v>
      </c>
      <c r="CB17" s="2"/>
      <c r="CC17" s="2"/>
      <c r="CD17" s="2"/>
      <c r="CE17" s="2"/>
      <c r="CF17" s="2"/>
      <c r="CG17" s="2"/>
      <c r="CH17" s="2"/>
      <c r="CI17" s="2"/>
      <c r="CJ17" s="2"/>
      <c r="CK17" s="2"/>
      <c r="CL17" s="2"/>
      <c r="CM17" s="2"/>
      <c r="CN17" s="2"/>
      <c r="CO17" s="2"/>
      <c r="CP17" s="2"/>
      <c r="CQ17" s="2"/>
    </row>
    <row r="18">
      <c r="A18" s="2" t="s">
        <v>143</v>
      </c>
      <c r="D18" s="38" t="str">
        <f>IFERROR(__xludf.DUMMYFUNCTION("""COMPUTED_VALUE"""),"Hunting Trap")</f>
        <v>Hunting Trap</v>
      </c>
      <c r="E18" s="41">
        <f>IFERROR(__xludf.DUMMYFUNCTION("""COMPUTED_VALUE"""),5.0)</f>
        <v>5</v>
      </c>
      <c r="F18" s="38" t="str">
        <f>IFERROR(__xludf.DUMMYFUNCTION("""COMPUTED_VALUE"""),"25 lb.")</f>
        <v>25 lb.</v>
      </c>
      <c r="G18" s="38" t="str">
        <f>IFERROR(__xludf.DUMMYFUNCTION("""COMPUTED_VALUE"""),"Equipment")</f>
        <v>Equipment</v>
      </c>
      <c r="H18" s="41">
        <f>IFERROR(__xludf.DUMMYFUNCTION("""COMPUTED_VALUE"""),3.1)</f>
        <v>3.1</v>
      </c>
      <c r="I18" s="41">
        <f>IFERROR(__xludf.DUMMYFUNCTION("""COMPUTED_VALUE"""),2.5)</f>
        <v>2.5</v>
      </c>
      <c r="J18" s="41">
        <f>IFERROR(__xludf.DUMMYFUNCTION("""COMPUTED_VALUE"""),4.05)</f>
        <v>4.05</v>
      </c>
      <c r="K18" s="38"/>
      <c r="L18" s="41" t="b">
        <f>IFERROR(__xludf.DUMMYFUNCTION("""COMPUTED_VALUE"""),FALSE)</f>
        <v>0</v>
      </c>
      <c r="M18" s="41" t="b">
        <f>IFERROR(__xludf.DUMMYFUNCTION("""COMPUTED_VALUE"""),TRUE)</f>
        <v>1</v>
      </c>
      <c r="N18" s="38" t="b">
        <f>IFERROR(__xludf.DUMMYFUNCTION("""COMPUTED_VALUE"""),TRUE)</f>
        <v>1</v>
      </c>
      <c r="O18" s="38" t="b">
        <f>IFERROR(__xludf.DUMMYFUNCTION("""COMPUTED_VALUE"""),FALSE)</f>
        <v>0</v>
      </c>
      <c r="P18" s="38" t="b">
        <f>IFERROR(__xludf.DUMMYFUNCTION("""COMPUTED_VALUE"""),FALSE)</f>
        <v>0</v>
      </c>
      <c r="Q18" s="38" t="b">
        <f>IFERROR(__xludf.DUMMYFUNCTION("""COMPUTED_VALUE"""),TRUE)</f>
        <v>1</v>
      </c>
      <c r="R18" s="38" t="b">
        <f>IFERROR(__xludf.DUMMYFUNCTION("""COMPUTED_VALUE"""),FALSE)</f>
        <v>0</v>
      </c>
      <c r="S18" s="38" t="b">
        <f>IFERROR(__xludf.DUMMYFUNCTION("""COMPUTED_VALUE"""),FALSE)</f>
        <v>0</v>
      </c>
      <c r="T18" s="38" t="b">
        <f>IFERROR(__xludf.DUMMYFUNCTION("""COMPUTED_VALUE"""),TRUE)</f>
        <v>1</v>
      </c>
      <c r="U18" s="38" t="b">
        <f>IFERROR(__xludf.DUMMYFUNCTION("""COMPUTED_VALUE"""),FALSE)</f>
        <v>0</v>
      </c>
      <c r="V18" s="38" t="b">
        <f>IFERROR(__xludf.DUMMYFUNCTION("""COMPUTED_VALUE"""),TRUE)</f>
        <v>1</v>
      </c>
      <c r="W18" s="38" t="b">
        <f>IFERROR(__xludf.DUMMYFUNCTION("""COMPUTED_VALUE"""),FALSE)</f>
        <v>0</v>
      </c>
      <c r="X18" s="38" t="b">
        <f>IFERROR(__xludf.DUMMYFUNCTION("""COMPUTED_VALUE"""),FALSE)</f>
        <v>0</v>
      </c>
      <c r="Y18" s="38" t="b">
        <f>IFERROR(__xludf.DUMMYFUNCTION("""COMPUTED_VALUE"""),FALSE)</f>
        <v>0</v>
      </c>
      <c r="Z18" s="38" t="b">
        <f>IFERROR(__xludf.DUMMYFUNCTION("""COMPUTED_VALUE"""),TRUE)</f>
        <v>1</v>
      </c>
      <c r="AA18" s="38" t="b">
        <f>IFERROR(__xludf.DUMMYFUNCTION("""COMPUTED_VALUE"""),FALSE)</f>
        <v>0</v>
      </c>
      <c r="AB18" s="38" t="b">
        <f>IFERROR(__xludf.DUMMYFUNCTION("""COMPUTED_VALUE"""),FALSE)</f>
        <v>0</v>
      </c>
      <c r="AC18" s="38">
        <f>IFERROR(__xludf.DUMMYFUNCTION("""COMPUTED_VALUE"""),0.2928799136885737)</f>
        <v>0.2928799137</v>
      </c>
      <c r="AG18" s="38" t="s">
        <v>45</v>
      </c>
      <c r="AH18" s="41">
        <v>5.0</v>
      </c>
      <c r="AI18" s="38" t="s">
        <v>46</v>
      </c>
      <c r="AJ18" s="38" t="s">
        <v>47</v>
      </c>
      <c r="AK18" s="41">
        <v>3.1</v>
      </c>
      <c r="AL18" s="41">
        <v>2.5</v>
      </c>
      <c r="AM18" s="41">
        <v>4.05</v>
      </c>
      <c r="AN18" s="38"/>
      <c r="AQ18" s="38" t="str">
        <f>IFERROR(__xludf.DUMMYFUNCTION("""COMPUTED_VALUE"""),"Luxury (Goods)")</f>
        <v>Luxury (Goods)</v>
      </c>
      <c r="AR18" s="2">
        <v>1.0</v>
      </c>
      <c r="AS18" s="2">
        <v>1.0</v>
      </c>
      <c r="AT18" s="2">
        <v>2.0</v>
      </c>
      <c r="AU18" s="2">
        <v>2.0</v>
      </c>
      <c r="AV18" s="2">
        <v>2.0</v>
      </c>
      <c r="AW18" s="2">
        <v>1.5</v>
      </c>
      <c r="AX18" s="2">
        <v>1.0</v>
      </c>
      <c r="AY18" s="2">
        <v>1.0</v>
      </c>
      <c r="AZ18" s="2">
        <v>1.0</v>
      </c>
      <c r="BA18" s="2">
        <v>1.0</v>
      </c>
      <c r="BB18" s="2">
        <v>1.5</v>
      </c>
      <c r="BC18" s="2">
        <v>5.0</v>
      </c>
      <c r="BD18" s="2">
        <v>5.0</v>
      </c>
      <c r="BE18" s="2">
        <v>2.5</v>
      </c>
      <c r="BF18" s="2"/>
      <c r="BG18" s="2"/>
      <c r="BH18" s="2"/>
      <c r="BI18" s="2" t="str">
        <f>IFERROR(__xludf.DUMMYFUNCTION("""COMPUTED_VALUE"""),"Barrel")</f>
        <v>Barrel</v>
      </c>
      <c r="BJ18" s="2">
        <v>1.5</v>
      </c>
      <c r="BK18" s="2">
        <v>1.0</v>
      </c>
      <c r="BL18" s="2">
        <v>1.0</v>
      </c>
      <c r="BM18" s="2">
        <v>1.0</v>
      </c>
      <c r="BN18" s="2">
        <v>1.0</v>
      </c>
      <c r="BO18" s="2">
        <v>1.0</v>
      </c>
      <c r="BP18" s="2">
        <v>1.0</v>
      </c>
      <c r="BQ18" s="2">
        <v>1.0</v>
      </c>
      <c r="BR18" s="2">
        <v>1.0</v>
      </c>
      <c r="BS18" s="2">
        <v>1.0</v>
      </c>
      <c r="BT18" s="2">
        <v>1.0</v>
      </c>
      <c r="BU18" s="2">
        <v>1.0</v>
      </c>
      <c r="BV18" s="2">
        <v>1.0</v>
      </c>
      <c r="BW18" s="2">
        <v>1.0</v>
      </c>
      <c r="BX18" s="2">
        <v>1.0</v>
      </c>
      <c r="BY18" s="2">
        <v>1.0</v>
      </c>
      <c r="BZ18" s="2">
        <v>1.0</v>
      </c>
      <c r="CB18" s="2"/>
      <c r="CC18" s="2"/>
      <c r="CD18" s="2"/>
      <c r="CE18" s="2"/>
      <c r="CF18" s="2"/>
      <c r="CG18" s="2"/>
      <c r="CH18" s="2"/>
      <c r="CI18" s="2"/>
      <c r="CJ18" s="2"/>
      <c r="CK18" s="2"/>
      <c r="CL18" s="2"/>
      <c r="CM18" s="2"/>
      <c r="CN18" s="2"/>
      <c r="CO18" s="2"/>
      <c r="CP18" s="2"/>
      <c r="CQ18" s="2"/>
    </row>
    <row r="19">
      <c r="D19" s="38" t="str">
        <f>IFERROR(__xludf.DUMMYFUNCTION("""COMPUTED_VALUE"""),"Crowbar")</f>
        <v>Crowbar</v>
      </c>
      <c r="E19" s="41">
        <f>IFERROR(__xludf.DUMMYFUNCTION("""COMPUTED_VALUE"""),3.0)</f>
        <v>3</v>
      </c>
      <c r="F19" s="38" t="str">
        <f>IFERROR(__xludf.DUMMYFUNCTION("""COMPUTED_VALUE"""),"5 lb.")</f>
        <v>5 lb.</v>
      </c>
      <c r="G19" s="38" t="str">
        <f>IFERROR(__xludf.DUMMYFUNCTION("""COMPUTED_VALUE"""),"Tool")</f>
        <v>Tool</v>
      </c>
      <c r="H19" s="41">
        <f>IFERROR(__xludf.DUMMYFUNCTION("""COMPUTED_VALUE"""),1.8599999999999999)</f>
        <v>1.86</v>
      </c>
      <c r="I19" s="41">
        <f>IFERROR(__xludf.DUMMYFUNCTION("""COMPUTED_VALUE"""),1.5)</f>
        <v>1.5</v>
      </c>
      <c r="J19" s="41">
        <f>IFERROR(__xludf.DUMMYFUNCTION("""COMPUTED_VALUE"""),2.4299999999999997)</f>
        <v>2.43</v>
      </c>
      <c r="K19" s="38"/>
      <c r="L19" s="41" t="b">
        <f>IFERROR(__xludf.DUMMYFUNCTION("""COMPUTED_VALUE"""),FALSE)</f>
        <v>0</v>
      </c>
      <c r="M19" s="41" t="b">
        <f>IFERROR(__xludf.DUMMYFUNCTION("""COMPUTED_VALUE"""),TRUE)</f>
        <v>1</v>
      </c>
      <c r="N19" s="38" t="b">
        <f>IFERROR(__xludf.DUMMYFUNCTION("""COMPUTED_VALUE"""),TRUE)</f>
        <v>1</v>
      </c>
      <c r="O19" s="38" t="b">
        <f>IFERROR(__xludf.DUMMYFUNCTION("""COMPUTED_VALUE"""),TRUE)</f>
        <v>1</v>
      </c>
      <c r="P19" s="38" t="b">
        <f>IFERROR(__xludf.DUMMYFUNCTION("""COMPUTED_VALUE"""),FALSE)</f>
        <v>0</v>
      </c>
      <c r="Q19" s="38" t="b">
        <f>IFERROR(__xludf.DUMMYFUNCTION("""COMPUTED_VALUE"""),FALSE)</f>
        <v>0</v>
      </c>
      <c r="R19" s="38" t="b">
        <f>IFERROR(__xludf.DUMMYFUNCTION("""COMPUTED_VALUE"""),FALSE)</f>
        <v>0</v>
      </c>
      <c r="S19" s="38" t="b">
        <f>IFERROR(__xludf.DUMMYFUNCTION("""COMPUTED_VALUE"""),FALSE)</f>
        <v>0</v>
      </c>
      <c r="T19" s="38" t="b">
        <f>IFERROR(__xludf.DUMMYFUNCTION("""COMPUTED_VALUE"""),FALSE)</f>
        <v>0</v>
      </c>
      <c r="U19" s="38" t="b">
        <f>IFERROR(__xludf.DUMMYFUNCTION("""COMPUTED_VALUE"""),FALSE)</f>
        <v>0</v>
      </c>
      <c r="V19" s="38" t="b">
        <f>IFERROR(__xludf.DUMMYFUNCTION("""COMPUTED_VALUE"""),FALSE)</f>
        <v>0</v>
      </c>
      <c r="W19" s="38" t="b">
        <f>IFERROR(__xludf.DUMMYFUNCTION("""COMPUTED_VALUE"""),FALSE)</f>
        <v>0</v>
      </c>
      <c r="X19" s="38" t="b">
        <f>IFERROR(__xludf.DUMMYFUNCTION("""COMPUTED_VALUE"""),FALSE)</f>
        <v>0</v>
      </c>
      <c r="Y19" s="38" t="b">
        <f>IFERROR(__xludf.DUMMYFUNCTION("""COMPUTED_VALUE"""),FALSE)</f>
        <v>0</v>
      </c>
      <c r="Z19" s="38" t="b">
        <f>IFERROR(__xludf.DUMMYFUNCTION("""COMPUTED_VALUE"""),TRUE)</f>
        <v>1</v>
      </c>
      <c r="AA19" s="38" t="b">
        <f>IFERROR(__xludf.DUMMYFUNCTION("""COMPUTED_VALUE"""),FALSE)</f>
        <v>0</v>
      </c>
      <c r="AB19" s="38" t="b">
        <f>IFERROR(__xludf.DUMMYFUNCTION("""COMPUTED_VALUE"""),FALSE)</f>
        <v>0</v>
      </c>
      <c r="AC19" s="38">
        <f>IFERROR(__xludf.DUMMYFUNCTION("""COMPUTED_VALUE"""),0.3033127226353932)</f>
        <v>0.3033127226</v>
      </c>
      <c r="AG19" s="38" t="s">
        <v>68</v>
      </c>
      <c r="AH19" s="41">
        <v>3.0</v>
      </c>
      <c r="AI19" s="38" t="s">
        <v>57</v>
      </c>
      <c r="AJ19" s="38" t="s">
        <v>58</v>
      </c>
      <c r="AK19" s="41">
        <v>1.8599999999999999</v>
      </c>
      <c r="AL19" s="41">
        <v>1.5</v>
      </c>
      <c r="AM19" s="41">
        <v>2.4299999999999997</v>
      </c>
      <c r="AN19" s="38"/>
      <c r="AQ19" s="38" t="str">
        <f>IFERROR(__xludf.DUMMYFUNCTION("""COMPUTED_VALUE"""),"Luxury (Services)")</f>
        <v>Luxury (Services)</v>
      </c>
      <c r="AR19" s="2">
        <v>1.0</v>
      </c>
      <c r="AS19" s="2">
        <v>1.0</v>
      </c>
      <c r="AT19" s="2">
        <v>30.0</v>
      </c>
      <c r="AU19" s="2">
        <v>3.0</v>
      </c>
      <c r="AV19" s="2">
        <v>2.0</v>
      </c>
      <c r="AW19" s="2">
        <v>0.8</v>
      </c>
      <c r="AX19" s="2">
        <v>3.0</v>
      </c>
      <c r="AY19" s="2">
        <v>1.0</v>
      </c>
      <c r="AZ19" s="2">
        <v>1.0</v>
      </c>
      <c r="BA19" s="2">
        <v>1.0</v>
      </c>
      <c r="BB19" s="2">
        <v>1.5</v>
      </c>
      <c r="BC19" s="2">
        <v>5.0</v>
      </c>
      <c r="BD19" s="2">
        <v>5.0</v>
      </c>
      <c r="BE19" s="2">
        <v>2.5</v>
      </c>
      <c r="BF19" s="2"/>
      <c r="BG19" s="2"/>
      <c r="BH19" s="2"/>
      <c r="BI19" s="2" t="str">
        <f>IFERROR(__xludf.DUMMYFUNCTION("""COMPUTED_VALUE"""),"Basket")</f>
        <v>Basket</v>
      </c>
      <c r="BJ19" s="2">
        <v>1.5</v>
      </c>
      <c r="BK19" s="2">
        <v>1.0</v>
      </c>
      <c r="BL19" s="2">
        <v>1.0</v>
      </c>
      <c r="BM19" s="2">
        <v>1.0</v>
      </c>
      <c r="BN19" s="2">
        <v>1.0</v>
      </c>
      <c r="BO19" s="2">
        <v>1.0</v>
      </c>
      <c r="BP19" s="2">
        <v>1.0</v>
      </c>
      <c r="BQ19" s="2">
        <v>1.0</v>
      </c>
      <c r="BR19" s="2">
        <v>1.0</v>
      </c>
      <c r="BS19" s="2">
        <v>1.0</v>
      </c>
      <c r="BT19" s="2">
        <v>1.0</v>
      </c>
      <c r="BU19" s="2">
        <v>1.0</v>
      </c>
      <c r="BV19" s="2">
        <v>1.0</v>
      </c>
      <c r="BW19" s="2">
        <v>1.0</v>
      </c>
      <c r="BX19" s="2">
        <v>1.0</v>
      </c>
      <c r="BY19" s="2">
        <v>1.0</v>
      </c>
      <c r="BZ19" s="2">
        <v>1.0</v>
      </c>
      <c r="CB19" s="2"/>
      <c r="CC19" s="2"/>
      <c r="CD19" s="2"/>
      <c r="CE19" s="2"/>
      <c r="CF19" s="2"/>
      <c r="CG19" s="2"/>
      <c r="CH19" s="2"/>
      <c r="CI19" s="2"/>
      <c r="CJ19" s="2"/>
      <c r="CK19" s="2"/>
      <c r="CL19" s="2"/>
      <c r="CM19" s="2"/>
      <c r="CN19" s="2"/>
      <c r="CO19" s="2"/>
      <c r="CP19" s="2"/>
      <c r="CQ19" s="2"/>
    </row>
    <row r="20">
      <c r="D20" s="38" t="str">
        <f>IFERROR(__xludf.DUMMYFUNCTION("""COMPUTED_VALUE"""),"Shortsword")</f>
        <v>Shortsword</v>
      </c>
      <c r="E20" s="41">
        <f>IFERROR(__xludf.DUMMYFUNCTION("""COMPUTED_VALUE"""),6.0)</f>
        <v>6</v>
      </c>
      <c r="F20" s="38" t="str">
        <f>IFERROR(__xludf.DUMMYFUNCTION("""COMPUTED_VALUE"""),"2 lb.")</f>
        <v>2 lb.</v>
      </c>
      <c r="G20" s="38" t="str">
        <f>IFERROR(__xludf.DUMMYFUNCTION("""COMPUTED_VALUE"""),"Weapon")</f>
        <v>Weapon</v>
      </c>
      <c r="H20" s="41">
        <f>IFERROR(__xludf.DUMMYFUNCTION("""COMPUTED_VALUE"""),3.7199999999999998)</f>
        <v>3.72</v>
      </c>
      <c r="I20" s="41">
        <f>IFERROR(__xludf.DUMMYFUNCTION("""COMPUTED_VALUE"""),3.0)</f>
        <v>3</v>
      </c>
      <c r="J20" s="41">
        <f>IFERROR(__xludf.DUMMYFUNCTION("""COMPUTED_VALUE"""),4.859999999999999)</f>
        <v>4.86</v>
      </c>
      <c r="K20" s="38"/>
      <c r="L20" s="41" t="b">
        <f>IFERROR(__xludf.DUMMYFUNCTION("""COMPUTED_VALUE"""),FALSE)</f>
        <v>0</v>
      </c>
      <c r="M20" s="41" t="b">
        <f>IFERROR(__xludf.DUMMYFUNCTION("""COMPUTED_VALUE"""),TRUE)</f>
        <v>1</v>
      </c>
      <c r="N20" s="38" t="b">
        <f>IFERROR(__xludf.DUMMYFUNCTION("""COMPUTED_VALUE"""),FALSE)</f>
        <v>0</v>
      </c>
      <c r="O20" s="38" t="b">
        <f>IFERROR(__xludf.DUMMYFUNCTION("""COMPUTED_VALUE"""),FALSE)</f>
        <v>0</v>
      </c>
      <c r="P20" s="38" t="b">
        <f>IFERROR(__xludf.DUMMYFUNCTION("""COMPUTED_VALUE"""),FALSE)</f>
        <v>0</v>
      </c>
      <c r="Q20" s="38" t="b">
        <f>IFERROR(__xludf.DUMMYFUNCTION("""COMPUTED_VALUE"""),FALSE)</f>
        <v>0</v>
      </c>
      <c r="R20" s="38" t="b">
        <f>IFERROR(__xludf.DUMMYFUNCTION("""COMPUTED_VALUE"""),FALSE)</f>
        <v>0</v>
      </c>
      <c r="S20" s="38" t="b">
        <f>IFERROR(__xludf.DUMMYFUNCTION("""COMPUTED_VALUE"""),FALSE)</f>
        <v>0</v>
      </c>
      <c r="T20" s="38" t="b">
        <f>IFERROR(__xludf.DUMMYFUNCTION("""COMPUTED_VALUE"""),FALSE)</f>
        <v>0</v>
      </c>
      <c r="U20" s="38" t="b">
        <f>IFERROR(__xludf.DUMMYFUNCTION("""COMPUTED_VALUE"""),FALSE)</f>
        <v>0</v>
      </c>
      <c r="V20" s="38" t="b">
        <f>IFERROR(__xludf.DUMMYFUNCTION("""COMPUTED_VALUE"""),FALSE)</f>
        <v>0</v>
      </c>
      <c r="W20" s="38" t="b">
        <f>IFERROR(__xludf.DUMMYFUNCTION("""COMPUTED_VALUE"""),FALSE)</f>
        <v>0</v>
      </c>
      <c r="X20" s="38" t="b">
        <f>IFERROR(__xludf.DUMMYFUNCTION("""COMPUTED_VALUE"""),FALSE)</f>
        <v>0</v>
      </c>
      <c r="Y20" s="38" t="b">
        <f>IFERROR(__xludf.DUMMYFUNCTION("""COMPUTED_VALUE"""),FALSE)</f>
        <v>0</v>
      </c>
      <c r="Z20" s="38" t="b">
        <f>IFERROR(__xludf.DUMMYFUNCTION("""COMPUTED_VALUE"""),TRUE)</f>
        <v>1</v>
      </c>
      <c r="AA20" s="38" t="b">
        <f>IFERROR(__xludf.DUMMYFUNCTION("""COMPUTED_VALUE"""),FALSE)</f>
        <v>0</v>
      </c>
      <c r="AB20" s="38" t="b">
        <f>IFERROR(__xludf.DUMMYFUNCTION("""COMPUTED_VALUE"""),FALSE)</f>
        <v>0</v>
      </c>
      <c r="AC20" s="38">
        <f>IFERROR(__xludf.DUMMYFUNCTION("""COMPUTED_VALUE"""),0.34254191648560217)</f>
        <v>0.3425419165</v>
      </c>
      <c r="AG20" s="38" t="s">
        <v>84</v>
      </c>
      <c r="AH20" s="41">
        <v>6.0</v>
      </c>
      <c r="AI20" s="38" t="s">
        <v>51</v>
      </c>
      <c r="AJ20" s="38" t="s">
        <v>76</v>
      </c>
      <c r="AK20" s="41">
        <v>3.7199999999999998</v>
      </c>
      <c r="AL20" s="41">
        <v>3.0</v>
      </c>
      <c r="AM20" s="41">
        <v>4.859999999999999</v>
      </c>
      <c r="AN20" s="38"/>
      <c r="AQ20" s="41" t="str">
        <f>IFERROR(__xludf.DUMMYFUNCTION("""COMPUTED_VALUE"""),"Metal")</f>
        <v>Metal</v>
      </c>
      <c r="AR20" s="2">
        <v>1.0</v>
      </c>
      <c r="AS20" s="2">
        <v>1.0</v>
      </c>
      <c r="AT20" s="2">
        <v>1.0</v>
      </c>
      <c r="AU20" s="2">
        <v>1.5</v>
      </c>
      <c r="AV20" s="2">
        <v>1.0</v>
      </c>
      <c r="AW20" s="2">
        <v>3.0</v>
      </c>
      <c r="AX20" s="2">
        <v>1.0</v>
      </c>
      <c r="AY20" s="2">
        <v>1.2</v>
      </c>
      <c r="AZ20" s="2">
        <v>0.5</v>
      </c>
      <c r="BA20" s="2">
        <v>0.8</v>
      </c>
      <c r="BB20" s="2">
        <v>1.0</v>
      </c>
      <c r="BC20" s="2">
        <v>1.0</v>
      </c>
      <c r="BD20" s="2">
        <v>5.0</v>
      </c>
      <c r="BE20" s="2">
        <v>3.2</v>
      </c>
      <c r="BF20" s="2"/>
      <c r="BG20" s="2"/>
      <c r="BH20" s="2"/>
      <c r="BI20" s="2" t="str">
        <f>IFERROR(__xludf.DUMMYFUNCTION("""COMPUTED_VALUE"""),"Bolt Case")</f>
        <v>Bolt Case</v>
      </c>
      <c r="BJ20" s="2">
        <v>1.5</v>
      </c>
      <c r="BK20" s="2">
        <v>1.0</v>
      </c>
      <c r="BL20" s="2">
        <v>1.0</v>
      </c>
      <c r="BM20" s="2">
        <v>1.0</v>
      </c>
      <c r="BN20" s="2">
        <v>1.0</v>
      </c>
      <c r="BO20" s="2">
        <v>1.0</v>
      </c>
      <c r="BP20" s="2">
        <v>1.0</v>
      </c>
      <c r="BQ20" s="2">
        <v>1.0</v>
      </c>
      <c r="BR20" s="2">
        <v>1.0</v>
      </c>
      <c r="BS20" s="2">
        <v>1.0</v>
      </c>
      <c r="BT20" s="2">
        <v>1.0</v>
      </c>
      <c r="BU20" s="2">
        <v>1.0</v>
      </c>
      <c r="BV20" s="2">
        <v>1.0</v>
      </c>
      <c r="BW20" s="2">
        <v>1.0</v>
      </c>
      <c r="BX20" s="2">
        <v>1.0</v>
      </c>
      <c r="BY20" s="2">
        <v>1.0</v>
      </c>
      <c r="BZ20" s="2">
        <v>1.0</v>
      </c>
      <c r="CB20" s="2"/>
      <c r="CC20" s="2"/>
      <c r="CD20" s="2"/>
      <c r="CE20" s="2"/>
      <c r="CF20" s="2"/>
      <c r="CG20" s="2"/>
      <c r="CH20" s="2"/>
      <c r="CI20" s="2"/>
      <c r="CJ20" s="2"/>
      <c r="CK20" s="2"/>
      <c r="CL20" s="2"/>
      <c r="CM20" s="2"/>
      <c r="CN20" s="2"/>
      <c r="CO20" s="2"/>
      <c r="CP20" s="2"/>
      <c r="CQ20" s="2"/>
    </row>
    <row r="21">
      <c r="D21" s="38" t="str">
        <f>IFERROR(__xludf.DUMMYFUNCTION("""COMPUTED_VALUE"""),"Rapier")</f>
        <v>Rapier</v>
      </c>
      <c r="E21" s="41">
        <f>IFERROR(__xludf.DUMMYFUNCTION("""COMPUTED_VALUE"""),15.0)</f>
        <v>15</v>
      </c>
      <c r="F21" s="38" t="str">
        <f>IFERROR(__xludf.DUMMYFUNCTION("""COMPUTED_VALUE"""),"2 lb.")</f>
        <v>2 lb.</v>
      </c>
      <c r="G21" s="38" t="str">
        <f>IFERROR(__xludf.DUMMYFUNCTION("""COMPUTED_VALUE"""),"Weapon")</f>
        <v>Weapon</v>
      </c>
      <c r="H21" s="41">
        <f>IFERROR(__xludf.DUMMYFUNCTION("""COMPUTED_VALUE"""),9.3)</f>
        <v>9.3</v>
      </c>
      <c r="I21" s="41">
        <f>IFERROR(__xludf.DUMMYFUNCTION("""COMPUTED_VALUE"""),7.5)</f>
        <v>7.5</v>
      </c>
      <c r="J21" s="41">
        <f>IFERROR(__xludf.DUMMYFUNCTION("""COMPUTED_VALUE"""),12.15)</f>
        <v>12.15</v>
      </c>
      <c r="K21" s="38"/>
      <c r="L21" s="41" t="b">
        <f>IFERROR(__xludf.DUMMYFUNCTION("""COMPUTED_VALUE"""),FALSE)</f>
        <v>0</v>
      </c>
      <c r="M21" s="41" t="b">
        <f>IFERROR(__xludf.DUMMYFUNCTION("""COMPUTED_VALUE"""),TRUE)</f>
        <v>1</v>
      </c>
      <c r="N21" s="38" t="b">
        <f>IFERROR(__xludf.DUMMYFUNCTION("""COMPUTED_VALUE"""),FALSE)</f>
        <v>0</v>
      </c>
      <c r="O21" s="38" t="b">
        <f>IFERROR(__xludf.DUMMYFUNCTION("""COMPUTED_VALUE"""),FALSE)</f>
        <v>0</v>
      </c>
      <c r="P21" s="38" t="b">
        <f>IFERROR(__xludf.DUMMYFUNCTION("""COMPUTED_VALUE"""),FALSE)</f>
        <v>0</v>
      </c>
      <c r="Q21" s="38" t="b">
        <f>IFERROR(__xludf.DUMMYFUNCTION("""COMPUTED_VALUE"""),FALSE)</f>
        <v>0</v>
      </c>
      <c r="R21" s="38" t="b">
        <f>IFERROR(__xludf.DUMMYFUNCTION("""COMPUTED_VALUE"""),FALSE)</f>
        <v>0</v>
      </c>
      <c r="S21" s="38" t="b">
        <f>IFERROR(__xludf.DUMMYFUNCTION("""COMPUTED_VALUE"""),FALSE)</f>
        <v>0</v>
      </c>
      <c r="T21" s="38" t="b">
        <f>IFERROR(__xludf.DUMMYFUNCTION("""COMPUTED_VALUE"""),FALSE)</f>
        <v>0</v>
      </c>
      <c r="U21" s="38" t="b">
        <f>IFERROR(__xludf.DUMMYFUNCTION("""COMPUTED_VALUE"""),FALSE)</f>
        <v>0</v>
      </c>
      <c r="V21" s="38" t="b">
        <f>IFERROR(__xludf.DUMMYFUNCTION("""COMPUTED_VALUE"""),FALSE)</f>
        <v>0</v>
      </c>
      <c r="W21" s="38" t="b">
        <f>IFERROR(__xludf.DUMMYFUNCTION("""COMPUTED_VALUE"""),FALSE)</f>
        <v>0</v>
      </c>
      <c r="X21" s="38" t="b">
        <f>IFERROR(__xludf.DUMMYFUNCTION("""COMPUTED_VALUE"""),FALSE)</f>
        <v>0</v>
      </c>
      <c r="Y21" s="38" t="b">
        <f>IFERROR(__xludf.DUMMYFUNCTION("""COMPUTED_VALUE"""),FALSE)</f>
        <v>0</v>
      </c>
      <c r="Z21" s="38" t="b">
        <f>IFERROR(__xludf.DUMMYFUNCTION("""COMPUTED_VALUE"""),TRUE)</f>
        <v>1</v>
      </c>
      <c r="AA21" s="38" t="b">
        <f>IFERROR(__xludf.DUMMYFUNCTION("""COMPUTED_VALUE"""),FALSE)</f>
        <v>0</v>
      </c>
      <c r="AB21" s="38" t="b">
        <f>IFERROR(__xludf.DUMMYFUNCTION("""COMPUTED_VALUE"""),FALSE)</f>
        <v>0</v>
      </c>
      <c r="AC21" s="38">
        <f>IFERROR(__xludf.DUMMYFUNCTION("""COMPUTED_VALUE"""),0.3976601532797398)</f>
        <v>0.3976601533</v>
      </c>
      <c r="AG21" s="38" t="s">
        <v>85</v>
      </c>
      <c r="AH21" s="41">
        <v>15.0</v>
      </c>
      <c r="AI21" s="38" t="s">
        <v>51</v>
      </c>
      <c r="AJ21" s="38" t="s">
        <v>76</v>
      </c>
      <c r="AK21" s="41">
        <v>9.3</v>
      </c>
      <c r="AL21" s="41">
        <v>7.5</v>
      </c>
      <c r="AM21" s="41">
        <v>12.15</v>
      </c>
      <c r="AN21" s="38"/>
      <c r="AQ21" s="38" t="str">
        <f>IFERROR(__xludf.DUMMYFUNCTION("""COMPUTED_VALUE"""),"Mount")</f>
        <v>Mount</v>
      </c>
      <c r="AR21" s="2">
        <v>1.0</v>
      </c>
      <c r="AS21" s="2">
        <v>10.0</v>
      </c>
      <c r="AT21" s="2">
        <v>6.0</v>
      </c>
      <c r="AU21" s="2">
        <v>1.0</v>
      </c>
      <c r="AV21" s="2">
        <v>5.0</v>
      </c>
      <c r="AW21" s="2">
        <v>3.0</v>
      </c>
      <c r="AX21" s="2">
        <v>1.0</v>
      </c>
      <c r="AY21" s="2">
        <v>1.0</v>
      </c>
      <c r="AZ21" s="2">
        <v>1.0</v>
      </c>
      <c r="BA21" s="2">
        <v>1.0</v>
      </c>
      <c r="BB21" s="2">
        <v>1.0</v>
      </c>
      <c r="BC21" s="2">
        <v>1.0</v>
      </c>
      <c r="BD21" s="2">
        <v>5.0</v>
      </c>
      <c r="BE21" s="2">
        <v>3.0</v>
      </c>
      <c r="BF21" s="2"/>
      <c r="BG21" s="2"/>
      <c r="BH21" s="2"/>
      <c r="BI21" s="2" t="str">
        <f>IFERROR(__xludf.DUMMYFUNCTION("""COMPUTED_VALUE"""),"Bucket")</f>
        <v>Bucket</v>
      </c>
      <c r="BJ21" s="2">
        <v>1.5</v>
      </c>
      <c r="BK21" s="2">
        <v>1.0</v>
      </c>
      <c r="BL21" s="2">
        <v>1.0</v>
      </c>
      <c r="BM21" s="2">
        <v>1.0</v>
      </c>
      <c r="BN21" s="2">
        <v>1.0</v>
      </c>
      <c r="BO21" s="2">
        <v>1.0</v>
      </c>
      <c r="BP21" s="2">
        <v>1.0</v>
      </c>
      <c r="BQ21" s="2">
        <v>1.0</v>
      </c>
      <c r="BR21" s="2">
        <v>1.0</v>
      </c>
      <c r="BS21" s="2">
        <v>1.0</v>
      </c>
      <c r="BT21" s="2">
        <v>1.0</v>
      </c>
      <c r="BU21" s="2">
        <v>1.0</v>
      </c>
      <c r="BV21" s="2">
        <v>1.0</v>
      </c>
      <c r="BW21" s="2">
        <v>1.0</v>
      </c>
      <c r="BX21" s="2">
        <v>1.0</v>
      </c>
      <c r="BY21" s="2">
        <v>1.0</v>
      </c>
      <c r="BZ21" s="2">
        <v>1.0</v>
      </c>
      <c r="CB21" s="2"/>
      <c r="CC21" s="2"/>
      <c r="CD21" s="2"/>
      <c r="CE21" s="2"/>
      <c r="CF21" s="2"/>
      <c r="CG21" s="2"/>
      <c r="CH21" s="2"/>
      <c r="CI21" s="2"/>
      <c r="CJ21" s="2"/>
      <c r="CK21" s="2"/>
      <c r="CL21" s="2"/>
      <c r="CM21" s="2"/>
      <c r="CN21" s="2"/>
      <c r="CO21" s="2"/>
      <c r="CP21" s="2"/>
      <c r="CQ21" s="2"/>
    </row>
    <row r="22">
      <c r="D22" s="38" t="str">
        <f>IFERROR(__xludf.DUMMYFUNCTION("""COMPUTED_VALUE"""),"Mason’s Tools")</f>
        <v>Mason’s Tools</v>
      </c>
      <c r="E22" s="41">
        <f>IFERROR(__xludf.DUMMYFUNCTION("""COMPUTED_VALUE"""),15.0)</f>
        <v>15</v>
      </c>
      <c r="F22" s="38" t="str">
        <f>IFERROR(__xludf.DUMMYFUNCTION("""COMPUTED_VALUE"""),"8 lb.")</f>
        <v>8 lb.</v>
      </c>
      <c r="G22" s="38" t="str">
        <f>IFERROR(__xludf.DUMMYFUNCTION("""COMPUTED_VALUE"""),"Tool")</f>
        <v>Tool</v>
      </c>
      <c r="H22" s="41">
        <f>IFERROR(__xludf.DUMMYFUNCTION("""COMPUTED_VALUE"""),9.3)</f>
        <v>9.3</v>
      </c>
      <c r="I22" s="41">
        <f>IFERROR(__xludf.DUMMYFUNCTION("""COMPUTED_VALUE"""),7.5)</f>
        <v>7.5</v>
      </c>
      <c r="J22" s="41">
        <f>IFERROR(__xludf.DUMMYFUNCTION("""COMPUTED_VALUE"""),12.15)</f>
        <v>12.15</v>
      </c>
      <c r="K22" s="38" t="str">
        <f>IFERROR(__xludf.DUMMYFUNCTION("""COMPUTED_VALUE"""),"This kit includes the basic items needed by those proficient in masonry to pursue their craft.")</f>
        <v>This kit includes the basic items needed by those proficient in masonry to pursue their craft.</v>
      </c>
      <c r="L22" s="38" t="b">
        <f>IFERROR(__xludf.DUMMYFUNCTION("""COMPUTED_VALUE"""),FALSE)</f>
        <v>0</v>
      </c>
      <c r="M22" s="38" t="b">
        <f>IFERROR(__xludf.DUMMYFUNCTION("""COMPUTED_VALUE"""),TRUE)</f>
        <v>1</v>
      </c>
      <c r="N22" s="38" t="b">
        <f>IFERROR(__xludf.DUMMYFUNCTION("""COMPUTED_VALUE"""),FALSE)</f>
        <v>0</v>
      </c>
      <c r="O22" s="38" t="b">
        <f>IFERROR(__xludf.DUMMYFUNCTION("""COMPUTED_VALUE"""),FALSE)</f>
        <v>0</v>
      </c>
      <c r="P22" s="38" t="b">
        <f>IFERROR(__xludf.DUMMYFUNCTION("""COMPUTED_VALUE"""),FALSE)</f>
        <v>0</v>
      </c>
      <c r="Q22" s="38" t="b">
        <f>IFERROR(__xludf.DUMMYFUNCTION("""COMPUTED_VALUE"""),FALSE)</f>
        <v>0</v>
      </c>
      <c r="R22" s="38" t="b">
        <f>IFERROR(__xludf.DUMMYFUNCTION("""COMPUTED_VALUE"""),FALSE)</f>
        <v>0</v>
      </c>
      <c r="S22" s="38" t="b">
        <f>IFERROR(__xludf.DUMMYFUNCTION("""COMPUTED_VALUE"""),FALSE)</f>
        <v>0</v>
      </c>
      <c r="T22" s="38" t="b">
        <f>IFERROR(__xludf.DUMMYFUNCTION("""COMPUTED_VALUE"""),FALSE)</f>
        <v>0</v>
      </c>
      <c r="U22" s="38" t="b">
        <f>IFERROR(__xludf.DUMMYFUNCTION("""COMPUTED_VALUE"""),FALSE)</f>
        <v>0</v>
      </c>
      <c r="V22" s="38" t="b">
        <f>IFERROR(__xludf.DUMMYFUNCTION("""COMPUTED_VALUE"""),FALSE)</f>
        <v>0</v>
      </c>
      <c r="W22" s="38" t="b">
        <f>IFERROR(__xludf.DUMMYFUNCTION("""COMPUTED_VALUE"""),FALSE)</f>
        <v>0</v>
      </c>
      <c r="X22" s="38" t="b">
        <f>IFERROR(__xludf.DUMMYFUNCTION("""COMPUTED_VALUE"""),FALSE)</f>
        <v>0</v>
      </c>
      <c r="Y22" s="38" t="b">
        <f>IFERROR(__xludf.DUMMYFUNCTION("""COMPUTED_VALUE"""),FALSE)</f>
        <v>0</v>
      </c>
      <c r="Z22" s="38" t="b">
        <f>IFERROR(__xludf.DUMMYFUNCTION("""COMPUTED_VALUE"""),FALSE)</f>
        <v>0</v>
      </c>
      <c r="AA22" s="38" t="b">
        <f>IFERROR(__xludf.DUMMYFUNCTION("""COMPUTED_VALUE"""),FALSE)</f>
        <v>0</v>
      </c>
      <c r="AB22" s="38" t="b">
        <f>IFERROR(__xludf.DUMMYFUNCTION("""COMPUTED_VALUE"""),FALSE)</f>
        <v>0</v>
      </c>
      <c r="AC22" s="38">
        <f>IFERROR(__xludf.DUMMYFUNCTION("""COMPUTED_VALUE"""),0.4194118242930518)</f>
        <v>0.4194118243</v>
      </c>
      <c r="AG22" s="38" t="s">
        <v>69</v>
      </c>
      <c r="AH22" s="41">
        <v>15.0</v>
      </c>
      <c r="AI22" s="38" t="s">
        <v>66</v>
      </c>
      <c r="AJ22" s="38" t="s">
        <v>58</v>
      </c>
      <c r="AK22" s="41">
        <v>9.3</v>
      </c>
      <c r="AL22" s="41">
        <v>7.5</v>
      </c>
      <c r="AM22" s="41">
        <v>12.15</v>
      </c>
      <c r="AN22" s="38" t="s">
        <v>70</v>
      </c>
      <c r="AQ22" s="38" t="str">
        <f>IFERROR(__xludf.DUMMYFUNCTION("""COMPUTED_VALUE"""),"Potion")</f>
        <v>Potion</v>
      </c>
      <c r="AR22" s="2">
        <v>1.0</v>
      </c>
      <c r="AS22" s="2">
        <v>5.0</v>
      </c>
      <c r="AT22" s="2">
        <v>2.0</v>
      </c>
      <c r="AU22" s="2">
        <v>1.0</v>
      </c>
      <c r="AV22" s="2">
        <v>2.0</v>
      </c>
      <c r="AW22" s="2">
        <v>1.0</v>
      </c>
      <c r="AX22" s="2">
        <v>1.0</v>
      </c>
      <c r="AY22" s="2">
        <v>1.0</v>
      </c>
      <c r="AZ22" s="2">
        <v>0.5</v>
      </c>
      <c r="BA22" s="2">
        <v>1.0</v>
      </c>
      <c r="BB22" s="2">
        <v>1.2</v>
      </c>
      <c r="BC22" s="2">
        <v>1.0</v>
      </c>
      <c r="BD22" s="2">
        <v>10.0</v>
      </c>
      <c r="BE22" s="2">
        <v>5.0</v>
      </c>
      <c r="BF22" s="2"/>
      <c r="BG22" s="2"/>
      <c r="BH22" s="2"/>
      <c r="BI22" s="2" t="str">
        <f>IFERROR(__xludf.DUMMYFUNCTION("""COMPUTED_VALUE"""),"Chest")</f>
        <v>Chest</v>
      </c>
      <c r="BJ22" s="2">
        <v>1.5</v>
      </c>
      <c r="BK22" s="2">
        <v>1.0</v>
      </c>
      <c r="BL22" s="2">
        <v>1.0</v>
      </c>
      <c r="BM22" s="2">
        <v>1.0</v>
      </c>
      <c r="BN22" s="2">
        <v>1.0</v>
      </c>
      <c r="BO22" s="2">
        <v>1.0</v>
      </c>
      <c r="BP22" s="2">
        <v>1.0</v>
      </c>
      <c r="BQ22" s="2">
        <v>1.0</v>
      </c>
      <c r="BR22" s="2">
        <v>1.0</v>
      </c>
      <c r="BS22" s="2">
        <v>1.0</v>
      </c>
      <c r="BT22" s="2">
        <v>1.0</v>
      </c>
      <c r="BU22" s="2">
        <v>1.0</v>
      </c>
      <c r="BV22" s="2">
        <v>1.0</v>
      </c>
      <c r="BW22" s="2">
        <v>1.0</v>
      </c>
      <c r="BX22" s="2">
        <v>1.0</v>
      </c>
      <c r="BY22" s="2">
        <v>1.0</v>
      </c>
      <c r="BZ22" s="2">
        <v>1.0</v>
      </c>
      <c r="CB22" s="2"/>
      <c r="CC22" s="2"/>
      <c r="CD22" s="2"/>
      <c r="CE22" s="2"/>
      <c r="CF22" s="2"/>
      <c r="CG22" s="2"/>
      <c r="CH22" s="2"/>
      <c r="CI22" s="2"/>
      <c r="CJ22" s="2"/>
      <c r="CK22" s="2"/>
      <c r="CL22" s="2"/>
      <c r="CM22" s="2"/>
      <c r="CN22" s="2"/>
      <c r="CO22" s="2"/>
      <c r="CP22" s="2"/>
      <c r="CQ22" s="2"/>
    </row>
    <row r="23">
      <c r="D23" s="38" t="str">
        <f>IFERROR(__xludf.DUMMYFUNCTION("""COMPUTED_VALUE"""),"Warhammer")</f>
        <v>Warhammer</v>
      </c>
      <c r="E23" s="41">
        <f>IFERROR(__xludf.DUMMYFUNCTION("""COMPUTED_VALUE"""),9.0)</f>
        <v>9</v>
      </c>
      <c r="F23" s="38" t="str">
        <f>IFERROR(__xludf.DUMMYFUNCTION("""COMPUTED_VALUE"""),"2 lb.")</f>
        <v>2 lb.</v>
      </c>
      <c r="G23" s="38" t="str">
        <f>IFERROR(__xludf.DUMMYFUNCTION("""COMPUTED_VALUE"""),"Weapon")</f>
        <v>Weapon</v>
      </c>
      <c r="H23" s="41">
        <f>IFERROR(__xludf.DUMMYFUNCTION("""COMPUTED_VALUE"""),5.58)</f>
        <v>5.58</v>
      </c>
      <c r="I23" s="41">
        <f>IFERROR(__xludf.DUMMYFUNCTION("""COMPUTED_VALUE"""),4.5)</f>
        <v>4.5</v>
      </c>
      <c r="J23" s="41">
        <f>IFERROR(__xludf.DUMMYFUNCTION("""COMPUTED_VALUE"""),7.29)</f>
        <v>7.29</v>
      </c>
      <c r="K23" s="38"/>
      <c r="L23" s="41" t="b">
        <f>IFERROR(__xludf.DUMMYFUNCTION("""COMPUTED_VALUE"""),FALSE)</f>
        <v>0</v>
      </c>
      <c r="M23" s="41" t="b">
        <f>IFERROR(__xludf.DUMMYFUNCTION("""COMPUTED_VALUE"""),TRUE)</f>
        <v>1</v>
      </c>
      <c r="N23" s="38" t="b">
        <f>IFERROR(__xludf.DUMMYFUNCTION("""COMPUTED_VALUE"""),FALSE)</f>
        <v>0</v>
      </c>
      <c r="O23" s="38" t="b">
        <f>IFERROR(__xludf.DUMMYFUNCTION("""COMPUTED_VALUE"""),FALSE)</f>
        <v>0</v>
      </c>
      <c r="P23" s="38" t="b">
        <f>IFERROR(__xludf.DUMMYFUNCTION("""COMPUTED_VALUE"""),FALSE)</f>
        <v>0</v>
      </c>
      <c r="Q23" s="38" t="b">
        <f>IFERROR(__xludf.DUMMYFUNCTION("""COMPUTED_VALUE"""),FALSE)</f>
        <v>0</v>
      </c>
      <c r="R23" s="38" t="b">
        <f>IFERROR(__xludf.DUMMYFUNCTION("""COMPUTED_VALUE"""),FALSE)</f>
        <v>0</v>
      </c>
      <c r="S23" s="38" t="b">
        <f>IFERROR(__xludf.DUMMYFUNCTION("""COMPUTED_VALUE"""),FALSE)</f>
        <v>0</v>
      </c>
      <c r="T23" s="38" t="b">
        <f>IFERROR(__xludf.DUMMYFUNCTION("""COMPUTED_VALUE"""),FALSE)</f>
        <v>0</v>
      </c>
      <c r="U23" s="38" t="b">
        <f>IFERROR(__xludf.DUMMYFUNCTION("""COMPUTED_VALUE"""),FALSE)</f>
        <v>0</v>
      </c>
      <c r="V23" s="38" t="b">
        <f>IFERROR(__xludf.DUMMYFUNCTION("""COMPUTED_VALUE"""),FALSE)</f>
        <v>0</v>
      </c>
      <c r="W23" s="38" t="b">
        <f>IFERROR(__xludf.DUMMYFUNCTION("""COMPUTED_VALUE"""),FALSE)</f>
        <v>0</v>
      </c>
      <c r="X23" s="38" t="b">
        <f>IFERROR(__xludf.DUMMYFUNCTION("""COMPUTED_VALUE"""),FALSE)</f>
        <v>0</v>
      </c>
      <c r="Y23" s="38" t="b">
        <f>IFERROR(__xludf.DUMMYFUNCTION("""COMPUTED_VALUE"""),FALSE)</f>
        <v>0</v>
      </c>
      <c r="Z23" s="38" t="b">
        <f>IFERROR(__xludf.DUMMYFUNCTION("""COMPUTED_VALUE"""),TRUE)</f>
        <v>1</v>
      </c>
      <c r="AA23" s="38" t="b">
        <f>IFERROR(__xludf.DUMMYFUNCTION("""COMPUTED_VALUE"""),FALSE)</f>
        <v>0</v>
      </c>
      <c r="AB23" s="38" t="b">
        <f>IFERROR(__xludf.DUMMYFUNCTION("""COMPUTED_VALUE"""),FALSE)</f>
        <v>0</v>
      </c>
      <c r="AC23" s="38">
        <f>IFERROR(__xludf.DUMMYFUNCTION("""COMPUTED_VALUE"""),0.43619401794254387)</f>
        <v>0.4361940179</v>
      </c>
      <c r="AG23" s="38" t="s">
        <v>86</v>
      </c>
      <c r="AH23" s="41">
        <v>9.0</v>
      </c>
      <c r="AI23" s="38" t="s">
        <v>51</v>
      </c>
      <c r="AJ23" s="38" t="s">
        <v>76</v>
      </c>
      <c r="AK23" s="41">
        <v>5.58</v>
      </c>
      <c r="AL23" s="41">
        <v>4.5</v>
      </c>
      <c r="AM23" s="41">
        <v>7.29</v>
      </c>
      <c r="AN23" s="38"/>
      <c r="AQ23" s="38" t="str">
        <f>IFERROR(__xludf.DUMMYFUNCTION("""COMPUTED_VALUE"""),"Toll")</f>
        <v>Toll</v>
      </c>
      <c r="AR23" s="2">
        <v>1.0</v>
      </c>
      <c r="AS23" s="2">
        <v>15000.0</v>
      </c>
      <c r="AT23" s="2">
        <v>7250.0</v>
      </c>
      <c r="AU23" s="2">
        <v>1.0</v>
      </c>
      <c r="AV23" s="2">
        <v>1.0</v>
      </c>
      <c r="AW23" s="2">
        <v>0.8</v>
      </c>
      <c r="AX23" s="2">
        <v>3.0</v>
      </c>
      <c r="AY23" s="2">
        <v>5.0</v>
      </c>
      <c r="AZ23" s="2">
        <v>1.0</v>
      </c>
      <c r="BA23" s="2">
        <v>5.0</v>
      </c>
      <c r="BB23" s="2">
        <v>30.0</v>
      </c>
      <c r="BC23" s="2">
        <v>30.0</v>
      </c>
      <c r="BD23" s="2">
        <v>1.0</v>
      </c>
      <c r="BE23" s="2">
        <v>50.0</v>
      </c>
      <c r="BF23" s="2"/>
      <c r="BG23" s="2"/>
      <c r="BH23" s="2"/>
      <c r="BI23" s="2" t="str">
        <f>IFERROR(__xludf.DUMMYFUNCTION("""COMPUTED_VALUE"""),"Document Case")</f>
        <v>Document Case</v>
      </c>
      <c r="BJ23" s="2">
        <v>1.5</v>
      </c>
      <c r="BK23" s="2">
        <v>1.0</v>
      </c>
      <c r="BL23" s="2">
        <v>1.0</v>
      </c>
      <c r="BM23" s="2">
        <v>1.0</v>
      </c>
      <c r="BN23" s="2">
        <v>1.0</v>
      </c>
      <c r="BO23" s="2">
        <v>1.0</v>
      </c>
      <c r="BP23" s="2">
        <v>1.0</v>
      </c>
      <c r="BQ23" s="2">
        <v>1.0</v>
      </c>
      <c r="BR23" s="2">
        <v>1.0</v>
      </c>
      <c r="BS23" s="2">
        <v>1.0</v>
      </c>
      <c r="BT23" s="2">
        <v>1.0</v>
      </c>
      <c r="BU23" s="2">
        <v>1.0</v>
      </c>
      <c r="BV23" s="2">
        <v>1.0</v>
      </c>
      <c r="BW23" s="2">
        <v>1.0</v>
      </c>
      <c r="BX23" s="2">
        <v>1.0</v>
      </c>
      <c r="BY23" s="2">
        <v>1.0</v>
      </c>
      <c r="BZ23" s="2">
        <v>1.0</v>
      </c>
      <c r="CB23" s="2"/>
      <c r="CC23" s="2"/>
      <c r="CD23" s="2"/>
      <c r="CE23" s="2"/>
      <c r="CF23" s="2"/>
      <c r="CG23" s="2"/>
      <c r="CH23" s="2"/>
      <c r="CI23" s="2"/>
      <c r="CJ23" s="2"/>
      <c r="CK23" s="2"/>
      <c r="CL23" s="2"/>
      <c r="CM23" s="2"/>
      <c r="CN23" s="2"/>
      <c r="CO23" s="2"/>
      <c r="CP23" s="2"/>
      <c r="CQ23" s="2"/>
    </row>
    <row r="24">
      <c r="D24" s="38" t="str">
        <f>IFERROR(__xludf.DUMMYFUNCTION("""COMPUTED_VALUE"""),"Tinker’s Tools")</f>
        <v>Tinker’s Tools</v>
      </c>
      <c r="E24" s="41">
        <f>IFERROR(__xludf.DUMMYFUNCTION("""COMPUTED_VALUE"""),75.0)</f>
        <v>75</v>
      </c>
      <c r="F24" s="38" t="str">
        <f>IFERROR(__xludf.DUMMYFUNCTION("""COMPUTED_VALUE"""),"10 lb.")</f>
        <v>10 lb.</v>
      </c>
      <c r="G24" s="38" t="str">
        <f>IFERROR(__xludf.DUMMYFUNCTION("""COMPUTED_VALUE"""),"Tool")</f>
        <v>Tool</v>
      </c>
      <c r="H24" s="41">
        <f>IFERROR(__xludf.DUMMYFUNCTION("""COMPUTED_VALUE"""),61.49999999999999)</f>
        <v>61.5</v>
      </c>
      <c r="I24" s="41">
        <f>IFERROR(__xludf.DUMMYFUNCTION("""COMPUTED_VALUE"""),37.5)</f>
        <v>37.5</v>
      </c>
      <c r="J24" s="41">
        <f>IFERROR(__xludf.DUMMYFUNCTION("""COMPUTED_VALUE"""),68.25)</f>
        <v>68.25</v>
      </c>
      <c r="K24" s="38" t="str">
        <f>IFERROR(__xludf.DUMMYFUNCTION("""COMPUTED_VALUE"""),"This kit includes the basic items needed by proficient tinkerers to pursue their craft.")</f>
        <v>This kit includes the basic items needed by proficient tinkerers to pursue their craft.</v>
      </c>
      <c r="L24" s="38" t="b">
        <f>IFERROR(__xludf.DUMMYFUNCTION("""COMPUTED_VALUE"""),FALSE)</f>
        <v>0</v>
      </c>
      <c r="M24" s="38" t="b">
        <f>IFERROR(__xludf.DUMMYFUNCTION("""COMPUTED_VALUE"""),TRUE)</f>
        <v>1</v>
      </c>
      <c r="N24" s="38" t="b">
        <f>IFERROR(__xludf.DUMMYFUNCTION("""COMPUTED_VALUE"""),FALSE)</f>
        <v>0</v>
      </c>
      <c r="O24" s="38" t="b">
        <f>IFERROR(__xludf.DUMMYFUNCTION("""COMPUTED_VALUE"""),FALSE)</f>
        <v>0</v>
      </c>
      <c r="P24" s="38" t="b">
        <f>IFERROR(__xludf.DUMMYFUNCTION("""COMPUTED_VALUE"""),FALSE)</f>
        <v>0</v>
      </c>
      <c r="Q24" s="38" t="b">
        <f>IFERROR(__xludf.DUMMYFUNCTION("""COMPUTED_VALUE"""),FALSE)</f>
        <v>0</v>
      </c>
      <c r="R24" s="38" t="b">
        <f>IFERROR(__xludf.DUMMYFUNCTION("""COMPUTED_VALUE"""),FALSE)</f>
        <v>0</v>
      </c>
      <c r="S24" s="38" t="b">
        <f>IFERROR(__xludf.DUMMYFUNCTION("""COMPUTED_VALUE"""),FALSE)</f>
        <v>0</v>
      </c>
      <c r="T24" s="38" t="b">
        <f>IFERROR(__xludf.DUMMYFUNCTION("""COMPUTED_VALUE"""),FALSE)</f>
        <v>0</v>
      </c>
      <c r="U24" s="38" t="b">
        <f>IFERROR(__xludf.DUMMYFUNCTION("""COMPUTED_VALUE"""),FALSE)</f>
        <v>0</v>
      </c>
      <c r="V24" s="38" t="b">
        <f>IFERROR(__xludf.DUMMYFUNCTION("""COMPUTED_VALUE"""),FALSE)</f>
        <v>0</v>
      </c>
      <c r="W24" s="38" t="b">
        <f>IFERROR(__xludf.DUMMYFUNCTION("""COMPUTED_VALUE"""),FALSE)</f>
        <v>0</v>
      </c>
      <c r="X24" s="38" t="b">
        <f>IFERROR(__xludf.DUMMYFUNCTION("""COMPUTED_VALUE"""),FALSE)</f>
        <v>0</v>
      </c>
      <c r="Y24" s="38" t="b">
        <f>IFERROR(__xludf.DUMMYFUNCTION("""COMPUTED_VALUE"""),FALSE)</f>
        <v>0</v>
      </c>
      <c r="Z24" s="38" t="b">
        <f>IFERROR(__xludf.DUMMYFUNCTION("""COMPUTED_VALUE"""),FALSE)</f>
        <v>0</v>
      </c>
      <c r="AA24" s="38" t="b">
        <f>IFERROR(__xludf.DUMMYFUNCTION("""COMPUTED_VALUE"""),FALSE)</f>
        <v>0</v>
      </c>
      <c r="AB24" s="38" t="b">
        <f>IFERROR(__xludf.DUMMYFUNCTION("""COMPUTED_VALUE"""),FALSE)</f>
        <v>0</v>
      </c>
      <c r="AC24" s="38">
        <f>IFERROR(__xludf.DUMMYFUNCTION("""COMPUTED_VALUE"""),0.4535505788415063)</f>
        <v>0.4535505788</v>
      </c>
      <c r="AG24" s="38" t="s">
        <v>71</v>
      </c>
      <c r="AH24" s="41">
        <v>75.0</v>
      </c>
      <c r="AI24" s="38" t="s">
        <v>72</v>
      </c>
      <c r="AJ24" s="38" t="s">
        <v>58</v>
      </c>
      <c r="AK24" s="41">
        <v>61.49999999999999</v>
      </c>
      <c r="AL24" s="41">
        <v>37.5</v>
      </c>
      <c r="AM24" s="41">
        <v>68.25</v>
      </c>
      <c r="AN24" s="38" t="s">
        <v>73</v>
      </c>
      <c r="AQ24" s="38" t="str">
        <f>IFERROR(__xludf.DUMMYFUNCTION("""COMPUTED_VALUE"""),"Tool")</f>
        <v>Tool</v>
      </c>
      <c r="AR24" s="2">
        <v>1.0</v>
      </c>
      <c r="AS24" s="2">
        <v>10.0</v>
      </c>
      <c r="AT24" s="2">
        <v>2.0</v>
      </c>
      <c r="AU24" s="2">
        <v>1.0</v>
      </c>
      <c r="AV24" s="2">
        <v>1.5</v>
      </c>
      <c r="AW24" s="2">
        <v>0.8</v>
      </c>
      <c r="AX24" s="2">
        <v>3.0</v>
      </c>
      <c r="AY24" s="2">
        <v>3.0</v>
      </c>
      <c r="AZ24" s="2">
        <v>1.0</v>
      </c>
      <c r="BA24" s="2">
        <v>50.0</v>
      </c>
      <c r="BB24" s="2">
        <v>2.0</v>
      </c>
      <c r="BC24" s="2">
        <v>1.0</v>
      </c>
      <c r="BD24" s="2">
        <v>1.0</v>
      </c>
      <c r="BE24" s="2">
        <v>2.0</v>
      </c>
      <c r="BF24" s="2"/>
      <c r="BG24" s="2"/>
      <c r="BH24" s="2"/>
      <c r="BI24" s="2" t="str">
        <f>IFERROR(__xludf.DUMMYFUNCTION("""COMPUTED_VALUE"""),"Flask")</f>
        <v>Flask</v>
      </c>
      <c r="BJ24" s="2">
        <v>1.5</v>
      </c>
      <c r="BK24" s="2">
        <v>1.0</v>
      </c>
      <c r="BL24" s="2">
        <v>1.0</v>
      </c>
      <c r="BM24" s="2">
        <v>1.0</v>
      </c>
      <c r="BN24" s="2">
        <v>1.0</v>
      </c>
      <c r="BO24" s="2">
        <v>1.0</v>
      </c>
      <c r="BP24" s="2">
        <v>1.0</v>
      </c>
      <c r="BQ24" s="2">
        <v>1.0</v>
      </c>
      <c r="BR24" s="2">
        <v>1.0</v>
      </c>
      <c r="BS24" s="2">
        <v>1.0</v>
      </c>
      <c r="BT24" s="2">
        <v>1.0</v>
      </c>
      <c r="BU24" s="2">
        <v>1.0</v>
      </c>
      <c r="BV24" s="2">
        <v>1.0</v>
      </c>
      <c r="BW24" s="2">
        <v>1.0</v>
      </c>
      <c r="BX24" s="2">
        <v>1.0</v>
      </c>
      <c r="BY24" s="2">
        <v>1.0</v>
      </c>
      <c r="BZ24" s="2">
        <v>1.0</v>
      </c>
      <c r="CB24" s="2"/>
      <c r="CC24" s="2"/>
      <c r="CD24" s="2"/>
      <c r="CE24" s="2"/>
      <c r="CF24" s="2"/>
      <c r="CG24" s="2"/>
      <c r="CH24" s="2"/>
      <c r="CI24" s="2"/>
      <c r="CJ24" s="2"/>
      <c r="CK24" s="2"/>
      <c r="CL24" s="2"/>
      <c r="CM24" s="2"/>
      <c r="CN24" s="2"/>
      <c r="CO24" s="2"/>
      <c r="CP24" s="2"/>
      <c r="CQ24" s="2"/>
    </row>
    <row r="25">
      <c r="D25" s="38" t="str">
        <f>IFERROR(__xludf.DUMMYFUNCTION("""COMPUTED_VALUE"""),"War Pick")</f>
        <v>War Pick</v>
      </c>
      <c r="E25" s="41">
        <f>IFERROR(__xludf.DUMMYFUNCTION("""COMPUTED_VALUE"""),3.0)</f>
        <v>3</v>
      </c>
      <c r="F25" s="38" t="str">
        <f>IFERROR(__xludf.DUMMYFUNCTION("""COMPUTED_VALUE"""),"2 lb.")</f>
        <v>2 lb.</v>
      </c>
      <c r="G25" s="38" t="str">
        <f>IFERROR(__xludf.DUMMYFUNCTION("""COMPUTED_VALUE"""),"Weapon")</f>
        <v>Weapon</v>
      </c>
      <c r="H25" s="41">
        <f>IFERROR(__xludf.DUMMYFUNCTION("""COMPUTED_VALUE"""),1.8599999999999999)</f>
        <v>1.86</v>
      </c>
      <c r="I25" s="41">
        <f>IFERROR(__xludf.DUMMYFUNCTION("""COMPUTED_VALUE"""),1.5)</f>
        <v>1.5</v>
      </c>
      <c r="J25" s="41">
        <f>IFERROR(__xludf.DUMMYFUNCTION("""COMPUTED_VALUE"""),2.4299999999999997)</f>
        <v>2.43</v>
      </c>
      <c r="K25" s="38"/>
      <c r="L25" s="41" t="b">
        <f>IFERROR(__xludf.DUMMYFUNCTION("""COMPUTED_VALUE"""),FALSE)</f>
        <v>0</v>
      </c>
      <c r="M25" s="41" t="b">
        <f>IFERROR(__xludf.DUMMYFUNCTION("""COMPUTED_VALUE"""),TRUE)</f>
        <v>1</v>
      </c>
      <c r="N25" s="38" t="b">
        <f>IFERROR(__xludf.DUMMYFUNCTION("""COMPUTED_VALUE"""),FALSE)</f>
        <v>0</v>
      </c>
      <c r="O25" s="38" t="b">
        <f>IFERROR(__xludf.DUMMYFUNCTION("""COMPUTED_VALUE"""),FALSE)</f>
        <v>0</v>
      </c>
      <c r="P25" s="38" t="b">
        <f>IFERROR(__xludf.DUMMYFUNCTION("""COMPUTED_VALUE"""),FALSE)</f>
        <v>0</v>
      </c>
      <c r="Q25" s="38" t="b">
        <f>IFERROR(__xludf.DUMMYFUNCTION("""COMPUTED_VALUE"""),FALSE)</f>
        <v>0</v>
      </c>
      <c r="R25" s="38" t="b">
        <f>IFERROR(__xludf.DUMMYFUNCTION("""COMPUTED_VALUE"""),FALSE)</f>
        <v>0</v>
      </c>
      <c r="S25" s="38" t="b">
        <f>IFERROR(__xludf.DUMMYFUNCTION("""COMPUTED_VALUE"""),FALSE)</f>
        <v>0</v>
      </c>
      <c r="T25" s="38" t="b">
        <f>IFERROR(__xludf.DUMMYFUNCTION("""COMPUTED_VALUE"""),FALSE)</f>
        <v>0</v>
      </c>
      <c r="U25" s="38" t="b">
        <f>IFERROR(__xludf.DUMMYFUNCTION("""COMPUTED_VALUE"""),FALSE)</f>
        <v>0</v>
      </c>
      <c r="V25" s="38" t="b">
        <f>IFERROR(__xludf.DUMMYFUNCTION("""COMPUTED_VALUE"""),FALSE)</f>
        <v>0</v>
      </c>
      <c r="W25" s="38" t="b">
        <f>IFERROR(__xludf.DUMMYFUNCTION("""COMPUTED_VALUE"""),FALSE)</f>
        <v>0</v>
      </c>
      <c r="X25" s="38" t="b">
        <f>IFERROR(__xludf.DUMMYFUNCTION("""COMPUTED_VALUE"""),FALSE)</f>
        <v>0</v>
      </c>
      <c r="Y25" s="38" t="b">
        <f>IFERROR(__xludf.DUMMYFUNCTION("""COMPUTED_VALUE"""),FALSE)</f>
        <v>0</v>
      </c>
      <c r="Z25" s="38" t="b">
        <f>IFERROR(__xludf.DUMMYFUNCTION("""COMPUTED_VALUE"""),TRUE)</f>
        <v>1</v>
      </c>
      <c r="AA25" s="38" t="b">
        <f>IFERROR(__xludf.DUMMYFUNCTION("""COMPUTED_VALUE"""),FALSE)</f>
        <v>0</v>
      </c>
      <c r="AB25" s="38" t="b">
        <f>IFERROR(__xludf.DUMMYFUNCTION("""COMPUTED_VALUE"""),FALSE)</f>
        <v>0</v>
      </c>
      <c r="AC25" s="38">
        <f>IFERROR(__xludf.DUMMYFUNCTION("""COMPUTED_VALUE"""),0.4671595276907853)</f>
        <v>0.4671595277</v>
      </c>
      <c r="AG25" s="38" t="s">
        <v>87</v>
      </c>
      <c r="AH25" s="41">
        <v>3.0</v>
      </c>
      <c r="AI25" s="38" t="s">
        <v>51</v>
      </c>
      <c r="AJ25" s="38" t="s">
        <v>76</v>
      </c>
      <c r="AK25" s="41">
        <v>1.8599999999999999</v>
      </c>
      <c r="AL25" s="41">
        <v>1.5</v>
      </c>
      <c r="AM25" s="41">
        <v>2.4299999999999997</v>
      </c>
      <c r="AN25" s="38"/>
      <c r="AQ25" s="38" t="str">
        <f>IFERROR(__xludf.DUMMYFUNCTION("""COMPUTED_VALUE"""),"Transport")</f>
        <v>Transport</v>
      </c>
      <c r="AR25" s="2">
        <v>1.0</v>
      </c>
      <c r="AS25" s="2">
        <v>100.0</v>
      </c>
      <c r="AT25" s="2">
        <v>20.0</v>
      </c>
      <c r="AU25" s="2">
        <v>2.0</v>
      </c>
      <c r="AV25" s="2">
        <v>1.0</v>
      </c>
      <c r="AW25" s="2">
        <v>2.0</v>
      </c>
      <c r="AX25" s="2">
        <v>1.0</v>
      </c>
      <c r="AY25" s="2">
        <v>0.0</v>
      </c>
      <c r="AZ25" s="2">
        <v>1.0</v>
      </c>
      <c r="BA25" s="2">
        <v>1.0</v>
      </c>
      <c r="BB25" s="2">
        <v>2.0</v>
      </c>
      <c r="BC25" s="2">
        <v>10.0</v>
      </c>
      <c r="BD25" s="2">
        <v>0.5</v>
      </c>
      <c r="BE25" s="2">
        <v>2.0</v>
      </c>
      <c r="BF25" s="2"/>
      <c r="BG25" s="2"/>
      <c r="BH25" s="2"/>
      <c r="BI25" s="2" t="str">
        <f>IFERROR(__xludf.DUMMYFUNCTION("""COMPUTED_VALUE"""),"Glass Bottle")</f>
        <v>Glass Bottle</v>
      </c>
      <c r="BJ25" s="2">
        <v>1.5</v>
      </c>
      <c r="BK25" s="2">
        <v>1.0</v>
      </c>
      <c r="BL25" s="2">
        <v>1.0</v>
      </c>
      <c r="BM25" s="2">
        <v>1.0</v>
      </c>
      <c r="BN25" s="2">
        <v>1.0</v>
      </c>
      <c r="BO25" s="2">
        <v>1.0</v>
      </c>
      <c r="BP25" s="2">
        <v>1.0</v>
      </c>
      <c r="BQ25" s="2">
        <v>1.0</v>
      </c>
      <c r="BR25" s="2">
        <v>1.0</v>
      </c>
      <c r="BS25" s="2">
        <v>1.0</v>
      </c>
      <c r="BT25" s="2">
        <v>1.0</v>
      </c>
      <c r="BU25" s="2">
        <v>1.0</v>
      </c>
      <c r="BV25" s="2">
        <v>1.0</v>
      </c>
      <c r="BW25" s="2">
        <v>1.0</v>
      </c>
      <c r="BX25" s="2">
        <v>1.0</v>
      </c>
      <c r="BY25" s="2">
        <v>1.0</v>
      </c>
      <c r="BZ25" s="2">
        <v>1.0</v>
      </c>
      <c r="CB25" s="2"/>
      <c r="CC25" s="2"/>
      <c r="CD25" s="2"/>
      <c r="CE25" s="2"/>
      <c r="CF25" s="2"/>
      <c r="CG25" s="2"/>
      <c r="CH25" s="2"/>
      <c r="CI25" s="2"/>
      <c r="CJ25" s="2"/>
      <c r="CK25" s="2"/>
      <c r="CL25" s="2"/>
      <c r="CM25" s="2"/>
      <c r="CN25" s="2"/>
      <c r="CO25" s="2"/>
      <c r="CP25" s="2"/>
      <c r="CQ25" s="2"/>
    </row>
    <row r="26">
      <c r="D26" s="38" t="str">
        <f>IFERROR(__xludf.DUMMYFUNCTION("""COMPUTED_VALUE"""),"Grappling Hook")</f>
        <v>Grappling Hook</v>
      </c>
      <c r="E26" s="41">
        <f>IFERROR(__xludf.DUMMYFUNCTION("""COMPUTED_VALUE"""),2.0)</f>
        <v>2</v>
      </c>
      <c r="F26" s="38" t="str">
        <f>IFERROR(__xludf.DUMMYFUNCTION("""COMPUTED_VALUE"""),"4 lb.")</f>
        <v>4 lb.</v>
      </c>
      <c r="G26" s="38" t="str">
        <f>IFERROR(__xludf.DUMMYFUNCTION("""COMPUTED_VALUE"""),"Equipment")</f>
        <v>Equipment</v>
      </c>
      <c r="H26" s="41">
        <f>IFERROR(__xludf.DUMMYFUNCTION("""COMPUTED_VALUE"""),1.24)</f>
        <v>1.24</v>
      </c>
      <c r="I26" s="41">
        <f>IFERROR(__xludf.DUMMYFUNCTION("""COMPUTED_VALUE"""),1.0)</f>
        <v>1</v>
      </c>
      <c r="J26" s="41">
        <f>IFERROR(__xludf.DUMMYFUNCTION("""COMPUTED_VALUE"""),1.62)</f>
        <v>1.62</v>
      </c>
      <c r="K26" s="38"/>
      <c r="L26" s="41" t="b">
        <f>IFERROR(__xludf.DUMMYFUNCTION("""COMPUTED_VALUE"""),FALSE)</f>
        <v>0</v>
      </c>
      <c r="M26" s="41" t="b">
        <f>IFERROR(__xludf.DUMMYFUNCTION("""COMPUTED_VALUE"""),TRUE)</f>
        <v>1</v>
      </c>
      <c r="N26" s="38" t="b">
        <f>IFERROR(__xludf.DUMMYFUNCTION("""COMPUTED_VALUE"""),FALSE)</f>
        <v>0</v>
      </c>
      <c r="O26" s="38" t="b">
        <f>IFERROR(__xludf.DUMMYFUNCTION("""COMPUTED_VALUE"""),FALSE)</f>
        <v>0</v>
      </c>
      <c r="P26" s="38" t="b">
        <f>IFERROR(__xludf.DUMMYFUNCTION("""COMPUTED_VALUE"""),FALSE)</f>
        <v>0</v>
      </c>
      <c r="Q26" s="38" t="b">
        <f>IFERROR(__xludf.DUMMYFUNCTION("""COMPUTED_VALUE"""),FALSE)</f>
        <v>0</v>
      </c>
      <c r="R26" s="38" t="b">
        <f>IFERROR(__xludf.DUMMYFUNCTION("""COMPUTED_VALUE"""),FALSE)</f>
        <v>0</v>
      </c>
      <c r="S26" s="38" t="b">
        <f>IFERROR(__xludf.DUMMYFUNCTION("""COMPUTED_VALUE"""),FALSE)</f>
        <v>0</v>
      </c>
      <c r="T26" s="38" t="b">
        <f>IFERROR(__xludf.DUMMYFUNCTION("""COMPUTED_VALUE"""),FALSE)</f>
        <v>0</v>
      </c>
      <c r="U26" s="38" t="b">
        <f>IFERROR(__xludf.DUMMYFUNCTION("""COMPUTED_VALUE"""),FALSE)</f>
        <v>0</v>
      </c>
      <c r="V26" s="38" t="b">
        <f>IFERROR(__xludf.DUMMYFUNCTION("""COMPUTED_VALUE"""),FALSE)</f>
        <v>0</v>
      </c>
      <c r="W26" s="38" t="b">
        <f>IFERROR(__xludf.DUMMYFUNCTION("""COMPUTED_VALUE"""),FALSE)</f>
        <v>0</v>
      </c>
      <c r="X26" s="38" t="b">
        <f>IFERROR(__xludf.DUMMYFUNCTION("""COMPUTED_VALUE"""),FALSE)</f>
        <v>0</v>
      </c>
      <c r="Y26" s="38" t="b">
        <f>IFERROR(__xludf.DUMMYFUNCTION("""COMPUTED_VALUE"""),FALSE)</f>
        <v>0</v>
      </c>
      <c r="Z26" s="38" t="b">
        <f>IFERROR(__xludf.DUMMYFUNCTION("""COMPUTED_VALUE"""),TRUE)</f>
        <v>1</v>
      </c>
      <c r="AA26" s="38" t="b">
        <f>IFERROR(__xludf.DUMMYFUNCTION("""COMPUTED_VALUE"""),FALSE)</f>
        <v>0</v>
      </c>
      <c r="AB26" s="38" t="b">
        <f>IFERROR(__xludf.DUMMYFUNCTION("""COMPUTED_VALUE"""),FALSE)</f>
        <v>0</v>
      </c>
      <c r="AC26" s="38">
        <f>IFERROR(__xludf.DUMMYFUNCTION("""COMPUTED_VALUE"""),0.488699796436352)</f>
        <v>0.4886997964</v>
      </c>
      <c r="AG26" s="38" t="s">
        <v>48</v>
      </c>
      <c r="AH26" s="41">
        <v>2.0</v>
      </c>
      <c r="AI26" s="38" t="s">
        <v>49</v>
      </c>
      <c r="AJ26" s="38" t="s">
        <v>47</v>
      </c>
      <c r="AK26" s="41">
        <v>1.24</v>
      </c>
      <c r="AL26" s="41">
        <v>1.0</v>
      </c>
      <c r="AM26" s="41">
        <v>1.62</v>
      </c>
      <c r="AN26" s="38"/>
      <c r="AQ26" s="38" t="str">
        <f>IFERROR(__xludf.DUMMYFUNCTION("""COMPUTED_VALUE"""),"Vehicle")</f>
        <v>Vehicle</v>
      </c>
      <c r="AR26" s="2">
        <v>1.0</v>
      </c>
      <c r="AS26" s="2">
        <v>1.0</v>
      </c>
      <c r="AT26" s="2">
        <v>1.0</v>
      </c>
      <c r="AU26" s="2">
        <v>1.0</v>
      </c>
      <c r="AV26" s="2">
        <v>1.0</v>
      </c>
      <c r="AW26" s="2">
        <v>3.0</v>
      </c>
      <c r="AX26" s="2">
        <v>1.0</v>
      </c>
      <c r="AY26" s="2">
        <v>0.2</v>
      </c>
      <c r="AZ26" s="2">
        <v>2.0</v>
      </c>
      <c r="BA26" s="2">
        <v>15.0</v>
      </c>
      <c r="BB26" s="2">
        <v>1.0</v>
      </c>
      <c r="BC26" s="2">
        <v>1.0</v>
      </c>
      <c r="BD26" s="2">
        <v>1.0</v>
      </c>
      <c r="BE26" s="2">
        <v>2.0</v>
      </c>
      <c r="BF26" s="2"/>
      <c r="BG26" s="2"/>
      <c r="BH26" s="2"/>
      <c r="BI26" s="2" t="str">
        <f>IFERROR(__xludf.DUMMYFUNCTION("""COMPUTED_VALUE"""),"Iron Pot")</f>
        <v>Iron Pot</v>
      </c>
      <c r="BJ26" s="2">
        <v>1.5</v>
      </c>
      <c r="BK26" s="2">
        <v>1.0</v>
      </c>
      <c r="BL26" s="2">
        <v>1.0</v>
      </c>
      <c r="BM26" s="2">
        <v>1.0</v>
      </c>
      <c r="BN26" s="2">
        <v>1.0</v>
      </c>
      <c r="BO26" s="2">
        <v>1.0</v>
      </c>
      <c r="BP26" s="2">
        <v>1.0</v>
      </c>
      <c r="BQ26" s="2">
        <v>1.0</v>
      </c>
      <c r="BR26" s="2">
        <v>1.0</v>
      </c>
      <c r="BS26" s="2">
        <v>1.0</v>
      </c>
      <c r="BT26" s="2">
        <v>1.0</v>
      </c>
      <c r="BU26" s="2">
        <v>1.0</v>
      </c>
      <c r="BV26" s="2">
        <v>1.0</v>
      </c>
      <c r="BW26" s="2">
        <v>1.0</v>
      </c>
      <c r="BX26" s="2">
        <v>1.0</v>
      </c>
      <c r="BY26" s="2">
        <v>1.0</v>
      </c>
      <c r="BZ26" s="2">
        <v>1.0</v>
      </c>
      <c r="CB26" s="2"/>
      <c r="CC26" s="2"/>
      <c r="CD26" s="2"/>
      <c r="CE26" s="2"/>
      <c r="CF26" s="2"/>
      <c r="CG26" s="2"/>
      <c r="CH26" s="2"/>
      <c r="CI26" s="2"/>
      <c r="CJ26" s="2"/>
      <c r="CK26" s="2"/>
      <c r="CL26" s="2"/>
      <c r="CM26" s="2"/>
      <c r="CN26" s="2"/>
      <c r="CO26" s="2"/>
      <c r="CP26" s="2"/>
      <c r="CQ26" s="2"/>
    </row>
    <row r="27">
      <c r="D27" s="38" t="str">
        <f>IFERROR(__xludf.DUMMYFUNCTION("""COMPUTED_VALUE"""),"Ringmail Warhorse Barding")</f>
        <v>Ringmail Warhorse Barding</v>
      </c>
      <c r="E27" s="41">
        <f>IFERROR(__xludf.DUMMYFUNCTION("""COMPUTED_VALUE"""),120.0)</f>
        <v>120</v>
      </c>
      <c r="F27" s="38" t="str">
        <f>IFERROR(__xludf.DUMMYFUNCTION("""COMPUTED_VALUE"""),"1 armour set, 80lbs.")</f>
        <v>1 armour set, 80lbs.</v>
      </c>
      <c r="G27" s="38" t="str">
        <f>IFERROR(__xludf.DUMMYFUNCTION("""COMPUTED_VALUE"""),"Armour")</f>
        <v>Armour</v>
      </c>
      <c r="H27" s="41">
        <f>IFERROR(__xludf.DUMMYFUNCTION("""COMPUTED_VALUE"""),98.39999999999999)</f>
        <v>98.4</v>
      </c>
      <c r="I27" s="41">
        <f>IFERROR(__xludf.DUMMYFUNCTION("""COMPUTED_VALUE"""),60.0)</f>
        <v>60</v>
      </c>
      <c r="J27" s="41">
        <f>IFERROR(__xludf.DUMMYFUNCTION("""COMPUTED_VALUE"""),109.19999999999999)</f>
        <v>109.2</v>
      </c>
      <c r="K27" s="38" t="str">
        <f>IFERROR(__xludf.DUMMYFUNCTION("""COMPUTED_VALUE"""),"A set of heavy ringmail armour, designed to fit a warhorse. 15AC.")</f>
        <v>A set of heavy ringmail armour, designed to fit a warhorse. 15AC.</v>
      </c>
      <c r="L27" s="41" t="b">
        <f>IFERROR(__xludf.DUMMYFUNCTION("""COMPUTED_VALUE"""),FALSE)</f>
        <v>0</v>
      </c>
      <c r="M27" s="41" t="b">
        <f>IFERROR(__xludf.DUMMYFUNCTION("""COMPUTED_VALUE"""),TRUE)</f>
        <v>1</v>
      </c>
      <c r="N27" s="38" t="b">
        <f>IFERROR(__xludf.DUMMYFUNCTION("""COMPUTED_VALUE"""),FALSE)</f>
        <v>0</v>
      </c>
      <c r="O27" s="38" t="b">
        <f>IFERROR(__xludf.DUMMYFUNCTION("""COMPUTED_VALUE"""),FALSE)</f>
        <v>0</v>
      </c>
      <c r="P27" s="38" t="b">
        <f>IFERROR(__xludf.DUMMYFUNCTION("""COMPUTED_VALUE"""),FALSE)</f>
        <v>0</v>
      </c>
      <c r="Q27" s="38" t="b">
        <f>IFERROR(__xludf.DUMMYFUNCTION("""COMPUTED_VALUE"""),FALSE)</f>
        <v>0</v>
      </c>
      <c r="R27" s="38" t="b">
        <f>IFERROR(__xludf.DUMMYFUNCTION("""COMPUTED_VALUE"""),FALSE)</f>
        <v>0</v>
      </c>
      <c r="S27" s="38" t="b">
        <f>IFERROR(__xludf.DUMMYFUNCTION("""COMPUTED_VALUE"""),FALSE)</f>
        <v>0</v>
      </c>
      <c r="T27" s="38" t="b">
        <f>IFERROR(__xludf.DUMMYFUNCTION("""COMPUTED_VALUE"""),FALSE)</f>
        <v>0</v>
      </c>
      <c r="U27" s="38" t="b">
        <f>IFERROR(__xludf.DUMMYFUNCTION("""COMPUTED_VALUE"""),FALSE)</f>
        <v>0</v>
      </c>
      <c r="V27" s="38" t="b">
        <f>IFERROR(__xludf.DUMMYFUNCTION("""COMPUTED_VALUE"""),FALSE)</f>
        <v>0</v>
      </c>
      <c r="W27" s="38" t="b">
        <f>IFERROR(__xludf.DUMMYFUNCTION("""COMPUTED_VALUE"""),FALSE)</f>
        <v>0</v>
      </c>
      <c r="X27" s="38" t="b">
        <f>IFERROR(__xludf.DUMMYFUNCTION("""COMPUTED_VALUE"""),FALSE)</f>
        <v>0</v>
      </c>
      <c r="Y27" s="38" t="b">
        <f>IFERROR(__xludf.DUMMYFUNCTION("""COMPUTED_VALUE"""),FALSE)</f>
        <v>0</v>
      </c>
      <c r="Z27" s="38" t="b">
        <f>IFERROR(__xludf.DUMMYFUNCTION("""COMPUTED_VALUE"""),TRUE)</f>
        <v>1</v>
      </c>
      <c r="AA27" s="38" t="b">
        <f>IFERROR(__xludf.DUMMYFUNCTION("""COMPUTED_VALUE"""),FALSE)</f>
        <v>0</v>
      </c>
      <c r="AB27" s="38" t="b">
        <f>IFERROR(__xludf.DUMMYFUNCTION("""COMPUTED_VALUE"""),FALSE)</f>
        <v>0</v>
      </c>
      <c r="AC27" s="38">
        <f>IFERROR(__xludf.DUMMYFUNCTION("""COMPUTED_VALUE"""),0.5062921608117779)</f>
        <v>0.5062921608</v>
      </c>
      <c r="AQ27" s="38" t="str">
        <f>IFERROR(__xludf.DUMMYFUNCTION("""COMPUTED_VALUE"""),"Weapon")</f>
        <v>Weapon</v>
      </c>
      <c r="AR27" s="2">
        <v>1.0</v>
      </c>
      <c r="AS27" s="2">
        <v>2.0</v>
      </c>
      <c r="AT27" s="2">
        <v>11.0</v>
      </c>
      <c r="AU27" s="2">
        <v>2.0</v>
      </c>
      <c r="AV27" s="2">
        <v>0.6</v>
      </c>
      <c r="AW27" s="2">
        <v>0.8</v>
      </c>
      <c r="AX27" s="2">
        <v>3.0</v>
      </c>
      <c r="AY27" s="2">
        <v>5.0</v>
      </c>
      <c r="AZ27" s="2">
        <v>1.0</v>
      </c>
      <c r="BA27" s="2">
        <v>1.0</v>
      </c>
      <c r="BB27" s="2">
        <v>1.4</v>
      </c>
      <c r="BC27" s="2">
        <v>1.0</v>
      </c>
      <c r="BD27" s="2">
        <v>10.0</v>
      </c>
      <c r="BE27" s="2">
        <v>7.2</v>
      </c>
      <c r="BF27" s="2"/>
      <c r="BG27" s="2"/>
      <c r="BH27" s="2"/>
      <c r="BI27" s="2" t="str">
        <f>IFERROR(__xludf.DUMMYFUNCTION("""COMPUTED_VALUE"""),"Jug")</f>
        <v>Jug</v>
      </c>
      <c r="BJ27" s="2">
        <v>1.5</v>
      </c>
      <c r="BK27" s="2">
        <v>1.0</v>
      </c>
      <c r="BL27" s="2">
        <v>1.0</v>
      </c>
      <c r="BM27" s="2">
        <v>1.0</v>
      </c>
      <c r="BN27" s="2">
        <v>1.0</v>
      </c>
      <c r="BO27" s="2">
        <v>1.0</v>
      </c>
      <c r="BP27" s="2">
        <v>1.0</v>
      </c>
      <c r="BQ27" s="2">
        <v>1.0</v>
      </c>
      <c r="BR27" s="2">
        <v>1.0</v>
      </c>
      <c r="BS27" s="2">
        <v>1.0</v>
      </c>
      <c r="BT27" s="2">
        <v>1.0</v>
      </c>
      <c r="BU27" s="2">
        <v>1.0</v>
      </c>
      <c r="BV27" s="2">
        <v>1.0</v>
      </c>
      <c r="BW27" s="2">
        <v>1.0</v>
      </c>
      <c r="BX27" s="2">
        <v>1.0</v>
      </c>
      <c r="BY27" s="2">
        <v>1.0</v>
      </c>
      <c r="BZ27" s="2">
        <v>1.0</v>
      </c>
      <c r="CB27" s="2"/>
      <c r="CC27" s="2"/>
      <c r="CD27" s="2"/>
      <c r="CE27" s="2"/>
      <c r="CF27" s="2"/>
      <c r="CG27" s="2"/>
      <c r="CH27" s="2"/>
      <c r="CI27" s="2"/>
      <c r="CJ27" s="2"/>
      <c r="CK27" s="2"/>
      <c r="CL27" s="2"/>
      <c r="CM27" s="2"/>
      <c r="CN27" s="2"/>
      <c r="CO27" s="2"/>
      <c r="CP27" s="2"/>
      <c r="CQ27" s="2"/>
    </row>
    <row r="28">
      <c r="D28" s="38" t="str">
        <f>IFERROR(__xludf.DUMMYFUNCTION("""COMPUTED_VALUE"""),"Piton")</f>
        <v>Piton</v>
      </c>
      <c r="E28" s="41">
        <f>IFERROR(__xludf.DUMMYFUNCTION("""COMPUTED_VALUE"""),0.05)</f>
        <v>0.05</v>
      </c>
      <c r="F28" s="38" t="str">
        <f>IFERROR(__xludf.DUMMYFUNCTION("""COMPUTED_VALUE"""),"1/4 lb.")</f>
        <v>1/4 lb.</v>
      </c>
      <c r="G28" s="38" t="str">
        <f>IFERROR(__xludf.DUMMYFUNCTION("""COMPUTED_VALUE"""),"Equipment")</f>
        <v>Equipment</v>
      </c>
      <c r="H28" s="41">
        <f>IFERROR(__xludf.DUMMYFUNCTION("""COMPUTED_VALUE"""),0.031)</f>
        <v>0.031</v>
      </c>
      <c r="I28" s="41">
        <f>IFERROR(__xludf.DUMMYFUNCTION("""COMPUTED_VALUE"""),0.025)</f>
        <v>0.025</v>
      </c>
      <c r="J28" s="41">
        <f>IFERROR(__xludf.DUMMYFUNCTION("""COMPUTED_VALUE"""),0.0405)</f>
        <v>0.0405</v>
      </c>
      <c r="K28" s="38" t="str">
        <f>IFERROR(__xludf.DUMMYFUNCTION("""COMPUTED_VALUE"""),"A steel spike, with a hole for looping a climbing rope through.")</f>
        <v>A steel spike, with a hole for looping a climbing rope through.</v>
      </c>
      <c r="L28" s="41" t="b">
        <f>IFERROR(__xludf.DUMMYFUNCTION("""COMPUTED_VALUE"""),FALSE)</f>
        <v>0</v>
      </c>
      <c r="M28" s="41" t="b">
        <f>IFERROR(__xludf.DUMMYFUNCTION("""COMPUTED_VALUE"""),TRUE)</f>
        <v>1</v>
      </c>
      <c r="N28" s="38" t="b">
        <f>IFERROR(__xludf.DUMMYFUNCTION("""COMPUTED_VALUE"""),TRUE)</f>
        <v>1</v>
      </c>
      <c r="O28" s="38" t="b">
        <f>IFERROR(__xludf.DUMMYFUNCTION("""COMPUTED_VALUE"""),TRUE)</f>
        <v>1</v>
      </c>
      <c r="P28" s="38" t="b">
        <f>IFERROR(__xludf.DUMMYFUNCTION("""COMPUTED_VALUE"""),FALSE)</f>
        <v>0</v>
      </c>
      <c r="Q28" s="38" t="b">
        <f>IFERROR(__xludf.DUMMYFUNCTION("""COMPUTED_VALUE"""),FALSE)</f>
        <v>0</v>
      </c>
      <c r="R28" s="38" t="b">
        <f>IFERROR(__xludf.DUMMYFUNCTION("""COMPUTED_VALUE"""),FALSE)</f>
        <v>0</v>
      </c>
      <c r="S28" s="38" t="b">
        <f>IFERROR(__xludf.DUMMYFUNCTION("""COMPUTED_VALUE"""),FALSE)</f>
        <v>0</v>
      </c>
      <c r="T28" s="38" t="b">
        <f>IFERROR(__xludf.DUMMYFUNCTION("""COMPUTED_VALUE"""),FALSE)</f>
        <v>0</v>
      </c>
      <c r="U28" s="38" t="b">
        <f>IFERROR(__xludf.DUMMYFUNCTION("""COMPUTED_VALUE"""),FALSE)</f>
        <v>0</v>
      </c>
      <c r="V28" s="38" t="b">
        <f>IFERROR(__xludf.DUMMYFUNCTION("""COMPUTED_VALUE"""),FALSE)</f>
        <v>0</v>
      </c>
      <c r="W28" s="38" t="b">
        <f>IFERROR(__xludf.DUMMYFUNCTION("""COMPUTED_VALUE"""),FALSE)</f>
        <v>0</v>
      </c>
      <c r="X28" s="38" t="b">
        <f>IFERROR(__xludf.DUMMYFUNCTION("""COMPUTED_VALUE"""),FALSE)</f>
        <v>0</v>
      </c>
      <c r="Y28" s="38" t="b">
        <f>IFERROR(__xludf.DUMMYFUNCTION("""COMPUTED_VALUE"""),FALSE)</f>
        <v>0</v>
      </c>
      <c r="Z28" s="38" t="b">
        <f>IFERROR(__xludf.DUMMYFUNCTION("""COMPUTED_VALUE"""),TRUE)</f>
        <v>1</v>
      </c>
      <c r="AA28" s="38" t="b">
        <f>IFERROR(__xludf.DUMMYFUNCTION("""COMPUTED_VALUE"""),FALSE)</f>
        <v>0</v>
      </c>
      <c r="AB28" s="38" t="b">
        <f>IFERROR(__xludf.DUMMYFUNCTION("""COMPUTED_VALUE"""),FALSE)</f>
        <v>0</v>
      </c>
      <c r="AC28" s="38">
        <f>IFERROR(__xludf.DUMMYFUNCTION("""COMPUTED_VALUE"""),0.5179267347629433)</f>
        <v>0.5179267348</v>
      </c>
      <c r="AQ28" s="38"/>
      <c r="BI28" s="38" t="str">
        <f>IFERROR(__xludf.DUMMYFUNCTION("""COMPUTED_VALUE"""),"Pitcher")</f>
        <v>Pitcher</v>
      </c>
      <c r="BJ28" s="2">
        <v>1.5</v>
      </c>
      <c r="BK28" s="2">
        <v>1.0</v>
      </c>
      <c r="BL28" s="2">
        <v>1.0</v>
      </c>
      <c r="BM28" s="2">
        <v>1.0</v>
      </c>
      <c r="BN28" s="2">
        <v>1.0</v>
      </c>
      <c r="BO28" s="2">
        <v>1.0</v>
      </c>
      <c r="BP28" s="2">
        <v>1.0</v>
      </c>
      <c r="BQ28" s="2">
        <v>1.0</v>
      </c>
      <c r="BR28" s="2">
        <v>1.0</v>
      </c>
      <c r="BS28" s="2">
        <v>1.0</v>
      </c>
      <c r="BT28" s="2">
        <v>1.0</v>
      </c>
      <c r="BU28" s="2">
        <v>1.0</v>
      </c>
      <c r="BV28" s="2">
        <v>1.0</v>
      </c>
      <c r="BW28" s="2">
        <v>1.0</v>
      </c>
      <c r="BX28" s="2">
        <v>1.0</v>
      </c>
      <c r="BY28" s="2">
        <v>1.0</v>
      </c>
      <c r="BZ28" s="2">
        <v>1.0</v>
      </c>
      <c r="CB28" s="2"/>
      <c r="CC28" s="2"/>
      <c r="CD28" s="2"/>
      <c r="CE28" s="2"/>
      <c r="CF28" s="2"/>
      <c r="CG28" s="2"/>
      <c r="CH28" s="2"/>
      <c r="CI28" s="2"/>
      <c r="CJ28" s="2"/>
      <c r="CK28" s="2"/>
      <c r="CL28" s="2"/>
      <c r="CM28" s="2"/>
      <c r="CN28" s="2"/>
      <c r="CO28" s="2"/>
      <c r="CP28" s="2"/>
      <c r="CQ28" s="2"/>
    </row>
    <row r="29">
      <c r="D29" s="38" t="str">
        <f>IFERROR(__xludf.DUMMYFUNCTION("""COMPUTED_VALUE"""),"Morningstar")</f>
        <v>Morningstar</v>
      </c>
      <c r="E29" s="41">
        <f>IFERROR(__xludf.DUMMYFUNCTION("""COMPUTED_VALUE"""),9.0)</f>
        <v>9</v>
      </c>
      <c r="F29" s="38" t="str">
        <f>IFERROR(__xludf.DUMMYFUNCTION("""COMPUTED_VALUE"""),"4 lb.")</f>
        <v>4 lb.</v>
      </c>
      <c r="G29" s="38" t="str">
        <f>IFERROR(__xludf.DUMMYFUNCTION("""COMPUTED_VALUE"""),"Weapon")</f>
        <v>Weapon</v>
      </c>
      <c r="H29" s="41">
        <f>IFERROR(__xludf.DUMMYFUNCTION("""COMPUTED_VALUE"""),5.58)</f>
        <v>5.58</v>
      </c>
      <c r="I29" s="41">
        <f>IFERROR(__xludf.DUMMYFUNCTION("""COMPUTED_VALUE"""),4.5)</f>
        <v>4.5</v>
      </c>
      <c r="J29" s="41">
        <f>IFERROR(__xludf.DUMMYFUNCTION("""COMPUTED_VALUE"""),7.29)</f>
        <v>7.29</v>
      </c>
      <c r="K29" s="38"/>
      <c r="L29" s="41" t="b">
        <f>IFERROR(__xludf.DUMMYFUNCTION("""COMPUTED_VALUE"""),FALSE)</f>
        <v>0</v>
      </c>
      <c r="M29" s="41" t="b">
        <f>IFERROR(__xludf.DUMMYFUNCTION("""COMPUTED_VALUE"""),TRUE)</f>
        <v>1</v>
      </c>
      <c r="N29" s="38" t="b">
        <f>IFERROR(__xludf.DUMMYFUNCTION("""COMPUTED_VALUE"""),FALSE)</f>
        <v>0</v>
      </c>
      <c r="O29" s="38" t="b">
        <f>IFERROR(__xludf.DUMMYFUNCTION("""COMPUTED_VALUE"""),FALSE)</f>
        <v>0</v>
      </c>
      <c r="P29" s="38" t="b">
        <f>IFERROR(__xludf.DUMMYFUNCTION("""COMPUTED_VALUE"""),FALSE)</f>
        <v>0</v>
      </c>
      <c r="Q29" s="38" t="b">
        <f>IFERROR(__xludf.DUMMYFUNCTION("""COMPUTED_VALUE"""),FALSE)</f>
        <v>0</v>
      </c>
      <c r="R29" s="38" t="b">
        <f>IFERROR(__xludf.DUMMYFUNCTION("""COMPUTED_VALUE"""),FALSE)</f>
        <v>0</v>
      </c>
      <c r="S29" s="38" t="b">
        <f>IFERROR(__xludf.DUMMYFUNCTION("""COMPUTED_VALUE"""),FALSE)</f>
        <v>0</v>
      </c>
      <c r="T29" s="38" t="b">
        <f>IFERROR(__xludf.DUMMYFUNCTION("""COMPUTED_VALUE"""),FALSE)</f>
        <v>0</v>
      </c>
      <c r="U29" s="38" t="b">
        <f>IFERROR(__xludf.DUMMYFUNCTION("""COMPUTED_VALUE"""),FALSE)</f>
        <v>0</v>
      </c>
      <c r="V29" s="38" t="b">
        <f>IFERROR(__xludf.DUMMYFUNCTION("""COMPUTED_VALUE"""),FALSE)</f>
        <v>0</v>
      </c>
      <c r="W29" s="38" t="b">
        <f>IFERROR(__xludf.DUMMYFUNCTION("""COMPUTED_VALUE"""),FALSE)</f>
        <v>0</v>
      </c>
      <c r="X29" s="38" t="b">
        <f>IFERROR(__xludf.DUMMYFUNCTION("""COMPUTED_VALUE"""),FALSE)</f>
        <v>0</v>
      </c>
      <c r="Y29" s="38" t="b">
        <f>IFERROR(__xludf.DUMMYFUNCTION("""COMPUTED_VALUE"""),FALSE)</f>
        <v>0</v>
      </c>
      <c r="Z29" s="38" t="b">
        <f>IFERROR(__xludf.DUMMYFUNCTION("""COMPUTED_VALUE"""),TRUE)</f>
        <v>1</v>
      </c>
      <c r="AA29" s="38" t="b">
        <f>IFERROR(__xludf.DUMMYFUNCTION("""COMPUTED_VALUE"""),FALSE)</f>
        <v>0</v>
      </c>
      <c r="AB29" s="38" t="b">
        <f>IFERROR(__xludf.DUMMYFUNCTION("""COMPUTED_VALUE"""),FALSE)</f>
        <v>0</v>
      </c>
      <c r="AC29" s="38">
        <f>IFERROR(__xludf.DUMMYFUNCTION("""COMPUTED_VALUE"""),0.5425973448134722)</f>
        <v>0.5425973448</v>
      </c>
      <c r="BI29" s="38" t="str">
        <f>IFERROR(__xludf.DUMMYFUNCTION("""COMPUTED_VALUE"""),"Pouch")</f>
        <v>Pouch</v>
      </c>
      <c r="BJ29" s="2">
        <v>1.5</v>
      </c>
      <c r="BK29" s="2">
        <v>1.0</v>
      </c>
      <c r="BL29" s="2">
        <v>1.0</v>
      </c>
      <c r="BM29" s="2">
        <v>1.0</v>
      </c>
      <c r="BN29" s="2">
        <v>1.0</v>
      </c>
      <c r="BO29" s="2">
        <v>1.0</v>
      </c>
      <c r="BP29" s="2">
        <v>1.0</v>
      </c>
      <c r="BQ29" s="2">
        <v>1.0</v>
      </c>
      <c r="BR29" s="2">
        <v>1.0</v>
      </c>
      <c r="BS29" s="2">
        <v>1.0</v>
      </c>
      <c r="BT29" s="2">
        <v>1.0</v>
      </c>
      <c r="BU29" s="2">
        <v>1.0</v>
      </c>
      <c r="BV29" s="2">
        <v>1.0</v>
      </c>
      <c r="BW29" s="2">
        <v>1.0</v>
      </c>
      <c r="BX29" s="2">
        <v>1.0</v>
      </c>
      <c r="BY29" s="2">
        <v>1.0</v>
      </c>
      <c r="BZ29" s="2">
        <v>1.0</v>
      </c>
      <c r="CB29" s="2"/>
      <c r="CC29" s="2"/>
      <c r="CD29" s="2"/>
      <c r="CE29" s="2"/>
      <c r="CF29" s="2"/>
      <c r="CG29" s="2"/>
      <c r="CH29" s="2"/>
      <c r="CI29" s="2"/>
      <c r="CJ29" s="2"/>
      <c r="CK29" s="2"/>
      <c r="CL29" s="2"/>
      <c r="CM29" s="2"/>
      <c r="CN29" s="2"/>
      <c r="CO29" s="2"/>
      <c r="CP29" s="2"/>
      <c r="CQ29" s="2"/>
    </row>
    <row r="30">
      <c r="D30" s="38" t="str">
        <f>IFERROR(__xludf.DUMMYFUNCTION("""COMPUTED_VALUE"""),"Glaive")</f>
        <v>Glaive</v>
      </c>
      <c r="E30" s="41">
        <f>IFERROR(__xludf.DUMMYFUNCTION("""COMPUTED_VALUE"""),12.0)</f>
        <v>12</v>
      </c>
      <c r="F30" s="38" t="str">
        <f>IFERROR(__xludf.DUMMYFUNCTION("""COMPUTED_VALUE"""),"6 lb.")</f>
        <v>6 lb.</v>
      </c>
      <c r="G30" s="38" t="str">
        <f>IFERROR(__xludf.DUMMYFUNCTION("""COMPUTED_VALUE"""),"Weapon")</f>
        <v>Weapon</v>
      </c>
      <c r="H30" s="41">
        <f>IFERROR(__xludf.DUMMYFUNCTION("""COMPUTED_VALUE"""),7.4399999999999995)</f>
        <v>7.44</v>
      </c>
      <c r="I30" s="41">
        <f>IFERROR(__xludf.DUMMYFUNCTION("""COMPUTED_VALUE"""),6.0)</f>
        <v>6</v>
      </c>
      <c r="J30" s="41">
        <f>IFERROR(__xludf.DUMMYFUNCTION("""COMPUTED_VALUE"""),9.719999999999999)</f>
        <v>9.72</v>
      </c>
      <c r="K30" s="38"/>
      <c r="L30" s="41" t="b">
        <f>IFERROR(__xludf.DUMMYFUNCTION("""COMPUTED_VALUE"""),FALSE)</f>
        <v>0</v>
      </c>
      <c r="M30" s="41" t="b">
        <f>IFERROR(__xludf.DUMMYFUNCTION("""COMPUTED_VALUE"""),TRUE)</f>
        <v>1</v>
      </c>
      <c r="N30" s="38" t="b">
        <f>IFERROR(__xludf.DUMMYFUNCTION("""COMPUTED_VALUE"""),FALSE)</f>
        <v>0</v>
      </c>
      <c r="O30" s="38" t="b">
        <f>IFERROR(__xludf.DUMMYFUNCTION("""COMPUTED_VALUE"""),FALSE)</f>
        <v>0</v>
      </c>
      <c r="P30" s="38" t="b">
        <f>IFERROR(__xludf.DUMMYFUNCTION("""COMPUTED_VALUE"""),FALSE)</f>
        <v>0</v>
      </c>
      <c r="Q30" s="38" t="b">
        <f>IFERROR(__xludf.DUMMYFUNCTION("""COMPUTED_VALUE"""),FALSE)</f>
        <v>0</v>
      </c>
      <c r="R30" s="38" t="b">
        <f>IFERROR(__xludf.DUMMYFUNCTION("""COMPUTED_VALUE"""),FALSE)</f>
        <v>0</v>
      </c>
      <c r="S30" s="38" t="b">
        <f>IFERROR(__xludf.DUMMYFUNCTION("""COMPUTED_VALUE"""),FALSE)</f>
        <v>0</v>
      </c>
      <c r="T30" s="38" t="b">
        <f>IFERROR(__xludf.DUMMYFUNCTION("""COMPUTED_VALUE"""),FALSE)</f>
        <v>0</v>
      </c>
      <c r="U30" s="38" t="b">
        <f>IFERROR(__xludf.DUMMYFUNCTION("""COMPUTED_VALUE"""),FALSE)</f>
        <v>0</v>
      </c>
      <c r="V30" s="38" t="b">
        <f>IFERROR(__xludf.DUMMYFUNCTION("""COMPUTED_VALUE"""),FALSE)</f>
        <v>0</v>
      </c>
      <c r="W30" s="38" t="b">
        <f>IFERROR(__xludf.DUMMYFUNCTION("""COMPUTED_VALUE"""),FALSE)</f>
        <v>0</v>
      </c>
      <c r="X30" s="38" t="b">
        <f>IFERROR(__xludf.DUMMYFUNCTION("""COMPUTED_VALUE"""),FALSE)</f>
        <v>0</v>
      </c>
      <c r="Y30" s="38" t="b">
        <f>IFERROR(__xludf.DUMMYFUNCTION("""COMPUTED_VALUE"""),FALSE)</f>
        <v>0</v>
      </c>
      <c r="Z30" s="38" t="b">
        <f>IFERROR(__xludf.DUMMYFUNCTION("""COMPUTED_VALUE"""),TRUE)</f>
        <v>1</v>
      </c>
      <c r="AA30" s="38" t="b">
        <f>IFERROR(__xludf.DUMMYFUNCTION("""COMPUTED_VALUE"""),FALSE)</f>
        <v>0</v>
      </c>
      <c r="AB30" s="38" t="b">
        <f>IFERROR(__xludf.DUMMYFUNCTION("""COMPUTED_VALUE"""),FALSE)</f>
        <v>0</v>
      </c>
      <c r="AC30" s="38">
        <f>IFERROR(__xludf.DUMMYFUNCTION("""COMPUTED_VALUE"""),0.5431445059535055)</f>
        <v>0.543144506</v>
      </c>
      <c r="BI30" s="38" t="str">
        <f>IFERROR(__xludf.DUMMYFUNCTION("""COMPUTED_VALUE"""),"Sack")</f>
        <v>Sack</v>
      </c>
      <c r="BJ30" s="2">
        <v>1.5</v>
      </c>
      <c r="BK30" s="2">
        <v>1.0</v>
      </c>
      <c r="BL30" s="2">
        <v>1.0</v>
      </c>
      <c r="BM30" s="2">
        <v>1.0</v>
      </c>
      <c r="BN30" s="2">
        <v>1.0</v>
      </c>
      <c r="BO30" s="2">
        <v>1.0</v>
      </c>
      <c r="BP30" s="2">
        <v>1.0</v>
      </c>
      <c r="BQ30" s="2">
        <v>1.0</v>
      </c>
      <c r="BR30" s="2">
        <v>1.0</v>
      </c>
      <c r="BS30" s="2">
        <v>1.0</v>
      </c>
      <c r="BT30" s="2">
        <v>1.0</v>
      </c>
      <c r="BU30" s="2">
        <v>1.0</v>
      </c>
      <c r="BV30" s="2">
        <v>1.0</v>
      </c>
      <c r="BW30" s="2">
        <v>1.0</v>
      </c>
      <c r="BX30" s="2">
        <v>1.0</v>
      </c>
      <c r="BY30" s="2">
        <v>1.0</v>
      </c>
      <c r="BZ30" s="2">
        <v>1.0</v>
      </c>
      <c r="CB30" s="2"/>
      <c r="CC30" s="2"/>
      <c r="CD30" s="2"/>
      <c r="CE30" s="2"/>
      <c r="CF30" s="2"/>
      <c r="CG30" s="2"/>
      <c r="CH30" s="2"/>
      <c r="CI30" s="2"/>
      <c r="CJ30" s="2"/>
      <c r="CK30" s="2"/>
      <c r="CL30" s="2"/>
      <c r="CM30" s="2"/>
      <c r="CN30" s="2"/>
      <c r="CO30" s="2"/>
      <c r="CP30" s="2"/>
      <c r="CQ30" s="2"/>
    </row>
    <row r="31">
      <c r="D31" s="38" t="str">
        <f>IFERROR(__xludf.DUMMYFUNCTION("""COMPUTED_VALUE"""),"Trident")</f>
        <v>Trident</v>
      </c>
      <c r="E31" s="41">
        <f>IFERROR(__xludf.DUMMYFUNCTION("""COMPUTED_VALUE"""),3.0)</f>
        <v>3</v>
      </c>
      <c r="F31" s="38" t="str">
        <f>IFERROR(__xludf.DUMMYFUNCTION("""COMPUTED_VALUE"""),"4 lb.")</f>
        <v>4 lb.</v>
      </c>
      <c r="G31" s="38" t="str">
        <f>IFERROR(__xludf.DUMMYFUNCTION("""COMPUTED_VALUE"""),"Weapon")</f>
        <v>Weapon</v>
      </c>
      <c r="H31" s="41">
        <f>IFERROR(__xludf.DUMMYFUNCTION("""COMPUTED_VALUE"""),1.8599999999999999)</f>
        <v>1.86</v>
      </c>
      <c r="I31" s="41">
        <f>IFERROR(__xludf.DUMMYFUNCTION("""COMPUTED_VALUE"""),1.5)</f>
        <v>1.5</v>
      </c>
      <c r="J31" s="41">
        <f>IFERROR(__xludf.DUMMYFUNCTION("""COMPUTED_VALUE"""),2.4299999999999997)</f>
        <v>2.43</v>
      </c>
      <c r="K31" s="38"/>
      <c r="L31" s="41" t="b">
        <f>IFERROR(__xludf.DUMMYFUNCTION("""COMPUTED_VALUE"""),FALSE)</f>
        <v>0</v>
      </c>
      <c r="M31" s="41" t="b">
        <f>IFERROR(__xludf.DUMMYFUNCTION("""COMPUTED_VALUE"""),TRUE)</f>
        <v>1</v>
      </c>
      <c r="N31" s="38" t="b">
        <f>IFERROR(__xludf.DUMMYFUNCTION("""COMPUTED_VALUE"""),FALSE)</f>
        <v>0</v>
      </c>
      <c r="O31" s="38" t="b">
        <f>IFERROR(__xludf.DUMMYFUNCTION("""COMPUTED_VALUE"""),FALSE)</f>
        <v>0</v>
      </c>
      <c r="P31" s="38" t="b">
        <f>IFERROR(__xludf.DUMMYFUNCTION("""COMPUTED_VALUE"""),FALSE)</f>
        <v>0</v>
      </c>
      <c r="Q31" s="38" t="b">
        <f>IFERROR(__xludf.DUMMYFUNCTION("""COMPUTED_VALUE"""),FALSE)</f>
        <v>0</v>
      </c>
      <c r="R31" s="38" t="b">
        <f>IFERROR(__xludf.DUMMYFUNCTION("""COMPUTED_VALUE"""),FALSE)</f>
        <v>0</v>
      </c>
      <c r="S31" s="38" t="b">
        <f>IFERROR(__xludf.DUMMYFUNCTION("""COMPUTED_VALUE"""),FALSE)</f>
        <v>0</v>
      </c>
      <c r="T31" s="38" t="b">
        <f>IFERROR(__xludf.DUMMYFUNCTION("""COMPUTED_VALUE"""),FALSE)</f>
        <v>0</v>
      </c>
      <c r="U31" s="38" t="b">
        <f>IFERROR(__xludf.DUMMYFUNCTION("""COMPUTED_VALUE"""),FALSE)</f>
        <v>0</v>
      </c>
      <c r="V31" s="38" t="b">
        <f>IFERROR(__xludf.DUMMYFUNCTION("""COMPUTED_VALUE"""),FALSE)</f>
        <v>0</v>
      </c>
      <c r="W31" s="38" t="b">
        <f>IFERROR(__xludf.DUMMYFUNCTION("""COMPUTED_VALUE"""),FALSE)</f>
        <v>0</v>
      </c>
      <c r="X31" s="38" t="b">
        <f>IFERROR(__xludf.DUMMYFUNCTION("""COMPUTED_VALUE"""),FALSE)</f>
        <v>0</v>
      </c>
      <c r="Y31" s="38" t="b">
        <f>IFERROR(__xludf.DUMMYFUNCTION("""COMPUTED_VALUE"""),FALSE)</f>
        <v>0</v>
      </c>
      <c r="Z31" s="38" t="b">
        <f>IFERROR(__xludf.DUMMYFUNCTION("""COMPUTED_VALUE"""),TRUE)</f>
        <v>1</v>
      </c>
      <c r="AA31" s="38" t="b">
        <f>IFERROR(__xludf.DUMMYFUNCTION("""COMPUTED_VALUE"""),FALSE)</f>
        <v>0</v>
      </c>
      <c r="AB31" s="38" t="b">
        <f>IFERROR(__xludf.DUMMYFUNCTION("""COMPUTED_VALUE"""),FALSE)</f>
        <v>0</v>
      </c>
      <c r="AC31" s="38">
        <f>IFERROR(__xludf.DUMMYFUNCTION("""COMPUTED_VALUE"""),0.6095178851234307)</f>
        <v>0.6095178851</v>
      </c>
      <c r="BI31" s="38" t="str">
        <f>IFERROR(__xludf.DUMMYFUNCTION("""COMPUTED_VALUE"""),"Tankard")</f>
        <v>Tankard</v>
      </c>
      <c r="BJ31" s="2">
        <v>1.5</v>
      </c>
      <c r="BK31" s="2">
        <v>1.0</v>
      </c>
      <c r="BL31" s="2">
        <v>1.0</v>
      </c>
      <c r="BM31" s="2">
        <v>1.0</v>
      </c>
      <c r="BN31" s="2">
        <v>1.0</v>
      </c>
      <c r="BO31" s="2">
        <v>1.0</v>
      </c>
      <c r="BP31" s="2">
        <v>1.0</v>
      </c>
      <c r="BQ31" s="2">
        <v>1.0</v>
      </c>
      <c r="BR31" s="2">
        <v>1.0</v>
      </c>
      <c r="BS31" s="2">
        <v>1.0</v>
      </c>
      <c r="BT31" s="2">
        <v>1.0</v>
      </c>
      <c r="BU31" s="2">
        <v>1.0</v>
      </c>
      <c r="BV31" s="2">
        <v>1.0</v>
      </c>
      <c r="BW31" s="2">
        <v>1.0</v>
      </c>
      <c r="BX31" s="2">
        <v>1.0</v>
      </c>
      <c r="BY31" s="2">
        <v>1.0</v>
      </c>
      <c r="BZ31" s="2">
        <v>1.0</v>
      </c>
      <c r="CB31" s="2"/>
      <c r="CC31" s="2"/>
      <c r="CD31" s="2"/>
      <c r="CE31" s="2"/>
      <c r="CF31" s="2"/>
      <c r="CG31" s="2"/>
      <c r="CH31" s="2"/>
      <c r="CI31" s="2"/>
      <c r="CJ31" s="2"/>
      <c r="CK31" s="2"/>
      <c r="CL31" s="2"/>
      <c r="CM31" s="2"/>
      <c r="CN31" s="2"/>
      <c r="CO31" s="2"/>
      <c r="CP31" s="2"/>
      <c r="CQ31" s="2"/>
    </row>
    <row r="32">
      <c r="D32" s="38" t="str">
        <f>IFERROR(__xludf.DUMMYFUNCTION("""COMPUTED_VALUE"""),"Sickle")</f>
        <v>Sickle</v>
      </c>
      <c r="E32" s="41">
        <f>IFERROR(__xludf.DUMMYFUNCTION("""COMPUTED_VALUE"""),0.6)</f>
        <v>0.6</v>
      </c>
      <c r="F32" s="38" t="str">
        <f>IFERROR(__xludf.DUMMYFUNCTION("""COMPUTED_VALUE"""),"2 lb.")</f>
        <v>2 lb.</v>
      </c>
      <c r="G32" s="38" t="str">
        <f>IFERROR(__xludf.DUMMYFUNCTION("""COMPUTED_VALUE"""),"Weapon")</f>
        <v>Weapon</v>
      </c>
      <c r="H32" s="41">
        <f>IFERROR(__xludf.DUMMYFUNCTION("""COMPUTED_VALUE"""),0.372)</f>
        <v>0.372</v>
      </c>
      <c r="I32" s="41">
        <f>IFERROR(__xludf.DUMMYFUNCTION("""COMPUTED_VALUE"""),0.3)</f>
        <v>0.3</v>
      </c>
      <c r="J32" s="41">
        <f>IFERROR(__xludf.DUMMYFUNCTION("""COMPUTED_VALUE"""),0.486)</f>
        <v>0.486</v>
      </c>
      <c r="K32" s="38"/>
      <c r="L32" s="41" t="b">
        <f>IFERROR(__xludf.DUMMYFUNCTION("""COMPUTED_VALUE"""),FALSE)</f>
        <v>0</v>
      </c>
      <c r="M32" s="41" t="b">
        <f>IFERROR(__xludf.DUMMYFUNCTION("""COMPUTED_VALUE"""),TRUE)</f>
        <v>1</v>
      </c>
      <c r="N32" s="38" t="b">
        <f>IFERROR(__xludf.DUMMYFUNCTION("""COMPUTED_VALUE"""),TRUE)</f>
        <v>1</v>
      </c>
      <c r="O32" s="38" t="b">
        <f>IFERROR(__xludf.DUMMYFUNCTION("""COMPUTED_VALUE"""),TRUE)</f>
        <v>1</v>
      </c>
      <c r="P32" s="38" t="b">
        <f>IFERROR(__xludf.DUMMYFUNCTION("""COMPUTED_VALUE"""),FALSE)</f>
        <v>0</v>
      </c>
      <c r="Q32" s="38" t="b">
        <f>IFERROR(__xludf.DUMMYFUNCTION("""COMPUTED_VALUE"""),FALSE)</f>
        <v>0</v>
      </c>
      <c r="R32" s="38" t="b">
        <f>IFERROR(__xludf.DUMMYFUNCTION("""COMPUTED_VALUE"""),FALSE)</f>
        <v>0</v>
      </c>
      <c r="S32" s="38" t="b">
        <f>IFERROR(__xludf.DUMMYFUNCTION("""COMPUTED_VALUE"""),FALSE)</f>
        <v>0</v>
      </c>
      <c r="T32" s="38" t="b">
        <f>IFERROR(__xludf.DUMMYFUNCTION("""COMPUTED_VALUE"""),FALSE)</f>
        <v>0</v>
      </c>
      <c r="U32" s="38" t="b">
        <f>IFERROR(__xludf.DUMMYFUNCTION("""COMPUTED_VALUE"""),FALSE)</f>
        <v>0</v>
      </c>
      <c r="V32" s="38" t="b">
        <f>IFERROR(__xludf.DUMMYFUNCTION("""COMPUTED_VALUE"""),FALSE)</f>
        <v>0</v>
      </c>
      <c r="W32" s="38" t="b">
        <f>IFERROR(__xludf.DUMMYFUNCTION("""COMPUTED_VALUE"""),FALSE)</f>
        <v>0</v>
      </c>
      <c r="X32" s="38" t="b">
        <f>IFERROR(__xludf.DUMMYFUNCTION("""COMPUTED_VALUE"""),FALSE)</f>
        <v>0</v>
      </c>
      <c r="Y32" s="38" t="b">
        <f>IFERROR(__xludf.DUMMYFUNCTION("""COMPUTED_VALUE"""),FALSE)</f>
        <v>0</v>
      </c>
      <c r="Z32" s="38" t="b">
        <f>IFERROR(__xludf.DUMMYFUNCTION("""COMPUTED_VALUE"""),TRUE)</f>
        <v>1</v>
      </c>
      <c r="AA32" s="38" t="b">
        <f>IFERROR(__xludf.DUMMYFUNCTION("""COMPUTED_VALUE"""),FALSE)</f>
        <v>0</v>
      </c>
      <c r="AB32" s="38" t="b">
        <f>IFERROR(__xludf.DUMMYFUNCTION("""COMPUTED_VALUE"""),FALSE)</f>
        <v>0</v>
      </c>
      <c r="AC32" s="38">
        <f>IFERROR(__xludf.DUMMYFUNCTION("""COMPUTED_VALUE"""),0.6208223027893893)</f>
        <v>0.6208223028</v>
      </c>
      <c r="BI32" s="38" t="str">
        <f>IFERROR(__xludf.DUMMYFUNCTION("""COMPUTED_VALUE"""),"Vial")</f>
        <v>Vial</v>
      </c>
      <c r="BJ32" s="2">
        <v>1.5</v>
      </c>
      <c r="BK32" s="2">
        <v>1.0</v>
      </c>
      <c r="BL32" s="2">
        <v>1.0</v>
      </c>
      <c r="BM32" s="2">
        <v>1.0</v>
      </c>
      <c r="BN32" s="2">
        <v>1.0</v>
      </c>
      <c r="BO32" s="2">
        <v>1.0</v>
      </c>
      <c r="BP32" s="2">
        <v>1.0</v>
      </c>
      <c r="BQ32" s="2">
        <v>1.0</v>
      </c>
      <c r="BR32" s="2">
        <v>1.0</v>
      </c>
      <c r="BS32" s="2">
        <v>1.0</v>
      </c>
      <c r="BT32" s="2">
        <v>1.0</v>
      </c>
      <c r="BU32" s="2">
        <v>1.0</v>
      </c>
      <c r="BV32" s="2">
        <v>1.0</v>
      </c>
      <c r="BW32" s="2">
        <v>1.0</v>
      </c>
      <c r="BX32" s="2">
        <v>1.0</v>
      </c>
      <c r="BY32" s="2">
        <v>1.0</v>
      </c>
      <c r="BZ32" s="2">
        <v>1.0</v>
      </c>
      <c r="CB32" s="2"/>
      <c r="CC32" s="2"/>
      <c r="CD32" s="2"/>
      <c r="CE32" s="2"/>
      <c r="CF32" s="2"/>
      <c r="CG32" s="2"/>
      <c r="CH32" s="2"/>
      <c r="CI32" s="2"/>
      <c r="CJ32" s="2"/>
      <c r="CK32" s="2"/>
      <c r="CL32" s="2"/>
      <c r="CM32" s="2"/>
      <c r="CN32" s="2"/>
      <c r="CO32" s="2"/>
      <c r="CP32" s="2"/>
      <c r="CQ32" s="2"/>
    </row>
    <row r="33">
      <c r="D33" s="38" t="str">
        <f>IFERROR(__xludf.DUMMYFUNCTION("""COMPUTED_VALUE"""),"Javelin")</f>
        <v>Javelin</v>
      </c>
      <c r="E33" s="41">
        <f>IFERROR(__xludf.DUMMYFUNCTION("""COMPUTED_VALUE"""),0.3)</f>
        <v>0.3</v>
      </c>
      <c r="F33" s="38" t="str">
        <f>IFERROR(__xludf.DUMMYFUNCTION("""COMPUTED_VALUE"""),"2 lb.")</f>
        <v>2 lb.</v>
      </c>
      <c r="G33" s="38" t="str">
        <f>IFERROR(__xludf.DUMMYFUNCTION("""COMPUTED_VALUE"""),"Weapon")</f>
        <v>Weapon</v>
      </c>
      <c r="H33" s="41">
        <f>IFERROR(__xludf.DUMMYFUNCTION("""COMPUTED_VALUE"""),0.186)</f>
        <v>0.186</v>
      </c>
      <c r="I33" s="41">
        <f>IFERROR(__xludf.DUMMYFUNCTION("""COMPUTED_VALUE"""),0.15)</f>
        <v>0.15</v>
      </c>
      <c r="J33" s="41">
        <f>IFERROR(__xludf.DUMMYFUNCTION("""COMPUTED_VALUE"""),0.243)</f>
        <v>0.243</v>
      </c>
      <c r="K33" s="38"/>
      <c r="L33" s="41" t="b">
        <f>IFERROR(__xludf.DUMMYFUNCTION("""COMPUTED_VALUE"""),FALSE)</f>
        <v>0</v>
      </c>
      <c r="M33" s="41" t="b">
        <f>IFERROR(__xludf.DUMMYFUNCTION("""COMPUTED_VALUE"""),TRUE)</f>
        <v>1</v>
      </c>
      <c r="N33" s="38" t="b">
        <f>IFERROR(__xludf.DUMMYFUNCTION("""COMPUTED_VALUE"""),FALSE)</f>
        <v>0</v>
      </c>
      <c r="O33" s="38" t="b">
        <f>IFERROR(__xludf.DUMMYFUNCTION("""COMPUTED_VALUE"""),FALSE)</f>
        <v>0</v>
      </c>
      <c r="P33" s="38" t="b">
        <f>IFERROR(__xludf.DUMMYFUNCTION("""COMPUTED_VALUE"""),FALSE)</f>
        <v>0</v>
      </c>
      <c r="Q33" s="38" t="b">
        <f>IFERROR(__xludf.DUMMYFUNCTION("""COMPUTED_VALUE"""),FALSE)</f>
        <v>0</v>
      </c>
      <c r="R33" s="38" t="b">
        <f>IFERROR(__xludf.DUMMYFUNCTION("""COMPUTED_VALUE"""),FALSE)</f>
        <v>0</v>
      </c>
      <c r="S33" s="38" t="b">
        <f>IFERROR(__xludf.DUMMYFUNCTION("""COMPUTED_VALUE"""),FALSE)</f>
        <v>0</v>
      </c>
      <c r="T33" s="38" t="b">
        <f>IFERROR(__xludf.DUMMYFUNCTION("""COMPUTED_VALUE"""),FALSE)</f>
        <v>0</v>
      </c>
      <c r="U33" s="38" t="b">
        <f>IFERROR(__xludf.DUMMYFUNCTION("""COMPUTED_VALUE"""),FALSE)</f>
        <v>0</v>
      </c>
      <c r="V33" s="38" t="b">
        <f>IFERROR(__xludf.DUMMYFUNCTION("""COMPUTED_VALUE"""),FALSE)</f>
        <v>0</v>
      </c>
      <c r="W33" s="38" t="b">
        <f>IFERROR(__xludf.DUMMYFUNCTION("""COMPUTED_VALUE"""),FALSE)</f>
        <v>0</v>
      </c>
      <c r="X33" s="38" t="b">
        <f>IFERROR(__xludf.DUMMYFUNCTION("""COMPUTED_VALUE"""),FALSE)</f>
        <v>0</v>
      </c>
      <c r="Y33" s="38" t="b">
        <f>IFERROR(__xludf.DUMMYFUNCTION("""COMPUTED_VALUE"""),FALSE)</f>
        <v>0</v>
      </c>
      <c r="Z33" s="38" t="b">
        <f>IFERROR(__xludf.DUMMYFUNCTION("""COMPUTED_VALUE"""),TRUE)</f>
        <v>1</v>
      </c>
      <c r="AA33" s="38" t="b">
        <f>IFERROR(__xludf.DUMMYFUNCTION("""COMPUTED_VALUE"""),FALSE)</f>
        <v>0</v>
      </c>
      <c r="AB33" s="38" t="b">
        <f>IFERROR(__xludf.DUMMYFUNCTION("""COMPUTED_VALUE"""),FALSE)</f>
        <v>0</v>
      </c>
      <c r="AC33" s="38">
        <f>IFERROR(__xludf.DUMMYFUNCTION("""COMPUTED_VALUE"""),0.6252933744180307)</f>
        <v>0.6252933744</v>
      </c>
      <c r="BI33" s="38" t="str">
        <f>IFERROR(__xludf.DUMMYFUNCTION("""COMPUTED_VALUE"""),"Costume")</f>
        <v>Costume</v>
      </c>
      <c r="BJ33" s="2">
        <v>1.5</v>
      </c>
      <c r="BK33" s="2">
        <v>1.0</v>
      </c>
      <c r="BL33" s="2">
        <v>1.0</v>
      </c>
      <c r="BM33" s="2">
        <v>1.0</v>
      </c>
      <c r="BN33" s="2">
        <v>1.0</v>
      </c>
      <c r="BO33" s="2">
        <v>1.0</v>
      </c>
      <c r="BP33" s="2">
        <v>1.0</v>
      </c>
      <c r="BQ33" s="2">
        <v>1.0</v>
      </c>
      <c r="BR33" s="2">
        <v>1.0</v>
      </c>
      <c r="BS33" s="2">
        <v>1.0</v>
      </c>
      <c r="BT33" s="2">
        <v>1.0</v>
      </c>
      <c r="BU33" s="2">
        <v>1.0</v>
      </c>
      <c r="BV33" s="2">
        <v>1.0</v>
      </c>
      <c r="BW33" s="2">
        <v>1.0</v>
      </c>
      <c r="BX33" s="2">
        <v>1.0</v>
      </c>
      <c r="BY33" s="2">
        <v>1.0</v>
      </c>
      <c r="BZ33" s="2">
        <v>1.0</v>
      </c>
      <c r="CB33" s="2"/>
      <c r="CC33" s="2"/>
      <c r="CD33" s="2"/>
      <c r="CE33" s="2"/>
      <c r="CF33" s="2"/>
      <c r="CG33" s="2"/>
      <c r="CH33" s="2"/>
      <c r="CI33" s="2"/>
      <c r="CJ33" s="2"/>
      <c r="CK33" s="2"/>
      <c r="CL33" s="2"/>
      <c r="CM33" s="2"/>
      <c r="CN33" s="2"/>
      <c r="CO33" s="2"/>
      <c r="CP33" s="2"/>
      <c r="CQ33" s="2"/>
    </row>
    <row r="34">
      <c r="D34" s="38" t="str">
        <f>IFERROR(__xludf.DUMMYFUNCTION("""COMPUTED_VALUE"""),"Hammer")</f>
        <v>Hammer</v>
      </c>
      <c r="E34" s="41">
        <f>IFERROR(__xludf.DUMMYFUNCTION("""COMPUTED_VALUE"""),1.5)</f>
        <v>1.5</v>
      </c>
      <c r="F34" s="38" t="str">
        <f>IFERROR(__xludf.DUMMYFUNCTION("""COMPUTED_VALUE"""),"3 lb.")</f>
        <v>3 lb.</v>
      </c>
      <c r="G34" s="38" t="str">
        <f>IFERROR(__xludf.DUMMYFUNCTION("""COMPUTED_VALUE"""),"Tool")</f>
        <v>Tool</v>
      </c>
      <c r="H34" s="41">
        <f>IFERROR(__xludf.DUMMYFUNCTION("""COMPUTED_VALUE"""),0.9299999999999999)</f>
        <v>0.93</v>
      </c>
      <c r="I34" s="41">
        <f>IFERROR(__xludf.DUMMYFUNCTION("""COMPUTED_VALUE"""),0.75)</f>
        <v>0.75</v>
      </c>
      <c r="J34" s="41">
        <f>IFERROR(__xludf.DUMMYFUNCTION("""COMPUTED_VALUE"""),1.2149999999999999)</f>
        <v>1.215</v>
      </c>
      <c r="K34" s="38"/>
      <c r="L34" s="41" t="b">
        <f>IFERROR(__xludf.DUMMYFUNCTION("""COMPUTED_VALUE"""),FALSE)</f>
        <v>0</v>
      </c>
      <c r="M34" s="41" t="b">
        <f>IFERROR(__xludf.DUMMYFUNCTION("""COMPUTED_VALUE"""),TRUE)</f>
        <v>1</v>
      </c>
      <c r="N34" s="38" t="b">
        <f>IFERROR(__xludf.DUMMYFUNCTION("""COMPUTED_VALUE"""),TRUE)</f>
        <v>1</v>
      </c>
      <c r="O34" s="38" t="b">
        <f>IFERROR(__xludf.DUMMYFUNCTION("""COMPUTED_VALUE"""),FALSE)</f>
        <v>0</v>
      </c>
      <c r="P34" s="38" t="b">
        <f>IFERROR(__xludf.DUMMYFUNCTION("""COMPUTED_VALUE"""),FALSE)</f>
        <v>0</v>
      </c>
      <c r="Q34" s="38" t="b">
        <f>IFERROR(__xludf.DUMMYFUNCTION("""COMPUTED_VALUE"""),FALSE)</f>
        <v>0</v>
      </c>
      <c r="R34" s="38" t="b">
        <f>IFERROR(__xludf.DUMMYFUNCTION("""COMPUTED_VALUE"""),FALSE)</f>
        <v>0</v>
      </c>
      <c r="S34" s="38" t="b">
        <f>IFERROR(__xludf.DUMMYFUNCTION("""COMPUTED_VALUE"""),FALSE)</f>
        <v>0</v>
      </c>
      <c r="T34" s="38" t="b">
        <f>IFERROR(__xludf.DUMMYFUNCTION("""COMPUTED_VALUE"""),FALSE)</f>
        <v>0</v>
      </c>
      <c r="U34" s="38" t="b">
        <f>IFERROR(__xludf.DUMMYFUNCTION("""COMPUTED_VALUE"""),FALSE)</f>
        <v>0</v>
      </c>
      <c r="V34" s="38" t="b">
        <f>IFERROR(__xludf.DUMMYFUNCTION("""COMPUTED_VALUE"""),FALSE)</f>
        <v>0</v>
      </c>
      <c r="W34" s="38" t="b">
        <f>IFERROR(__xludf.DUMMYFUNCTION("""COMPUTED_VALUE"""),FALSE)</f>
        <v>0</v>
      </c>
      <c r="X34" s="38" t="b">
        <f>IFERROR(__xludf.DUMMYFUNCTION("""COMPUTED_VALUE"""),TRUE)</f>
        <v>1</v>
      </c>
      <c r="Y34" s="38" t="b">
        <f>IFERROR(__xludf.DUMMYFUNCTION("""COMPUTED_VALUE"""),FALSE)</f>
        <v>0</v>
      </c>
      <c r="Z34" s="38" t="b">
        <f>IFERROR(__xludf.DUMMYFUNCTION("""COMPUTED_VALUE"""),TRUE)</f>
        <v>1</v>
      </c>
      <c r="AA34" s="38" t="b">
        <f>IFERROR(__xludf.DUMMYFUNCTION("""COMPUTED_VALUE"""),FALSE)</f>
        <v>0</v>
      </c>
      <c r="AB34" s="38" t="b">
        <f>IFERROR(__xludf.DUMMYFUNCTION("""COMPUTED_VALUE"""),FALSE)</f>
        <v>0</v>
      </c>
      <c r="AC34" s="38">
        <f>IFERROR(__xludf.DUMMYFUNCTION("""COMPUTED_VALUE"""),0.6272272700714032)</f>
        <v>0.6272272701</v>
      </c>
      <c r="BI34" s="38" t="str">
        <f>IFERROR(__xludf.DUMMYFUNCTION("""COMPUTED_VALUE"""),"Fine Clothes")</f>
        <v>Fine Clothes</v>
      </c>
      <c r="BJ34" s="2">
        <v>0.5</v>
      </c>
      <c r="BK34" s="2">
        <v>1.0</v>
      </c>
      <c r="BL34" s="2">
        <v>1.0</v>
      </c>
      <c r="BM34" s="2">
        <v>1.0</v>
      </c>
      <c r="BN34" s="2">
        <v>1.0</v>
      </c>
      <c r="BO34" s="2">
        <v>1.0</v>
      </c>
      <c r="BP34" s="2">
        <v>1.0</v>
      </c>
      <c r="BQ34" s="2">
        <v>1.0</v>
      </c>
      <c r="BR34" s="2">
        <v>1.0</v>
      </c>
      <c r="BS34" s="2">
        <v>1.0</v>
      </c>
      <c r="BT34" s="2">
        <v>1.0</v>
      </c>
      <c r="BU34" s="2">
        <v>1.0</v>
      </c>
      <c r="BV34" s="2">
        <v>1.0</v>
      </c>
      <c r="BW34" s="2">
        <v>1.0</v>
      </c>
      <c r="BX34" s="2">
        <v>1.0</v>
      </c>
      <c r="BY34" s="2">
        <v>1.0</v>
      </c>
      <c r="BZ34" s="2">
        <v>1.0</v>
      </c>
      <c r="CB34" s="2"/>
      <c r="CC34" s="2"/>
      <c r="CD34" s="2"/>
      <c r="CE34" s="2"/>
      <c r="CF34" s="2"/>
      <c r="CG34" s="2"/>
      <c r="CH34" s="2"/>
      <c r="CI34" s="2"/>
      <c r="CJ34" s="2"/>
      <c r="CK34" s="2"/>
      <c r="CL34" s="2"/>
      <c r="CM34" s="2"/>
      <c r="CN34" s="2"/>
      <c r="CO34" s="2"/>
      <c r="CP34" s="2"/>
      <c r="CQ34" s="2"/>
    </row>
    <row r="35">
      <c r="D35" s="38" t="str">
        <f>IFERROR(__xludf.DUMMYFUNCTION("""COMPUTED_VALUE"""),"Flask")</f>
        <v>Flask</v>
      </c>
      <c r="E35" s="41">
        <f>IFERROR(__xludf.DUMMYFUNCTION("""COMPUTED_VALUE"""),0.02)</f>
        <v>0.02</v>
      </c>
      <c r="F35" s="38" t="str">
        <f>IFERROR(__xludf.DUMMYFUNCTION("""COMPUTED_VALUE"""),"1 lb.")</f>
        <v>1 lb.</v>
      </c>
      <c r="G35" s="38" t="str">
        <f>IFERROR(__xludf.DUMMYFUNCTION("""COMPUTED_VALUE"""),"Container")</f>
        <v>Container</v>
      </c>
      <c r="H35" s="41">
        <f>IFERROR(__xludf.DUMMYFUNCTION("""COMPUTED_VALUE"""),0.0124)</f>
        <v>0.0124</v>
      </c>
      <c r="I35" s="41">
        <f>IFERROR(__xludf.DUMMYFUNCTION("""COMPUTED_VALUE"""),0.01)</f>
        <v>0.01</v>
      </c>
      <c r="J35" s="41">
        <f>IFERROR(__xludf.DUMMYFUNCTION("""COMPUTED_VALUE"""),0.0162)</f>
        <v>0.0162</v>
      </c>
      <c r="K35" s="38"/>
      <c r="L35" s="41" t="b">
        <f>IFERROR(__xludf.DUMMYFUNCTION("""COMPUTED_VALUE"""),FALSE)</f>
        <v>0</v>
      </c>
      <c r="M35" s="41" t="b">
        <f>IFERROR(__xludf.DUMMYFUNCTION("""COMPUTED_VALUE"""),TRUE)</f>
        <v>1</v>
      </c>
      <c r="N35" s="38" t="b">
        <f>IFERROR(__xludf.DUMMYFUNCTION("""COMPUTED_VALUE"""),TRUE)</f>
        <v>1</v>
      </c>
      <c r="O35" s="38" t="b">
        <f>IFERROR(__xludf.DUMMYFUNCTION("""COMPUTED_VALUE"""),FALSE)</f>
        <v>0</v>
      </c>
      <c r="P35" s="38" t="b">
        <f>IFERROR(__xludf.DUMMYFUNCTION("""COMPUTED_VALUE"""),FALSE)</f>
        <v>0</v>
      </c>
      <c r="Q35" s="38" t="b">
        <f>IFERROR(__xludf.DUMMYFUNCTION("""COMPUTED_VALUE"""),TRUE)</f>
        <v>1</v>
      </c>
      <c r="R35" s="38" t="b">
        <f>IFERROR(__xludf.DUMMYFUNCTION("""COMPUTED_VALUE"""),FALSE)</f>
        <v>0</v>
      </c>
      <c r="S35" s="38" t="b">
        <f>IFERROR(__xludf.DUMMYFUNCTION("""COMPUTED_VALUE"""),FALSE)</f>
        <v>0</v>
      </c>
      <c r="T35" s="38" t="b">
        <f>IFERROR(__xludf.DUMMYFUNCTION("""COMPUTED_VALUE"""),FALSE)</f>
        <v>0</v>
      </c>
      <c r="U35" s="38" t="b">
        <f>IFERROR(__xludf.DUMMYFUNCTION("""COMPUTED_VALUE"""),FALSE)</f>
        <v>0</v>
      </c>
      <c r="V35" s="38" t="b">
        <f>IFERROR(__xludf.DUMMYFUNCTION("""COMPUTED_VALUE"""),FALSE)</f>
        <v>0</v>
      </c>
      <c r="W35" s="38" t="b">
        <f>IFERROR(__xludf.DUMMYFUNCTION("""COMPUTED_VALUE"""),FALSE)</f>
        <v>0</v>
      </c>
      <c r="X35" s="38" t="b">
        <f>IFERROR(__xludf.DUMMYFUNCTION("""COMPUTED_VALUE"""),FALSE)</f>
        <v>0</v>
      </c>
      <c r="Y35" s="38" t="b">
        <f>IFERROR(__xludf.DUMMYFUNCTION("""COMPUTED_VALUE"""),TRUE)</f>
        <v>1</v>
      </c>
      <c r="Z35" s="38" t="b">
        <f>IFERROR(__xludf.DUMMYFUNCTION("""COMPUTED_VALUE"""),TRUE)</f>
        <v>1</v>
      </c>
      <c r="AA35" s="38" t="b">
        <f>IFERROR(__xludf.DUMMYFUNCTION("""COMPUTED_VALUE"""),FALSE)</f>
        <v>0</v>
      </c>
      <c r="AB35" s="38" t="b">
        <f>IFERROR(__xludf.DUMMYFUNCTION("""COMPUTED_VALUE"""),FALSE)</f>
        <v>0</v>
      </c>
      <c r="AC35" s="38">
        <f>IFERROR(__xludf.DUMMYFUNCTION("""COMPUTED_VALUE"""),0.6574233711468311)</f>
        <v>0.6574233711</v>
      </c>
      <c r="BI35" s="38" t="str">
        <f>IFERROR(__xludf.DUMMYFUNCTION("""COMPUTED_VALUE"""),"Robes")</f>
        <v>Robes</v>
      </c>
      <c r="BJ35" s="2">
        <v>1.5</v>
      </c>
      <c r="BK35" s="2">
        <v>1.0</v>
      </c>
      <c r="BL35" s="2">
        <v>1.0</v>
      </c>
      <c r="BM35" s="2">
        <v>1.0</v>
      </c>
      <c r="BN35" s="2">
        <v>1.0</v>
      </c>
      <c r="BO35" s="2">
        <v>1.0</v>
      </c>
      <c r="BP35" s="2">
        <v>1.0</v>
      </c>
      <c r="BQ35" s="2">
        <v>1.0</v>
      </c>
      <c r="BR35" s="2">
        <v>1.0</v>
      </c>
      <c r="BS35" s="2">
        <v>1.0</v>
      </c>
      <c r="BT35" s="2">
        <v>1.0</v>
      </c>
      <c r="BU35" s="2">
        <v>1.0</v>
      </c>
      <c r="BV35" s="2">
        <v>1.0</v>
      </c>
      <c r="BW35" s="2">
        <v>1.0</v>
      </c>
      <c r="BX35" s="2">
        <v>1.0</v>
      </c>
      <c r="BY35" s="2">
        <v>1.0</v>
      </c>
      <c r="BZ35" s="2">
        <v>1.0</v>
      </c>
      <c r="CB35" s="2"/>
      <c r="CC35" s="2"/>
      <c r="CD35" s="2"/>
      <c r="CE35" s="2"/>
      <c r="CF35" s="2"/>
      <c r="CG35" s="2"/>
      <c r="CH35" s="2"/>
      <c r="CI35" s="2"/>
      <c r="CJ35" s="2"/>
      <c r="CK35" s="2"/>
      <c r="CL35" s="2"/>
      <c r="CM35" s="2"/>
      <c r="CN35" s="2"/>
      <c r="CO35" s="2"/>
      <c r="CP35" s="2"/>
      <c r="CQ35" s="2"/>
    </row>
    <row r="36">
      <c r="D36" s="38" t="str">
        <f>IFERROR(__xludf.DUMMYFUNCTION("""COMPUTED_VALUE"""),"Caltrops")</f>
        <v>Caltrops</v>
      </c>
      <c r="E36" s="41">
        <f>IFERROR(__xludf.DUMMYFUNCTION("""COMPUTED_VALUE"""),0.6)</f>
        <v>0.6</v>
      </c>
      <c r="F36" s="38" t="str">
        <f>IFERROR(__xludf.DUMMYFUNCTION("""COMPUTED_VALUE"""),"2 lb. bag of 20")</f>
        <v>2 lb. bag of 20</v>
      </c>
      <c r="G36" s="38" t="str">
        <f>IFERROR(__xludf.DUMMYFUNCTION("""COMPUTED_VALUE"""),"Weapon")</f>
        <v>Weapon</v>
      </c>
      <c r="H36" s="41">
        <f>IFERROR(__xludf.DUMMYFUNCTION("""COMPUTED_VALUE"""),0.372)</f>
        <v>0.372</v>
      </c>
      <c r="I36" s="41">
        <f>IFERROR(__xludf.DUMMYFUNCTION("""COMPUTED_VALUE"""),0.3)</f>
        <v>0.3</v>
      </c>
      <c r="J36" s="41">
        <f>IFERROR(__xludf.DUMMYFUNCTION("""COMPUTED_VALUE"""),0.486)</f>
        <v>0.486</v>
      </c>
      <c r="K36" s="38"/>
      <c r="L36" s="41" t="b">
        <f>IFERROR(__xludf.DUMMYFUNCTION("""COMPUTED_VALUE"""),FALSE)</f>
        <v>0</v>
      </c>
      <c r="M36" s="41" t="b">
        <f>IFERROR(__xludf.DUMMYFUNCTION("""COMPUTED_VALUE"""),TRUE)</f>
        <v>1</v>
      </c>
      <c r="N36" s="38" t="b">
        <f>IFERROR(__xludf.DUMMYFUNCTION("""COMPUTED_VALUE"""),FALSE)</f>
        <v>0</v>
      </c>
      <c r="O36" s="38" t="b">
        <f>IFERROR(__xludf.DUMMYFUNCTION("""COMPUTED_VALUE"""),FALSE)</f>
        <v>0</v>
      </c>
      <c r="P36" s="38" t="b">
        <f>IFERROR(__xludf.DUMMYFUNCTION("""COMPUTED_VALUE"""),FALSE)</f>
        <v>0</v>
      </c>
      <c r="Q36" s="38" t="b">
        <f>IFERROR(__xludf.DUMMYFUNCTION("""COMPUTED_VALUE"""),FALSE)</f>
        <v>0</v>
      </c>
      <c r="R36" s="38" t="b">
        <f>IFERROR(__xludf.DUMMYFUNCTION("""COMPUTED_VALUE"""),FALSE)</f>
        <v>0</v>
      </c>
      <c r="S36" s="38" t="b">
        <f>IFERROR(__xludf.DUMMYFUNCTION("""COMPUTED_VALUE"""),FALSE)</f>
        <v>0</v>
      </c>
      <c r="T36" s="38" t="b">
        <f>IFERROR(__xludf.DUMMYFUNCTION("""COMPUTED_VALUE"""),FALSE)</f>
        <v>0</v>
      </c>
      <c r="U36" s="38" t="b">
        <f>IFERROR(__xludf.DUMMYFUNCTION("""COMPUTED_VALUE"""),FALSE)</f>
        <v>0</v>
      </c>
      <c r="V36" s="38" t="b">
        <f>IFERROR(__xludf.DUMMYFUNCTION("""COMPUTED_VALUE"""),FALSE)</f>
        <v>0</v>
      </c>
      <c r="W36" s="38" t="b">
        <f>IFERROR(__xludf.DUMMYFUNCTION("""COMPUTED_VALUE"""),FALSE)</f>
        <v>0</v>
      </c>
      <c r="X36" s="38" t="b">
        <f>IFERROR(__xludf.DUMMYFUNCTION("""COMPUTED_VALUE"""),FALSE)</f>
        <v>0</v>
      </c>
      <c r="Y36" s="38" t="b">
        <f>IFERROR(__xludf.DUMMYFUNCTION("""COMPUTED_VALUE"""),FALSE)</f>
        <v>0</v>
      </c>
      <c r="Z36" s="38" t="b">
        <f>IFERROR(__xludf.DUMMYFUNCTION("""COMPUTED_VALUE"""),TRUE)</f>
        <v>1</v>
      </c>
      <c r="AA36" s="38" t="b">
        <f>IFERROR(__xludf.DUMMYFUNCTION("""COMPUTED_VALUE"""),FALSE)</f>
        <v>0</v>
      </c>
      <c r="AB36" s="38" t="b">
        <f>IFERROR(__xludf.DUMMYFUNCTION("""COMPUTED_VALUE"""),FALSE)</f>
        <v>0</v>
      </c>
      <c r="AC36" s="38">
        <f>IFERROR(__xludf.DUMMYFUNCTION("""COMPUTED_VALUE"""),0.6855505933911319)</f>
        <v>0.6855505934</v>
      </c>
      <c r="BI36" s="38" t="str">
        <f>IFERROR(__xludf.DUMMYFUNCTION("""COMPUTED_VALUE"""),"Traveller's Clothes")</f>
        <v>Traveller's Clothes</v>
      </c>
      <c r="BJ36" s="2">
        <v>1.5</v>
      </c>
      <c r="BK36" s="2">
        <v>1.0</v>
      </c>
      <c r="BL36" s="2">
        <v>1.0</v>
      </c>
      <c r="BM36" s="2">
        <v>1.0</v>
      </c>
      <c r="BN36" s="2">
        <v>1.0</v>
      </c>
      <c r="BO36" s="2">
        <v>1.0</v>
      </c>
      <c r="BP36" s="2">
        <v>1.0</v>
      </c>
      <c r="BQ36" s="2">
        <v>1.0</v>
      </c>
      <c r="BR36" s="2">
        <v>1.0</v>
      </c>
      <c r="BS36" s="2">
        <v>1.0</v>
      </c>
      <c r="BT36" s="2">
        <v>1.0</v>
      </c>
      <c r="BU36" s="2">
        <v>1.0</v>
      </c>
      <c r="BV36" s="2">
        <v>1.0</v>
      </c>
      <c r="BW36" s="2">
        <v>1.0</v>
      </c>
      <c r="BX36" s="2">
        <v>1.0</v>
      </c>
      <c r="BY36" s="2">
        <v>1.0</v>
      </c>
      <c r="BZ36" s="2">
        <v>1.0</v>
      </c>
      <c r="CB36" s="2"/>
      <c r="CC36" s="2"/>
      <c r="CD36" s="2"/>
      <c r="CE36" s="2"/>
      <c r="CF36" s="2"/>
      <c r="CG36" s="2"/>
      <c r="CH36" s="2"/>
      <c r="CI36" s="2"/>
      <c r="CJ36" s="2"/>
      <c r="CK36" s="2"/>
      <c r="CL36" s="2"/>
      <c r="CM36" s="2"/>
      <c r="CN36" s="2"/>
      <c r="CO36" s="2"/>
      <c r="CP36" s="2"/>
      <c r="CQ36" s="2"/>
    </row>
    <row r="37">
      <c r="D37" s="38" t="str">
        <f>IFERROR(__xludf.DUMMYFUNCTION("""COMPUTED_VALUE"""),"Greatsword")</f>
        <v>Greatsword</v>
      </c>
      <c r="E37" s="41">
        <f>IFERROR(__xludf.DUMMYFUNCTION("""COMPUTED_VALUE"""),30.0)</f>
        <v>30</v>
      </c>
      <c r="F37" s="38" t="str">
        <f>IFERROR(__xludf.DUMMYFUNCTION("""COMPUTED_VALUE"""),"6 lb.")</f>
        <v>6 lb.</v>
      </c>
      <c r="G37" s="38" t="str">
        <f>IFERROR(__xludf.DUMMYFUNCTION("""COMPUTED_VALUE"""),"Weapon")</f>
        <v>Weapon</v>
      </c>
      <c r="H37" s="41">
        <f>IFERROR(__xludf.DUMMYFUNCTION("""COMPUTED_VALUE"""),24.599999999999998)</f>
        <v>24.6</v>
      </c>
      <c r="I37" s="41">
        <f>IFERROR(__xludf.DUMMYFUNCTION("""COMPUTED_VALUE"""),15.0)</f>
        <v>15</v>
      </c>
      <c r="J37" s="41">
        <f>IFERROR(__xludf.DUMMYFUNCTION("""COMPUTED_VALUE"""),27.299999999999997)</f>
        <v>27.3</v>
      </c>
      <c r="K37" s="38"/>
      <c r="L37" s="41" t="b">
        <f>IFERROR(__xludf.DUMMYFUNCTION("""COMPUTED_VALUE"""),FALSE)</f>
        <v>0</v>
      </c>
      <c r="M37" s="41" t="b">
        <f>IFERROR(__xludf.DUMMYFUNCTION("""COMPUTED_VALUE"""),TRUE)</f>
        <v>1</v>
      </c>
      <c r="N37" s="38" t="b">
        <f>IFERROR(__xludf.DUMMYFUNCTION("""COMPUTED_VALUE"""),FALSE)</f>
        <v>0</v>
      </c>
      <c r="O37" s="38" t="b">
        <f>IFERROR(__xludf.DUMMYFUNCTION("""COMPUTED_VALUE"""),FALSE)</f>
        <v>0</v>
      </c>
      <c r="P37" s="38" t="b">
        <f>IFERROR(__xludf.DUMMYFUNCTION("""COMPUTED_VALUE"""),FALSE)</f>
        <v>0</v>
      </c>
      <c r="Q37" s="38" t="b">
        <f>IFERROR(__xludf.DUMMYFUNCTION("""COMPUTED_VALUE"""),FALSE)</f>
        <v>0</v>
      </c>
      <c r="R37" s="38" t="b">
        <f>IFERROR(__xludf.DUMMYFUNCTION("""COMPUTED_VALUE"""),FALSE)</f>
        <v>0</v>
      </c>
      <c r="S37" s="38" t="b">
        <f>IFERROR(__xludf.DUMMYFUNCTION("""COMPUTED_VALUE"""),FALSE)</f>
        <v>0</v>
      </c>
      <c r="T37" s="38" t="b">
        <f>IFERROR(__xludf.DUMMYFUNCTION("""COMPUTED_VALUE"""),FALSE)</f>
        <v>0</v>
      </c>
      <c r="U37" s="38" t="b">
        <f>IFERROR(__xludf.DUMMYFUNCTION("""COMPUTED_VALUE"""),FALSE)</f>
        <v>0</v>
      </c>
      <c r="V37" s="38" t="b">
        <f>IFERROR(__xludf.DUMMYFUNCTION("""COMPUTED_VALUE"""),FALSE)</f>
        <v>0</v>
      </c>
      <c r="W37" s="38" t="b">
        <f>IFERROR(__xludf.DUMMYFUNCTION("""COMPUTED_VALUE"""),FALSE)</f>
        <v>0</v>
      </c>
      <c r="X37" s="38" t="b">
        <f>IFERROR(__xludf.DUMMYFUNCTION("""COMPUTED_VALUE"""),FALSE)</f>
        <v>0</v>
      </c>
      <c r="Y37" s="38" t="b">
        <f>IFERROR(__xludf.DUMMYFUNCTION("""COMPUTED_VALUE"""),FALSE)</f>
        <v>0</v>
      </c>
      <c r="Z37" s="38" t="b">
        <f>IFERROR(__xludf.DUMMYFUNCTION("""COMPUTED_VALUE"""),TRUE)</f>
        <v>1</v>
      </c>
      <c r="AA37" s="38" t="b">
        <f>IFERROR(__xludf.DUMMYFUNCTION("""COMPUTED_VALUE"""),FALSE)</f>
        <v>0</v>
      </c>
      <c r="AB37" s="38" t="b">
        <f>IFERROR(__xludf.DUMMYFUNCTION("""COMPUTED_VALUE"""),FALSE)</f>
        <v>0</v>
      </c>
      <c r="AC37" s="38">
        <f>IFERROR(__xludf.DUMMYFUNCTION("""COMPUTED_VALUE"""),0.6985688855953727)</f>
        <v>0.6985688856</v>
      </c>
      <c r="BI37" s="41" t="str">
        <f>IFERROR(__xludf.DUMMYFUNCTION("""COMPUTED_VALUE"""),"Wheat")</f>
        <v>Wheat</v>
      </c>
      <c r="BJ37" s="2">
        <v>1.5</v>
      </c>
      <c r="BK37" s="2">
        <v>1.0</v>
      </c>
      <c r="BL37" s="2">
        <v>1.0</v>
      </c>
      <c r="BM37" s="2">
        <v>1.0</v>
      </c>
      <c r="BN37" s="2">
        <v>1.0</v>
      </c>
      <c r="BO37" s="2">
        <v>1.0</v>
      </c>
      <c r="BP37" s="2">
        <v>1.0</v>
      </c>
      <c r="BQ37" s="2">
        <v>1.0</v>
      </c>
      <c r="BR37" s="2">
        <v>1.0</v>
      </c>
      <c r="BS37" s="2">
        <v>1.0</v>
      </c>
      <c r="BT37" s="2">
        <v>1.0</v>
      </c>
      <c r="BU37" s="2">
        <v>1.0</v>
      </c>
      <c r="BV37" s="2">
        <v>1.0</v>
      </c>
      <c r="BW37" s="2">
        <v>1.0</v>
      </c>
      <c r="BX37" s="2">
        <v>1.0</v>
      </c>
      <c r="BY37" s="2">
        <v>1.0</v>
      </c>
      <c r="BZ37" s="2">
        <v>1.0</v>
      </c>
      <c r="CB37" s="2"/>
      <c r="CC37" s="2"/>
      <c r="CD37" s="2"/>
      <c r="CE37" s="2"/>
      <c r="CF37" s="2"/>
      <c r="CG37" s="2"/>
      <c r="CH37" s="2"/>
      <c r="CI37" s="2"/>
      <c r="CJ37" s="2"/>
      <c r="CK37" s="2"/>
      <c r="CL37" s="2"/>
      <c r="CM37" s="2"/>
      <c r="CN37" s="2"/>
      <c r="CO37" s="2"/>
      <c r="CP37" s="2"/>
      <c r="CQ37" s="2"/>
    </row>
    <row r="38">
      <c r="D38" s="38" t="str">
        <f>IFERROR(__xludf.DUMMYFUNCTION("""COMPUTED_VALUE"""),"Sledgehammer")</f>
        <v>Sledgehammer</v>
      </c>
      <c r="E38" s="41">
        <f>IFERROR(__xludf.DUMMYFUNCTION("""COMPUTED_VALUE"""),3.0)</f>
        <v>3</v>
      </c>
      <c r="F38" s="38" t="str">
        <f>IFERROR(__xludf.DUMMYFUNCTION("""COMPUTED_VALUE"""),"10 lb.")</f>
        <v>10 lb.</v>
      </c>
      <c r="G38" s="38" t="str">
        <f>IFERROR(__xludf.DUMMYFUNCTION("""COMPUTED_VALUE"""),"Tool")</f>
        <v>Tool</v>
      </c>
      <c r="H38" s="41">
        <f>IFERROR(__xludf.DUMMYFUNCTION("""COMPUTED_VALUE"""),1.8599999999999999)</f>
        <v>1.86</v>
      </c>
      <c r="I38" s="41">
        <f>IFERROR(__xludf.DUMMYFUNCTION("""COMPUTED_VALUE"""),1.5)</f>
        <v>1.5</v>
      </c>
      <c r="J38" s="41">
        <f>IFERROR(__xludf.DUMMYFUNCTION("""COMPUTED_VALUE"""),2.4299999999999997)</f>
        <v>2.43</v>
      </c>
      <c r="K38" s="38"/>
      <c r="L38" s="41" t="b">
        <f>IFERROR(__xludf.DUMMYFUNCTION("""COMPUTED_VALUE"""),FALSE)</f>
        <v>0</v>
      </c>
      <c r="M38" s="41" t="b">
        <f>IFERROR(__xludf.DUMMYFUNCTION("""COMPUTED_VALUE"""),TRUE)</f>
        <v>1</v>
      </c>
      <c r="N38" s="38" t="b">
        <f>IFERROR(__xludf.DUMMYFUNCTION("""COMPUTED_VALUE"""),FALSE)</f>
        <v>0</v>
      </c>
      <c r="O38" s="38" t="b">
        <f>IFERROR(__xludf.DUMMYFUNCTION("""COMPUTED_VALUE"""),FALSE)</f>
        <v>0</v>
      </c>
      <c r="P38" s="38" t="b">
        <f>IFERROR(__xludf.DUMMYFUNCTION("""COMPUTED_VALUE"""),FALSE)</f>
        <v>0</v>
      </c>
      <c r="Q38" s="38" t="b">
        <f>IFERROR(__xludf.DUMMYFUNCTION("""COMPUTED_VALUE"""),FALSE)</f>
        <v>0</v>
      </c>
      <c r="R38" s="38" t="b">
        <f>IFERROR(__xludf.DUMMYFUNCTION("""COMPUTED_VALUE"""),FALSE)</f>
        <v>0</v>
      </c>
      <c r="S38" s="38" t="b">
        <f>IFERROR(__xludf.DUMMYFUNCTION("""COMPUTED_VALUE"""),FALSE)</f>
        <v>0</v>
      </c>
      <c r="T38" s="38" t="b">
        <f>IFERROR(__xludf.DUMMYFUNCTION("""COMPUTED_VALUE"""),FALSE)</f>
        <v>0</v>
      </c>
      <c r="U38" s="38" t="b">
        <f>IFERROR(__xludf.DUMMYFUNCTION("""COMPUTED_VALUE"""),FALSE)</f>
        <v>0</v>
      </c>
      <c r="V38" s="38" t="b">
        <f>IFERROR(__xludf.DUMMYFUNCTION("""COMPUTED_VALUE"""),FALSE)</f>
        <v>0</v>
      </c>
      <c r="W38" s="38" t="b">
        <f>IFERROR(__xludf.DUMMYFUNCTION("""COMPUTED_VALUE"""),FALSE)</f>
        <v>0</v>
      </c>
      <c r="X38" s="38" t="b">
        <f>IFERROR(__xludf.DUMMYFUNCTION("""COMPUTED_VALUE"""),FALSE)</f>
        <v>0</v>
      </c>
      <c r="Y38" s="38" t="b">
        <f>IFERROR(__xludf.DUMMYFUNCTION("""COMPUTED_VALUE"""),FALSE)</f>
        <v>0</v>
      </c>
      <c r="Z38" s="38" t="b">
        <f>IFERROR(__xludf.DUMMYFUNCTION("""COMPUTED_VALUE"""),TRUE)</f>
        <v>1</v>
      </c>
      <c r="AA38" s="38" t="b">
        <f>IFERROR(__xludf.DUMMYFUNCTION("""COMPUTED_VALUE"""),FALSE)</f>
        <v>0</v>
      </c>
      <c r="AB38" s="38" t="b">
        <f>IFERROR(__xludf.DUMMYFUNCTION("""COMPUTED_VALUE"""),FALSE)</f>
        <v>0</v>
      </c>
      <c r="AC38" s="38">
        <f>IFERROR(__xludf.DUMMYFUNCTION("""COMPUTED_VALUE"""),0.7426927539627234)</f>
        <v>0.742692754</v>
      </c>
      <c r="BI38" s="41" t="str">
        <f>IFERROR(__xludf.DUMMYFUNCTION("""COMPUTED_VALUE"""),"Cinnamon")</f>
        <v>Cinnamon</v>
      </c>
      <c r="BJ38" s="2">
        <v>1.5</v>
      </c>
      <c r="BK38" s="2">
        <v>1.0</v>
      </c>
      <c r="BL38" s="2">
        <v>1.0</v>
      </c>
      <c r="BM38" s="2">
        <v>1.0</v>
      </c>
      <c r="BN38" s="2">
        <v>1.0</v>
      </c>
      <c r="BO38" s="2">
        <v>1.0</v>
      </c>
      <c r="BP38" s="2">
        <v>1.0</v>
      </c>
      <c r="BQ38" s="2">
        <v>1.0</v>
      </c>
      <c r="BR38" s="2">
        <v>1.0</v>
      </c>
      <c r="BS38" s="2">
        <v>1.0</v>
      </c>
      <c r="BT38" s="2">
        <v>1.0</v>
      </c>
      <c r="BU38" s="2">
        <v>1.0</v>
      </c>
      <c r="BV38" s="2">
        <v>1.0</v>
      </c>
      <c r="BW38" s="2">
        <v>1.0</v>
      </c>
      <c r="BX38" s="2">
        <v>1.0</v>
      </c>
      <c r="BY38" s="2">
        <v>1.0</v>
      </c>
      <c r="BZ38" s="2">
        <v>1.0</v>
      </c>
      <c r="CB38" s="2"/>
      <c r="CC38" s="2"/>
      <c r="CD38" s="2"/>
      <c r="CE38" s="2"/>
      <c r="CF38" s="2"/>
      <c r="CG38" s="2"/>
      <c r="CH38" s="2"/>
      <c r="CI38" s="2"/>
      <c r="CJ38" s="2"/>
      <c r="CK38" s="2"/>
      <c r="CL38" s="2"/>
      <c r="CM38" s="2"/>
      <c r="CN38" s="2"/>
      <c r="CO38" s="2"/>
      <c r="CP38" s="2"/>
      <c r="CQ38" s="2"/>
    </row>
    <row r="39">
      <c r="D39" s="38" t="str">
        <f>IFERROR(__xludf.DUMMYFUNCTION("""COMPUTED_VALUE"""),"Lamp")</f>
        <v>Lamp</v>
      </c>
      <c r="E39" s="41">
        <f>IFERROR(__xludf.DUMMYFUNCTION("""COMPUTED_VALUE"""),0.5)</f>
        <v>0.5</v>
      </c>
      <c r="F39" s="38" t="str">
        <f>IFERROR(__xludf.DUMMYFUNCTION("""COMPUTED_VALUE"""),"1 lb.")</f>
        <v>1 lb.</v>
      </c>
      <c r="G39" s="38" t="str">
        <f>IFERROR(__xludf.DUMMYFUNCTION("""COMPUTED_VALUE"""),"Light")</f>
        <v>Light</v>
      </c>
      <c r="H39" s="41">
        <f>IFERROR(__xludf.DUMMYFUNCTION("""COMPUTED_VALUE"""),0.31)</f>
        <v>0.31</v>
      </c>
      <c r="I39" s="41">
        <f>IFERROR(__xludf.DUMMYFUNCTION("""COMPUTED_VALUE"""),0.25)</f>
        <v>0.25</v>
      </c>
      <c r="J39" s="41">
        <f>IFERROR(__xludf.DUMMYFUNCTION("""COMPUTED_VALUE"""),0.405)</f>
        <v>0.405</v>
      </c>
      <c r="K39" s="38"/>
      <c r="L39" s="41" t="b">
        <f>IFERROR(__xludf.DUMMYFUNCTION("""COMPUTED_VALUE"""),FALSE)</f>
        <v>0</v>
      </c>
      <c r="M39" s="41" t="b">
        <f>IFERROR(__xludf.DUMMYFUNCTION("""COMPUTED_VALUE"""),TRUE)</f>
        <v>1</v>
      </c>
      <c r="N39" s="38" t="b">
        <f>IFERROR(__xludf.DUMMYFUNCTION("""COMPUTED_VALUE"""),FALSE)</f>
        <v>0</v>
      </c>
      <c r="O39" s="38" t="b">
        <f>IFERROR(__xludf.DUMMYFUNCTION("""COMPUTED_VALUE"""),FALSE)</f>
        <v>0</v>
      </c>
      <c r="P39" s="38" t="b">
        <f>IFERROR(__xludf.DUMMYFUNCTION("""COMPUTED_VALUE"""),FALSE)</f>
        <v>0</v>
      </c>
      <c r="Q39" s="38" t="b">
        <f>IFERROR(__xludf.DUMMYFUNCTION("""COMPUTED_VALUE"""),FALSE)</f>
        <v>0</v>
      </c>
      <c r="R39" s="38" t="b">
        <f>IFERROR(__xludf.DUMMYFUNCTION("""COMPUTED_VALUE"""),FALSE)</f>
        <v>0</v>
      </c>
      <c r="S39" s="38" t="b">
        <f>IFERROR(__xludf.DUMMYFUNCTION("""COMPUTED_VALUE"""),FALSE)</f>
        <v>0</v>
      </c>
      <c r="T39" s="38" t="b">
        <f>IFERROR(__xludf.DUMMYFUNCTION("""COMPUTED_VALUE"""),FALSE)</f>
        <v>0</v>
      </c>
      <c r="U39" s="38" t="b">
        <f>IFERROR(__xludf.DUMMYFUNCTION("""COMPUTED_VALUE"""),FALSE)</f>
        <v>0</v>
      </c>
      <c r="V39" s="38" t="b">
        <f>IFERROR(__xludf.DUMMYFUNCTION("""COMPUTED_VALUE"""),FALSE)</f>
        <v>0</v>
      </c>
      <c r="W39" s="38" t="b">
        <f>IFERROR(__xludf.DUMMYFUNCTION("""COMPUTED_VALUE"""),FALSE)</f>
        <v>0</v>
      </c>
      <c r="X39" s="38" t="b">
        <f>IFERROR(__xludf.DUMMYFUNCTION("""COMPUTED_VALUE"""),FALSE)</f>
        <v>0</v>
      </c>
      <c r="Y39" s="38" t="b">
        <f>IFERROR(__xludf.DUMMYFUNCTION("""COMPUTED_VALUE"""),TRUE)</f>
        <v>1</v>
      </c>
      <c r="Z39" s="38" t="b">
        <f>IFERROR(__xludf.DUMMYFUNCTION("""COMPUTED_VALUE"""),TRUE)</f>
        <v>1</v>
      </c>
      <c r="AA39" s="38" t="b">
        <f>IFERROR(__xludf.DUMMYFUNCTION("""COMPUTED_VALUE"""),FALSE)</f>
        <v>0</v>
      </c>
      <c r="AB39" s="38" t="b">
        <f>IFERROR(__xludf.DUMMYFUNCTION("""COMPUTED_VALUE"""),FALSE)</f>
        <v>0</v>
      </c>
      <c r="AC39" s="38">
        <f>IFERROR(__xludf.DUMMYFUNCTION("""COMPUTED_VALUE"""),0.7507107137289545)</f>
        <v>0.7507107137</v>
      </c>
      <c r="BI39" s="41" t="str">
        <f>IFERROR(__xludf.DUMMYFUNCTION("""COMPUTED_VALUE"""),"Cloves")</f>
        <v>Cloves</v>
      </c>
      <c r="BJ39" s="2">
        <v>1.5</v>
      </c>
      <c r="BK39" s="2">
        <v>1.0</v>
      </c>
      <c r="BL39" s="2">
        <v>1.0</v>
      </c>
      <c r="BM39" s="2">
        <v>1.0</v>
      </c>
      <c r="BN39" s="2">
        <v>1.0</v>
      </c>
      <c r="BO39" s="2">
        <v>1.0</v>
      </c>
      <c r="BP39" s="2">
        <v>1.0</v>
      </c>
      <c r="BQ39" s="2">
        <v>1.0</v>
      </c>
      <c r="BR39" s="2">
        <v>1.0</v>
      </c>
      <c r="BS39" s="2">
        <v>1.0</v>
      </c>
      <c r="BT39" s="2">
        <v>1.0</v>
      </c>
      <c r="BU39" s="2">
        <v>1.0</v>
      </c>
      <c r="BV39" s="2">
        <v>1.0</v>
      </c>
      <c r="BW39" s="2">
        <v>1.0</v>
      </c>
      <c r="BX39" s="2">
        <v>1.0</v>
      </c>
      <c r="BY39" s="2">
        <v>1.0</v>
      </c>
      <c r="BZ39" s="2">
        <v>1.0</v>
      </c>
      <c r="CB39" s="2"/>
      <c r="CC39" s="2"/>
      <c r="CD39" s="2"/>
      <c r="CE39" s="2"/>
      <c r="CF39" s="2"/>
      <c r="CG39" s="2"/>
      <c r="CH39" s="2"/>
      <c r="CI39" s="2"/>
      <c r="CJ39" s="2"/>
      <c r="CK39" s="2"/>
      <c r="CL39" s="2"/>
      <c r="CM39" s="2"/>
      <c r="CN39" s="2"/>
      <c r="CO39" s="2"/>
      <c r="CP39" s="2"/>
      <c r="CQ39" s="2"/>
    </row>
    <row r="40">
      <c r="D40" s="38" t="str">
        <f>IFERROR(__xludf.DUMMYFUNCTION("""COMPUTED_VALUE"""),"Pike")</f>
        <v>Pike</v>
      </c>
      <c r="E40" s="41">
        <f>IFERROR(__xludf.DUMMYFUNCTION("""COMPUTED_VALUE"""),3.0)</f>
        <v>3</v>
      </c>
      <c r="F40" s="38" t="str">
        <f>IFERROR(__xludf.DUMMYFUNCTION("""COMPUTED_VALUE"""),"18 lb.")</f>
        <v>18 lb.</v>
      </c>
      <c r="G40" s="38" t="str">
        <f>IFERROR(__xludf.DUMMYFUNCTION("""COMPUTED_VALUE"""),"Weapon")</f>
        <v>Weapon</v>
      </c>
      <c r="H40" s="41">
        <f>IFERROR(__xludf.DUMMYFUNCTION("""COMPUTED_VALUE"""),1.8599999999999999)</f>
        <v>1.86</v>
      </c>
      <c r="I40" s="41">
        <f>IFERROR(__xludf.DUMMYFUNCTION("""COMPUTED_VALUE"""),1.5)</f>
        <v>1.5</v>
      </c>
      <c r="J40" s="41">
        <f>IFERROR(__xludf.DUMMYFUNCTION("""COMPUTED_VALUE"""),2.4299999999999997)</f>
        <v>2.43</v>
      </c>
      <c r="K40" s="38"/>
      <c r="L40" s="41" t="b">
        <f>IFERROR(__xludf.DUMMYFUNCTION("""COMPUTED_VALUE"""),FALSE)</f>
        <v>0</v>
      </c>
      <c r="M40" s="41" t="b">
        <f>IFERROR(__xludf.DUMMYFUNCTION("""COMPUTED_VALUE"""),TRUE)</f>
        <v>1</v>
      </c>
      <c r="N40" s="38" t="b">
        <f>IFERROR(__xludf.DUMMYFUNCTION("""COMPUTED_VALUE"""),FALSE)</f>
        <v>0</v>
      </c>
      <c r="O40" s="38" t="b">
        <f>IFERROR(__xludf.DUMMYFUNCTION("""COMPUTED_VALUE"""),FALSE)</f>
        <v>0</v>
      </c>
      <c r="P40" s="38" t="b">
        <f>IFERROR(__xludf.DUMMYFUNCTION("""COMPUTED_VALUE"""),FALSE)</f>
        <v>0</v>
      </c>
      <c r="Q40" s="38" t="b">
        <f>IFERROR(__xludf.DUMMYFUNCTION("""COMPUTED_VALUE"""),FALSE)</f>
        <v>0</v>
      </c>
      <c r="R40" s="38" t="b">
        <f>IFERROR(__xludf.DUMMYFUNCTION("""COMPUTED_VALUE"""),FALSE)</f>
        <v>0</v>
      </c>
      <c r="S40" s="38" t="b">
        <f>IFERROR(__xludf.DUMMYFUNCTION("""COMPUTED_VALUE"""),FALSE)</f>
        <v>0</v>
      </c>
      <c r="T40" s="38" t="b">
        <f>IFERROR(__xludf.DUMMYFUNCTION("""COMPUTED_VALUE"""),FALSE)</f>
        <v>0</v>
      </c>
      <c r="U40" s="38" t="b">
        <f>IFERROR(__xludf.DUMMYFUNCTION("""COMPUTED_VALUE"""),FALSE)</f>
        <v>0</v>
      </c>
      <c r="V40" s="38" t="b">
        <f>IFERROR(__xludf.DUMMYFUNCTION("""COMPUTED_VALUE"""),FALSE)</f>
        <v>0</v>
      </c>
      <c r="W40" s="38" t="b">
        <f>IFERROR(__xludf.DUMMYFUNCTION("""COMPUTED_VALUE"""),FALSE)</f>
        <v>0</v>
      </c>
      <c r="X40" s="38" t="b">
        <f>IFERROR(__xludf.DUMMYFUNCTION("""COMPUTED_VALUE"""),FALSE)</f>
        <v>0</v>
      </c>
      <c r="Y40" s="38" t="b">
        <f>IFERROR(__xludf.DUMMYFUNCTION("""COMPUTED_VALUE"""),FALSE)</f>
        <v>0</v>
      </c>
      <c r="Z40" s="38" t="b">
        <f>IFERROR(__xludf.DUMMYFUNCTION("""COMPUTED_VALUE"""),TRUE)</f>
        <v>1</v>
      </c>
      <c r="AA40" s="38" t="b">
        <f>IFERROR(__xludf.DUMMYFUNCTION("""COMPUTED_VALUE"""),FALSE)</f>
        <v>0</v>
      </c>
      <c r="AB40" s="38" t="b">
        <f>IFERROR(__xludf.DUMMYFUNCTION("""COMPUTED_VALUE"""),FALSE)</f>
        <v>0</v>
      </c>
      <c r="AC40" s="38">
        <f>IFERROR(__xludf.DUMMYFUNCTION("""COMPUTED_VALUE"""),0.7600301804016755)</f>
        <v>0.7600301804</v>
      </c>
      <c r="BI40" s="41" t="str">
        <f>IFERROR(__xludf.DUMMYFUNCTION("""COMPUTED_VALUE"""),"Flour")</f>
        <v>Flour</v>
      </c>
      <c r="BJ40" s="2">
        <v>1.5</v>
      </c>
      <c r="BK40" s="2">
        <v>1.0</v>
      </c>
      <c r="BL40" s="2">
        <v>1.0</v>
      </c>
      <c r="BM40" s="2">
        <v>1.0</v>
      </c>
      <c r="BN40" s="2">
        <v>1.0</v>
      </c>
      <c r="BO40" s="2">
        <v>1.0</v>
      </c>
      <c r="BP40" s="2">
        <v>1.0</v>
      </c>
      <c r="BQ40" s="2">
        <v>1.0</v>
      </c>
      <c r="BR40" s="2">
        <v>1.0</v>
      </c>
      <c r="BS40" s="2">
        <v>1.0</v>
      </c>
      <c r="BT40" s="2">
        <v>1.0</v>
      </c>
      <c r="BU40" s="2">
        <v>1.0</v>
      </c>
      <c r="BV40" s="2">
        <v>1.0</v>
      </c>
      <c r="BW40" s="2">
        <v>1.0</v>
      </c>
      <c r="BX40" s="2">
        <v>1.0</v>
      </c>
      <c r="BY40" s="2">
        <v>1.0</v>
      </c>
      <c r="BZ40" s="2">
        <v>1.0</v>
      </c>
      <c r="CB40" s="2"/>
      <c r="CC40" s="2"/>
      <c r="CD40" s="2"/>
      <c r="CE40" s="2"/>
      <c r="CF40" s="2"/>
      <c r="CG40" s="2"/>
      <c r="CH40" s="2"/>
      <c r="CI40" s="2"/>
      <c r="CJ40" s="2"/>
      <c r="CK40" s="2"/>
      <c r="CL40" s="2"/>
      <c r="CM40" s="2"/>
      <c r="CN40" s="2"/>
      <c r="CO40" s="2"/>
      <c r="CP40" s="2"/>
      <c r="CQ40" s="2"/>
    </row>
    <row r="41">
      <c r="D41" s="38" t="str">
        <f>IFERROR(__xludf.DUMMYFUNCTION("""COMPUTED_VALUE"""),"Miner's Pick")</f>
        <v>Miner's Pick</v>
      </c>
      <c r="E41" s="41">
        <f>IFERROR(__xludf.DUMMYFUNCTION("""COMPUTED_VALUE"""),2.0)</f>
        <v>2</v>
      </c>
      <c r="F41" s="38" t="str">
        <f>IFERROR(__xludf.DUMMYFUNCTION("""COMPUTED_VALUE"""),"10 lb.")</f>
        <v>10 lb.</v>
      </c>
      <c r="G41" s="38" t="str">
        <f>IFERROR(__xludf.DUMMYFUNCTION("""COMPUTED_VALUE"""),"Equipment")</f>
        <v>Equipment</v>
      </c>
      <c r="H41" s="41">
        <f>IFERROR(__xludf.DUMMYFUNCTION("""COMPUTED_VALUE"""),1.24)</f>
        <v>1.24</v>
      </c>
      <c r="I41" s="41">
        <f>IFERROR(__xludf.DUMMYFUNCTION("""COMPUTED_VALUE"""),1.0)</f>
        <v>1</v>
      </c>
      <c r="J41" s="41">
        <f>IFERROR(__xludf.DUMMYFUNCTION("""COMPUTED_VALUE"""),1.62)</f>
        <v>1.62</v>
      </c>
      <c r="K41" s="38"/>
      <c r="L41" s="41" t="b">
        <f>IFERROR(__xludf.DUMMYFUNCTION("""COMPUTED_VALUE"""),FALSE)</f>
        <v>0</v>
      </c>
      <c r="M41" s="41" t="b">
        <f>IFERROR(__xludf.DUMMYFUNCTION("""COMPUTED_VALUE"""),TRUE)</f>
        <v>1</v>
      </c>
      <c r="N41" s="38" t="b">
        <f>IFERROR(__xludf.DUMMYFUNCTION("""COMPUTED_VALUE"""),TRUE)</f>
        <v>1</v>
      </c>
      <c r="O41" s="38" t="b">
        <f>IFERROR(__xludf.DUMMYFUNCTION("""COMPUTED_VALUE"""),TRUE)</f>
        <v>1</v>
      </c>
      <c r="P41" s="38" t="b">
        <f>IFERROR(__xludf.DUMMYFUNCTION("""COMPUTED_VALUE"""),FALSE)</f>
        <v>0</v>
      </c>
      <c r="Q41" s="38" t="b">
        <f>IFERROR(__xludf.DUMMYFUNCTION("""COMPUTED_VALUE"""),FALSE)</f>
        <v>0</v>
      </c>
      <c r="R41" s="38" t="b">
        <f>IFERROR(__xludf.DUMMYFUNCTION("""COMPUTED_VALUE"""),FALSE)</f>
        <v>0</v>
      </c>
      <c r="S41" s="38" t="b">
        <f>IFERROR(__xludf.DUMMYFUNCTION("""COMPUTED_VALUE"""),FALSE)</f>
        <v>0</v>
      </c>
      <c r="T41" s="38" t="b">
        <f>IFERROR(__xludf.DUMMYFUNCTION("""COMPUTED_VALUE"""),FALSE)</f>
        <v>0</v>
      </c>
      <c r="U41" s="38" t="b">
        <f>IFERROR(__xludf.DUMMYFUNCTION("""COMPUTED_VALUE"""),FALSE)</f>
        <v>0</v>
      </c>
      <c r="V41" s="38" t="b">
        <f>IFERROR(__xludf.DUMMYFUNCTION("""COMPUTED_VALUE"""),FALSE)</f>
        <v>0</v>
      </c>
      <c r="W41" s="38" t="b">
        <f>IFERROR(__xludf.DUMMYFUNCTION("""COMPUTED_VALUE"""),FALSE)</f>
        <v>0</v>
      </c>
      <c r="X41" s="38" t="b">
        <f>IFERROR(__xludf.DUMMYFUNCTION("""COMPUTED_VALUE"""),FALSE)</f>
        <v>0</v>
      </c>
      <c r="Y41" s="38" t="b">
        <f>IFERROR(__xludf.DUMMYFUNCTION("""COMPUTED_VALUE"""),FALSE)</f>
        <v>0</v>
      </c>
      <c r="Z41" s="38" t="b">
        <f>IFERROR(__xludf.DUMMYFUNCTION("""COMPUTED_VALUE"""),TRUE)</f>
        <v>1</v>
      </c>
      <c r="AA41" s="38" t="b">
        <f>IFERROR(__xludf.DUMMYFUNCTION("""COMPUTED_VALUE"""),FALSE)</f>
        <v>0</v>
      </c>
      <c r="AB41" s="38" t="b">
        <f>IFERROR(__xludf.DUMMYFUNCTION("""COMPUTED_VALUE"""),FALSE)</f>
        <v>0</v>
      </c>
      <c r="AC41" s="38">
        <f>IFERROR(__xludf.DUMMYFUNCTION("""COMPUTED_VALUE"""),0.7787305579265419)</f>
        <v>0.7787305579</v>
      </c>
      <c r="BI41" s="38" t="str">
        <f>IFERROR(__xludf.DUMMYFUNCTION("""COMPUTED_VALUE"""),"Backpack")</f>
        <v>Backpack</v>
      </c>
      <c r="BJ41" s="2">
        <v>1.5</v>
      </c>
      <c r="BK41" s="2">
        <v>1.0</v>
      </c>
      <c r="BL41" s="2">
        <v>1.0</v>
      </c>
      <c r="BM41" s="2">
        <v>1.0</v>
      </c>
      <c r="BN41" s="2">
        <v>1.0</v>
      </c>
      <c r="BO41" s="2">
        <v>1.0</v>
      </c>
      <c r="BP41" s="2">
        <v>1.0</v>
      </c>
      <c r="BQ41" s="2">
        <v>1.0</v>
      </c>
      <c r="BR41" s="2">
        <v>1.0</v>
      </c>
      <c r="BS41" s="2">
        <v>1.0</v>
      </c>
      <c r="BT41" s="2">
        <v>1.0</v>
      </c>
      <c r="BU41" s="2">
        <v>1.0</v>
      </c>
      <c r="BV41" s="2">
        <v>1.0</v>
      </c>
      <c r="BW41" s="2">
        <v>1.0</v>
      </c>
      <c r="BX41" s="2">
        <v>1.0</v>
      </c>
      <c r="BY41" s="2">
        <v>1.0</v>
      </c>
      <c r="BZ41" s="2">
        <v>1.0</v>
      </c>
      <c r="CB41" s="2"/>
      <c r="CC41" s="2"/>
      <c r="CD41" s="2"/>
      <c r="CE41" s="2"/>
      <c r="CF41" s="2"/>
      <c r="CG41" s="2"/>
      <c r="CH41" s="2"/>
      <c r="CI41" s="2"/>
      <c r="CJ41" s="2"/>
      <c r="CK41" s="2"/>
      <c r="CL41" s="2"/>
      <c r="CM41" s="2"/>
      <c r="CN41" s="2"/>
      <c r="CO41" s="2"/>
      <c r="CP41" s="2"/>
      <c r="CQ41" s="2"/>
    </row>
    <row r="42">
      <c r="D42" s="38" t="str">
        <f>IFERROR(__xludf.DUMMYFUNCTION("""COMPUTED_VALUE"""),"Battleaxe")</f>
        <v>Battleaxe</v>
      </c>
      <c r="E42" s="41">
        <f>IFERROR(__xludf.DUMMYFUNCTION("""COMPUTED_VALUE"""),6.0)</f>
        <v>6</v>
      </c>
      <c r="F42" s="38" t="str">
        <f>IFERROR(__xludf.DUMMYFUNCTION("""COMPUTED_VALUE"""),"4 lb.")</f>
        <v>4 lb.</v>
      </c>
      <c r="G42" s="38" t="str">
        <f>IFERROR(__xludf.DUMMYFUNCTION("""COMPUTED_VALUE"""),"Weapon")</f>
        <v>Weapon</v>
      </c>
      <c r="H42" s="41">
        <f>IFERROR(__xludf.DUMMYFUNCTION("""COMPUTED_VALUE"""),3.7199999999999998)</f>
        <v>3.72</v>
      </c>
      <c r="I42" s="41">
        <f>IFERROR(__xludf.DUMMYFUNCTION("""COMPUTED_VALUE"""),3.0)</f>
        <v>3</v>
      </c>
      <c r="J42" s="41">
        <f>IFERROR(__xludf.DUMMYFUNCTION("""COMPUTED_VALUE"""),4.859999999999999)</f>
        <v>4.86</v>
      </c>
      <c r="K42" s="38"/>
      <c r="L42" s="41" t="b">
        <f>IFERROR(__xludf.DUMMYFUNCTION("""COMPUTED_VALUE"""),FALSE)</f>
        <v>0</v>
      </c>
      <c r="M42" s="41" t="b">
        <f>IFERROR(__xludf.DUMMYFUNCTION("""COMPUTED_VALUE"""),TRUE)</f>
        <v>1</v>
      </c>
      <c r="N42" s="38" t="b">
        <f>IFERROR(__xludf.DUMMYFUNCTION("""COMPUTED_VALUE"""),FALSE)</f>
        <v>0</v>
      </c>
      <c r="O42" s="38" t="b">
        <f>IFERROR(__xludf.DUMMYFUNCTION("""COMPUTED_VALUE"""),FALSE)</f>
        <v>0</v>
      </c>
      <c r="P42" s="38" t="b">
        <f>IFERROR(__xludf.DUMMYFUNCTION("""COMPUTED_VALUE"""),FALSE)</f>
        <v>0</v>
      </c>
      <c r="Q42" s="38" t="b">
        <f>IFERROR(__xludf.DUMMYFUNCTION("""COMPUTED_VALUE"""),FALSE)</f>
        <v>0</v>
      </c>
      <c r="R42" s="38" t="b">
        <f>IFERROR(__xludf.DUMMYFUNCTION("""COMPUTED_VALUE"""),FALSE)</f>
        <v>0</v>
      </c>
      <c r="S42" s="38" t="b">
        <f>IFERROR(__xludf.DUMMYFUNCTION("""COMPUTED_VALUE"""),FALSE)</f>
        <v>0</v>
      </c>
      <c r="T42" s="38" t="b">
        <f>IFERROR(__xludf.DUMMYFUNCTION("""COMPUTED_VALUE"""),FALSE)</f>
        <v>0</v>
      </c>
      <c r="U42" s="38" t="b">
        <f>IFERROR(__xludf.DUMMYFUNCTION("""COMPUTED_VALUE"""),FALSE)</f>
        <v>0</v>
      </c>
      <c r="V42" s="38" t="b">
        <f>IFERROR(__xludf.DUMMYFUNCTION("""COMPUTED_VALUE"""),FALSE)</f>
        <v>0</v>
      </c>
      <c r="W42" s="38" t="b">
        <f>IFERROR(__xludf.DUMMYFUNCTION("""COMPUTED_VALUE"""),FALSE)</f>
        <v>0</v>
      </c>
      <c r="X42" s="38" t="b">
        <f>IFERROR(__xludf.DUMMYFUNCTION("""COMPUTED_VALUE"""),FALSE)</f>
        <v>0</v>
      </c>
      <c r="Y42" s="38" t="b">
        <f>IFERROR(__xludf.DUMMYFUNCTION("""COMPUTED_VALUE"""),FALSE)</f>
        <v>0</v>
      </c>
      <c r="Z42" s="38" t="b">
        <f>IFERROR(__xludf.DUMMYFUNCTION("""COMPUTED_VALUE"""),TRUE)</f>
        <v>1</v>
      </c>
      <c r="AA42" s="38" t="b">
        <f>IFERROR(__xludf.DUMMYFUNCTION("""COMPUTED_VALUE"""),FALSE)</f>
        <v>0</v>
      </c>
      <c r="AB42" s="38" t="b">
        <f>IFERROR(__xludf.DUMMYFUNCTION("""COMPUTED_VALUE"""),FALSE)</f>
        <v>0</v>
      </c>
      <c r="AC42" s="38">
        <f>IFERROR(__xludf.DUMMYFUNCTION("""COMPUTED_VALUE"""),0.8104036463110099)</f>
        <v>0.8104036463</v>
      </c>
      <c r="BI42" s="38" t="str">
        <f>IFERROR(__xludf.DUMMYFUNCTION("""COMPUTED_VALUE"""),"Basic Poison")</f>
        <v>Basic Poison</v>
      </c>
      <c r="BJ42" s="2">
        <v>1.5</v>
      </c>
      <c r="BK42" s="2">
        <v>1.0</v>
      </c>
      <c r="BL42" s="2">
        <v>1.0</v>
      </c>
      <c r="BM42" s="2">
        <v>1.0</v>
      </c>
      <c r="BN42" s="2">
        <v>1.0</v>
      </c>
      <c r="BO42" s="2">
        <v>1.0</v>
      </c>
      <c r="BP42" s="2">
        <v>1.0</v>
      </c>
      <c r="BQ42" s="2">
        <v>1.0</v>
      </c>
      <c r="BR42" s="2">
        <v>1.0</v>
      </c>
      <c r="BS42" s="2">
        <v>1.0</v>
      </c>
      <c r="BT42" s="2">
        <v>1.0</v>
      </c>
      <c r="BU42" s="2">
        <v>1.0</v>
      </c>
      <c r="BV42" s="2">
        <v>1.0</v>
      </c>
      <c r="BW42" s="2">
        <v>1.0</v>
      </c>
      <c r="BX42" s="2">
        <v>1.0</v>
      </c>
      <c r="BY42" s="2">
        <v>1.0</v>
      </c>
      <c r="BZ42" s="2">
        <v>1.0</v>
      </c>
      <c r="CB42" s="2"/>
      <c r="CC42" s="2"/>
      <c r="CD42" s="2"/>
      <c r="CE42" s="2"/>
      <c r="CF42" s="2"/>
      <c r="CG42" s="2"/>
      <c r="CH42" s="2"/>
      <c r="CI42" s="2"/>
      <c r="CJ42" s="2"/>
      <c r="CK42" s="2"/>
      <c r="CL42" s="2"/>
      <c r="CM42" s="2"/>
      <c r="CN42" s="2"/>
      <c r="CO42" s="2"/>
      <c r="CP42" s="2"/>
      <c r="CQ42" s="2"/>
    </row>
    <row r="43">
      <c r="D43" s="38" t="str">
        <f>IFERROR(__xludf.DUMMYFUNCTION("""COMPUTED_VALUE"""),"Bit and Bridle")</f>
        <v>Bit and Bridle</v>
      </c>
      <c r="E43" s="41">
        <f>IFERROR(__xludf.DUMMYFUNCTION("""COMPUTED_VALUE"""),2.0)</f>
        <v>2</v>
      </c>
      <c r="F43" s="38" t="str">
        <f>IFERROR(__xludf.DUMMYFUNCTION("""COMPUTED_VALUE"""),"1 lb.")</f>
        <v>1 lb.</v>
      </c>
      <c r="G43" s="38" t="str">
        <f>IFERROR(__xludf.DUMMYFUNCTION("""COMPUTED_VALUE"""),"Harness")</f>
        <v>Harness</v>
      </c>
      <c r="H43" s="41">
        <f>IFERROR(__xludf.DUMMYFUNCTION("""COMPUTED_VALUE"""),1.24)</f>
        <v>1.24</v>
      </c>
      <c r="I43" s="41">
        <f>IFERROR(__xludf.DUMMYFUNCTION("""COMPUTED_VALUE"""),1.0)</f>
        <v>1</v>
      </c>
      <c r="J43" s="41">
        <f>IFERROR(__xludf.DUMMYFUNCTION("""COMPUTED_VALUE"""),1.62)</f>
        <v>1.62</v>
      </c>
      <c r="K43" s="38"/>
      <c r="L43" s="41" t="b">
        <f>IFERROR(__xludf.DUMMYFUNCTION("""COMPUTED_VALUE"""),FALSE)</f>
        <v>0</v>
      </c>
      <c r="M43" s="41" t="b">
        <f>IFERROR(__xludf.DUMMYFUNCTION("""COMPUTED_VALUE"""),TRUE)</f>
        <v>1</v>
      </c>
      <c r="N43" s="38" t="b">
        <f>IFERROR(__xludf.DUMMYFUNCTION("""COMPUTED_VALUE"""),FALSE)</f>
        <v>0</v>
      </c>
      <c r="O43" s="38" t="b">
        <f>IFERROR(__xludf.DUMMYFUNCTION("""COMPUTED_VALUE"""),FALSE)</f>
        <v>0</v>
      </c>
      <c r="P43" s="38" t="b">
        <f>IFERROR(__xludf.DUMMYFUNCTION("""COMPUTED_VALUE"""),FALSE)</f>
        <v>0</v>
      </c>
      <c r="Q43" s="38" t="b">
        <f>IFERROR(__xludf.DUMMYFUNCTION("""COMPUTED_VALUE"""),FALSE)</f>
        <v>0</v>
      </c>
      <c r="R43" s="38" t="b">
        <f>IFERROR(__xludf.DUMMYFUNCTION("""COMPUTED_VALUE"""),FALSE)</f>
        <v>0</v>
      </c>
      <c r="S43" s="38" t="b">
        <f>IFERROR(__xludf.DUMMYFUNCTION("""COMPUTED_VALUE"""),FALSE)</f>
        <v>0</v>
      </c>
      <c r="T43" s="38" t="b">
        <f>IFERROR(__xludf.DUMMYFUNCTION("""COMPUTED_VALUE"""),FALSE)</f>
        <v>0</v>
      </c>
      <c r="U43" s="38" t="b">
        <f>IFERROR(__xludf.DUMMYFUNCTION("""COMPUTED_VALUE"""),FALSE)</f>
        <v>0</v>
      </c>
      <c r="V43" s="38" t="b">
        <f>IFERROR(__xludf.DUMMYFUNCTION("""COMPUTED_VALUE"""),FALSE)</f>
        <v>0</v>
      </c>
      <c r="W43" s="38" t="b">
        <f>IFERROR(__xludf.DUMMYFUNCTION("""COMPUTED_VALUE"""),TRUE)</f>
        <v>1</v>
      </c>
      <c r="X43" s="38" t="b">
        <f>IFERROR(__xludf.DUMMYFUNCTION("""COMPUTED_VALUE"""),FALSE)</f>
        <v>0</v>
      </c>
      <c r="Y43" s="38" t="b">
        <f>IFERROR(__xludf.DUMMYFUNCTION("""COMPUTED_VALUE"""),FALSE)</f>
        <v>0</v>
      </c>
      <c r="Z43" s="38" t="b">
        <f>IFERROR(__xludf.DUMMYFUNCTION("""COMPUTED_VALUE"""),TRUE)</f>
        <v>1</v>
      </c>
      <c r="AA43" s="38" t="b">
        <f>IFERROR(__xludf.DUMMYFUNCTION("""COMPUTED_VALUE"""),FALSE)</f>
        <v>0</v>
      </c>
      <c r="AB43" s="38" t="b">
        <f>IFERROR(__xludf.DUMMYFUNCTION("""COMPUTED_VALUE"""),FALSE)</f>
        <v>0</v>
      </c>
      <c r="AC43" s="38">
        <f>IFERROR(__xludf.DUMMYFUNCTION("""COMPUTED_VALUE"""),0.8424998134455612)</f>
        <v>0.8424998134</v>
      </c>
      <c r="BI43" s="38" t="str">
        <f>IFERROR(__xludf.DUMMYFUNCTION("""COMPUTED_VALUE"""),"Bedroll")</f>
        <v>Bedroll</v>
      </c>
      <c r="BJ43" s="2">
        <v>1.5</v>
      </c>
      <c r="BK43" s="2">
        <v>1.0</v>
      </c>
      <c r="BL43" s="2">
        <v>1.0</v>
      </c>
      <c r="BM43" s="2">
        <v>1.0</v>
      </c>
      <c r="BN43" s="2">
        <v>1.0</v>
      </c>
      <c r="BO43" s="2">
        <v>1.0</v>
      </c>
      <c r="BP43" s="2">
        <v>1.0</v>
      </c>
      <c r="BQ43" s="2">
        <v>1.0</v>
      </c>
      <c r="BR43" s="2">
        <v>1.0</v>
      </c>
      <c r="BS43" s="2">
        <v>1.0</v>
      </c>
      <c r="BT43" s="2">
        <v>1.0</v>
      </c>
      <c r="BU43" s="2">
        <v>1.0</v>
      </c>
      <c r="BV43" s="2">
        <v>1.0</v>
      </c>
      <c r="BW43" s="2">
        <v>1.0</v>
      </c>
      <c r="BX43" s="2">
        <v>1.0</v>
      </c>
      <c r="BY43" s="2">
        <v>1.0</v>
      </c>
      <c r="BZ43" s="2">
        <v>1.0</v>
      </c>
      <c r="CB43" s="2"/>
      <c r="CC43" s="2"/>
      <c r="CD43" s="2"/>
      <c r="CE43" s="2"/>
      <c r="CF43" s="2"/>
      <c r="CG43" s="2"/>
      <c r="CH43" s="2"/>
      <c r="CI43" s="2"/>
      <c r="CJ43" s="2"/>
      <c r="CK43" s="2"/>
      <c r="CL43" s="2"/>
      <c r="CM43" s="2"/>
      <c r="CN43" s="2"/>
      <c r="CO43" s="2"/>
      <c r="CP43" s="2"/>
      <c r="CQ43" s="2"/>
    </row>
    <row r="44">
      <c r="D44" s="38" t="str">
        <f>IFERROR(__xludf.DUMMYFUNCTION("""COMPUTED_VALUE"""),"Light Hammer")</f>
        <v>Light Hammer</v>
      </c>
      <c r="E44" s="41">
        <f>IFERROR(__xludf.DUMMYFUNCTION("""COMPUTED_VALUE"""),1.2)</f>
        <v>1.2</v>
      </c>
      <c r="F44" s="38" t="str">
        <f>IFERROR(__xludf.DUMMYFUNCTION("""COMPUTED_VALUE"""),"2 lb.")</f>
        <v>2 lb.</v>
      </c>
      <c r="G44" s="38" t="str">
        <f>IFERROR(__xludf.DUMMYFUNCTION("""COMPUTED_VALUE"""),"Weapon")</f>
        <v>Weapon</v>
      </c>
      <c r="H44" s="41">
        <f>IFERROR(__xludf.DUMMYFUNCTION("""COMPUTED_VALUE"""),0.744)</f>
        <v>0.744</v>
      </c>
      <c r="I44" s="41">
        <f>IFERROR(__xludf.DUMMYFUNCTION("""COMPUTED_VALUE"""),0.6)</f>
        <v>0.6</v>
      </c>
      <c r="J44" s="41">
        <f>IFERROR(__xludf.DUMMYFUNCTION("""COMPUTED_VALUE"""),0.972)</f>
        <v>0.972</v>
      </c>
      <c r="K44" s="38"/>
      <c r="L44" s="41" t="b">
        <f>IFERROR(__xludf.DUMMYFUNCTION("""COMPUTED_VALUE"""),FALSE)</f>
        <v>0</v>
      </c>
      <c r="M44" s="41" t="b">
        <f>IFERROR(__xludf.DUMMYFUNCTION("""COMPUTED_VALUE"""),TRUE)</f>
        <v>1</v>
      </c>
      <c r="N44" s="38" t="b">
        <f>IFERROR(__xludf.DUMMYFUNCTION("""COMPUTED_VALUE"""),FALSE)</f>
        <v>0</v>
      </c>
      <c r="O44" s="38" t="b">
        <f>IFERROR(__xludf.DUMMYFUNCTION("""COMPUTED_VALUE"""),FALSE)</f>
        <v>0</v>
      </c>
      <c r="P44" s="38" t="b">
        <f>IFERROR(__xludf.DUMMYFUNCTION("""COMPUTED_VALUE"""),FALSE)</f>
        <v>0</v>
      </c>
      <c r="Q44" s="38" t="b">
        <f>IFERROR(__xludf.DUMMYFUNCTION("""COMPUTED_VALUE"""),FALSE)</f>
        <v>0</v>
      </c>
      <c r="R44" s="38" t="b">
        <f>IFERROR(__xludf.DUMMYFUNCTION("""COMPUTED_VALUE"""),FALSE)</f>
        <v>0</v>
      </c>
      <c r="S44" s="38" t="b">
        <f>IFERROR(__xludf.DUMMYFUNCTION("""COMPUTED_VALUE"""),FALSE)</f>
        <v>0</v>
      </c>
      <c r="T44" s="38" t="b">
        <f>IFERROR(__xludf.DUMMYFUNCTION("""COMPUTED_VALUE"""),FALSE)</f>
        <v>0</v>
      </c>
      <c r="U44" s="38" t="b">
        <f>IFERROR(__xludf.DUMMYFUNCTION("""COMPUTED_VALUE"""),FALSE)</f>
        <v>0</v>
      </c>
      <c r="V44" s="38" t="b">
        <f>IFERROR(__xludf.DUMMYFUNCTION("""COMPUTED_VALUE"""),FALSE)</f>
        <v>0</v>
      </c>
      <c r="W44" s="38" t="b">
        <f>IFERROR(__xludf.DUMMYFUNCTION("""COMPUTED_VALUE"""),FALSE)</f>
        <v>0</v>
      </c>
      <c r="X44" s="38" t="b">
        <f>IFERROR(__xludf.DUMMYFUNCTION("""COMPUTED_VALUE"""),FALSE)</f>
        <v>0</v>
      </c>
      <c r="Y44" s="38" t="b">
        <f>IFERROR(__xludf.DUMMYFUNCTION("""COMPUTED_VALUE"""),FALSE)</f>
        <v>0</v>
      </c>
      <c r="Z44" s="38" t="b">
        <f>IFERROR(__xludf.DUMMYFUNCTION("""COMPUTED_VALUE"""),TRUE)</f>
        <v>1</v>
      </c>
      <c r="AA44" s="38" t="b">
        <f>IFERROR(__xludf.DUMMYFUNCTION("""COMPUTED_VALUE"""),FALSE)</f>
        <v>0</v>
      </c>
      <c r="AB44" s="38" t="b">
        <f>IFERROR(__xludf.DUMMYFUNCTION("""COMPUTED_VALUE"""),FALSE)</f>
        <v>0</v>
      </c>
      <c r="AC44" s="38">
        <f>IFERROR(__xludf.DUMMYFUNCTION("""COMPUTED_VALUE"""),0.8459802366362181)</f>
        <v>0.8459802366</v>
      </c>
      <c r="BI44" s="38" t="str">
        <f>IFERROR(__xludf.DUMMYFUNCTION("""COMPUTED_VALUE"""),"Blanket")</f>
        <v>Blanket</v>
      </c>
      <c r="BJ44" s="2">
        <v>1.5</v>
      </c>
      <c r="BK44" s="2">
        <v>1.0</v>
      </c>
      <c r="BL44" s="2">
        <v>1.0</v>
      </c>
      <c r="BM44" s="2">
        <v>1.0</v>
      </c>
      <c r="BN44" s="2">
        <v>1.0</v>
      </c>
      <c r="BO44" s="2">
        <v>1.0</v>
      </c>
      <c r="BP44" s="2">
        <v>1.0</v>
      </c>
      <c r="BQ44" s="2">
        <v>1.0</v>
      </c>
      <c r="BR44" s="2">
        <v>1.0</v>
      </c>
      <c r="BS44" s="2">
        <v>1.0</v>
      </c>
      <c r="BT44" s="2">
        <v>1.0</v>
      </c>
      <c r="BU44" s="2">
        <v>1.0</v>
      </c>
      <c r="BV44" s="2">
        <v>1.0</v>
      </c>
      <c r="BW44" s="2">
        <v>1.0</v>
      </c>
      <c r="BX44" s="2">
        <v>1.0</v>
      </c>
      <c r="BY44" s="2">
        <v>1.0</v>
      </c>
      <c r="BZ44" s="2">
        <v>1.0</v>
      </c>
      <c r="CB44" s="2"/>
      <c r="CC44" s="2"/>
      <c r="CD44" s="2"/>
      <c r="CE44" s="2"/>
      <c r="CF44" s="2"/>
      <c r="CG44" s="2"/>
      <c r="CH44" s="2"/>
      <c r="CI44" s="2"/>
      <c r="CJ44" s="2"/>
      <c r="CK44" s="2"/>
      <c r="CL44" s="2"/>
      <c r="CM44" s="2"/>
      <c r="CN44" s="2"/>
      <c r="CO44" s="2"/>
      <c r="CP44" s="2"/>
      <c r="CQ44" s="2"/>
    </row>
    <row r="45">
      <c r="D45" s="38" t="str">
        <f>IFERROR(__xludf.DUMMYFUNCTION("""COMPUTED_VALUE"""),"Cook’s Utensils")</f>
        <v>Cook’s Utensils</v>
      </c>
      <c r="E45" s="41">
        <f>IFERROR(__xludf.DUMMYFUNCTION("""COMPUTED_VALUE"""),1.5)</f>
        <v>1.5</v>
      </c>
      <c r="F45" s="38" t="str">
        <f>IFERROR(__xludf.DUMMYFUNCTION("""COMPUTED_VALUE"""),"8 lb.")</f>
        <v>8 lb.</v>
      </c>
      <c r="G45" s="38" t="str">
        <f>IFERROR(__xludf.DUMMYFUNCTION("""COMPUTED_VALUE"""),"Tool")</f>
        <v>Tool</v>
      </c>
      <c r="H45" s="41">
        <f>IFERROR(__xludf.DUMMYFUNCTION("""COMPUTED_VALUE"""),0.9299999999999999)</f>
        <v>0.93</v>
      </c>
      <c r="I45" s="41">
        <f>IFERROR(__xludf.DUMMYFUNCTION("""COMPUTED_VALUE"""),0.75)</f>
        <v>0.75</v>
      </c>
      <c r="J45" s="41">
        <f>IFERROR(__xludf.DUMMYFUNCTION("""COMPUTED_VALUE"""),1.2149999999999999)</f>
        <v>1.215</v>
      </c>
      <c r="K45" s="38" t="str">
        <f>IFERROR(__xludf.DUMMYFUNCTION("""COMPUTED_VALUE"""),"This kit includes the basic items needed by those proficient in cooking to pursue their craft.")</f>
        <v>This kit includes the basic items needed by those proficient in cooking to pursue their craft.</v>
      </c>
      <c r="L45" s="38" t="b">
        <f>IFERROR(__xludf.DUMMYFUNCTION("""COMPUTED_VALUE"""),FALSE)</f>
        <v>0</v>
      </c>
      <c r="M45" s="38" t="b">
        <f>IFERROR(__xludf.DUMMYFUNCTION("""COMPUTED_VALUE"""),TRUE)</f>
        <v>1</v>
      </c>
      <c r="N45" s="38" t="b">
        <f>IFERROR(__xludf.DUMMYFUNCTION("""COMPUTED_VALUE"""),FALSE)</f>
        <v>0</v>
      </c>
      <c r="O45" s="38" t="b">
        <f>IFERROR(__xludf.DUMMYFUNCTION("""COMPUTED_VALUE"""),FALSE)</f>
        <v>0</v>
      </c>
      <c r="P45" s="38" t="b">
        <f>IFERROR(__xludf.DUMMYFUNCTION("""COMPUTED_VALUE"""),FALSE)</f>
        <v>0</v>
      </c>
      <c r="Q45" s="38" t="b">
        <f>IFERROR(__xludf.DUMMYFUNCTION("""COMPUTED_VALUE"""),FALSE)</f>
        <v>0</v>
      </c>
      <c r="R45" s="38" t="b">
        <f>IFERROR(__xludf.DUMMYFUNCTION("""COMPUTED_VALUE"""),FALSE)</f>
        <v>0</v>
      </c>
      <c r="S45" s="38" t="b">
        <f>IFERROR(__xludf.DUMMYFUNCTION("""COMPUTED_VALUE"""),FALSE)</f>
        <v>0</v>
      </c>
      <c r="T45" s="38" t="b">
        <f>IFERROR(__xludf.DUMMYFUNCTION("""COMPUTED_VALUE"""),FALSE)</f>
        <v>0</v>
      </c>
      <c r="U45" s="38" t="b">
        <f>IFERROR(__xludf.DUMMYFUNCTION("""COMPUTED_VALUE"""),FALSE)</f>
        <v>0</v>
      </c>
      <c r="V45" s="38" t="b">
        <f>IFERROR(__xludf.DUMMYFUNCTION("""COMPUTED_VALUE"""),FALSE)</f>
        <v>0</v>
      </c>
      <c r="W45" s="38" t="b">
        <f>IFERROR(__xludf.DUMMYFUNCTION("""COMPUTED_VALUE"""),FALSE)</f>
        <v>0</v>
      </c>
      <c r="X45" s="38" t="b">
        <f>IFERROR(__xludf.DUMMYFUNCTION("""COMPUTED_VALUE"""),FALSE)</f>
        <v>0</v>
      </c>
      <c r="Y45" s="38" t="b">
        <f>IFERROR(__xludf.DUMMYFUNCTION("""COMPUTED_VALUE"""),FALSE)</f>
        <v>0</v>
      </c>
      <c r="Z45" s="38" t="b">
        <f>IFERROR(__xludf.DUMMYFUNCTION("""COMPUTED_VALUE"""),FALSE)</f>
        <v>0</v>
      </c>
      <c r="AA45" s="38" t="b">
        <f>IFERROR(__xludf.DUMMYFUNCTION("""COMPUTED_VALUE"""),FALSE)</f>
        <v>0</v>
      </c>
      <c r="AB45" s="38" t="b">
        <f>IFERROR(__xludf.DUMMYFUNCTION("""COMPUTED_VALUE"""),FALSE)</f>
        <v>0</v>
      </c>
      <c r="AC45" s="38">
        <f>IFERROR(__xludf.DUMMYFUNCTION("""COMPUTED_VALUE"""),0.8602821735531504)</f>
        <v>0.8602821736</v>
      </c>
      <c r="BI45" s="38" t="str">
        <f>IFERROR(__xludf.DUMMYFUNCTION("""COMPUTED_VALUE"""),"Chain (10 feet)")</f>
        <v>Chain (10 feet)</v>
      </c>
      <c r="BJ45" s="2">
        <v>1.5</v>
      </c>
      <c r="BK45" s="2">
        <v>1.0</v>
      </c>
      <c r="BL45" s="2">
        <v>1.0</v>
      </c>
      <c r="BM45" s="2">
        <v>1.0</v>
      </c>
      <c r="BN45" s="2">
        <v>1.0</v>
      </c>
      <c r="BO45" s="2">
        <v>1.0</v>
      </c>
      <c r="BP45" s="2">
        <v>1.0</v>
      </c>
      <c r="BQ45" s="2">
        <v>1.0</v>
      </c>
      <c r="BR45" s="2">
        <v>1.0</v>
      </c>
      <c r="BS45" s="2">
        <v>1.0</v>
      </c>
      <c r="BT45" s="2">
        <v>1.0</v>
      </c>
      <c r="BU45" s="2">
        <v>1.0</v>
      </c>
      <c r="BV45" s="2">
        <v>1.0</v>
      </c>
      <c r="BW45" s="2">
        <v>1.0</v>
      </c>
      <c r="BX45" s="2">
        <v>1.0</v>
      </c>
      <c r="BY45" s="2">
        <v>1.0</v>
      </c>
      <c r="BZ45" s="2">
        <v>1.0</v>
      </c>
      <c r="CB45" s="2"/>
      <c r="CC45" s="2"/>
      <c r="CD45" s="2"/>
      <c r="CE45" s="2"/>
      <c r="CF45" s="2"/>
      <c r="CG45" s="2"/>
      <c r="CH45" s="2"/>
      <c r="CI45" s="2"/>
      <c r="CJ45" s="2"/>
      <c r="CK45" s="2"/>
      <c r="CL45" s="2"/>
      <c r="CM45" s="2"/>
      <c r="CN45" s="2"/>
      <c r="CO45" s="2"/>
      <c r="CP45" s="2"/>
      <c r="CQ45" s="2"/>
    </row>
    <row r="46">
      <c r="D46" s="38" t="str">
        <f>IFERROR(__xludf.DUMMYFUNCTION("""COMPUTED_VALUE"""),"Dagger")</f>
        <v>Dagger</v>
      </c>
      <c r="E46" s="41">
        <f>IFERROR(__xludf.DUMMYFUNCTION("""COMPUTED_VALUE"""),1.2)</f>
        <v>1.2</v>
      </c>
      <c r="F46" s="38" t="str">
        <f>IFERROR(__xludf.DUMMYFUNCTION("""COMPUTED_VALUE"""),"1 lb.")</f>
        <v>1 lb.</v>
      </c>
      <c r="G46" s="38" t="str">
        <f>IFERROR(__xludf.DUMMYFUNCTION("""COMPUTED_VALUE"""),"Weapon")</f>
        <v>Weapon</v>
      </c>
      <c r="H46" s="41">
        <f>IFERROR(__xludf.DUMMYFUNCTION("""COMPUTED_VALUE"""),0.744)</f>
        <v>0.744</v>
      </c>
      <c r="I46" s="41">
        <f>IFERROR(__xludf.DUMMYFUNCTION("""COMPUTED_VALUE"""),0.6)</f>
        <v>0.6</v>
      </c>
      <c r="J46" s="41">
        <f>IFERROR(__xludf.DUMMYFUNCTION("""COMPUTED_VALUE"""),0.972)</f>
        <v>0.972</v>
      </c>
      <c r="K46" s="38"/>
      <c r="L46" s="41" t="b">
        <f>IFERROR(__xludf.DUMMYFUNCTION("""COMPUTED_VALUE"""),FALSE)</f>
        <v>0</v>
      </c>
      <c r="M46" s="41" t="b">
        <f>IFERROR(__xludf.DUMMYFUNCTION("""COMPUTED_VALUE"""),TRUE)</f>
        <v>1</v>
      </c>
      <c r="N46" s="38" t="b">
        <f>IFERROR(__xludf.DUMMYFUNCTION("""COMPUTED_VALUE"""),FALSE)</f>
        <v>0</v>
      </c>
      <c r="O46" s="38" t="b">
        <f>IFERROR(__xludf.DUMMYFUNCTION("""COMPUTED_VALUE"""),FALSE)</f>
        <v>0</v>
      </c>
      <c r="P46" s="38" t="b">
        <f>IFERROR(__xludf.DUMMYFUNCTION("""COMPUTED_VALUE"""),FALSE)</f>
        <v>0</v>
      </c>
      <c r="Q46" s="38" t="b">
        <f>IFERROR(__xludf.DUMMYFUNCTION("""COMPUTED_VALUE"""),FALSE)</f>
        <v>0</v>
      </c>
      <c r="R46" s="38" t="b">
        <f>IFERROR(__xludf.DUMMYFUNCTION("""COMPUTED_VALUE"""),FALSE)</f>
        <v>0</v>
      </c>
      <c r="S46" s="38" t="b">
        <f>IFERROR(__xludf.DUMMYFUNCTION("""COMPUTED_VALUE"""),FALSE)</f>
        <v>0</v>
      </c>
      <c r="T46" s="38" t="b">
        <f>IFERROR(__xludf.DUMMYFUNCTION("""COMPUTED_VALUE"""),FALSE)</f>
        <v>0</v>
      </c>
      <c r="U46" s="38" t="b">
        <f>IFERROR(__xludf.DUMMYFUNCTION("""COMPUTED_VALUE"""),FALSE)</f>
        <v>0</v>
      </c>
      <c r="V46" s="38" t="b">
        <f>IFERROR(__xludf.DUMMYFUNCTION("""COMPUTED_VALUE"""),FALSE)</f>
        <v>0</v>
      </c>
      <c r="W46" s="38" t="b">
        <f>IFERROR(__xludf.DUMMYFUNCTION("""COMPUTED_VALUE"""),FALSE)</f>
        <v>0</v>
      </c>
      <c r="X46" s="38" t="b">
        <f>IFERROR(__xludf.DUMMYFUNCTION("""COMPUTED_VALUE"""),FALSE)</f>
        <v>0</v>
      </c>
      <c r="Y46" s="38" t="b">
        <f>IFERROR(__xludf.DUMMYFUNCTION("""COMPUTED_VALUE"""),FALSE)</f>
        <v>0</v>
      </c>
      <c r="Z46" s="38" t="b">
        <f>IFERROR(__xludf.DUMMYFUNCTION("""COMPUTED_VALUE"""),TRUE)</f>
        <v>1</v>
      </c>
      <c r="AA46" s="38" t="b">
        <f>IFERROR(__xludf.DUMMYFUNCTION("""COMPUTED_VALUE"""),FALSE)</f>
        <v>0</v>
      </c>
      <c r="AB46" s="38" t="b">
        <f>IFERROR(__xludf.DUMMYFUNCTION("""COMPUTED_VALUE"""),FALSE)</f>
        <v>0</v>
      </c>
      <c r="AC46" s="38">
        <f>IFERROR(__xludf.DUMMYFUNCTION("""COMPUTED_VALUE"""),0.8679841152087906)</f>
        <v>0.8679841152</v>
      </c>
      <c r="BI46" s="38" t="str">
        <f>IFERROR(__xludf.DUMMYFUNCTION("""COMPUTED_VALUE"""),"Climber's Kit")</f>
        <v>Climber's Kit</v>
      </c>
      <c r="BJ46" s="2">
        <v>1.5</v>
      </c>
      <c r="BK46" s="2">
        <v>1.0</v>
      </c>
      <c r="BL46" s="2">
        <v>1.0</v>
      </c>
      <c r="BM46" s="2">
        <v>1.0</v>
      </c>
      <c r="BN46" s="2">
        <v>1.0</v>
      </c>
      <c r="BO46" s="2">
        <v>1.0</v>
      </c>
      <c r="BP46" s="2">
        <v>1.0</v>
      </c>
      <c r="BQ46" s="2">
        <v>1.0</v>
      </c>
      <c r="BR46" s="2">
        <v>1.0</v>
      </c>
      <c r="BS46" s="2">
        <v>1.0</v>
      </c>
      <c r="BT46" s="2">
        <v>1.0</v>
      </c>
      <c r="BU46" s="2">
        <v>1.0</v>
      </c>
      <c r="BV46" s="2">
        <v>1.0</v>
      </c>
      <c r="BW46" s="2">
        <v>1.0</v>
      </c>
      <c r="BX46" s="2">
        <v>1.0</v>
      </c>
      <c r="BY46" s="2">
        <v>1.0</v>
      </c>
      <c r="BZ46" s="2">
        <v>1.0</v>
      </c>
      <c r="CB46" s="2"/>
      <c r="CC46" s="2"/>
      <c r="CD46" s="2"/>
      <c r="CE46" s="2"/>
      <c r="CF46" s="2"/>
      <c r="CG46" s="2"/>
      <c r="CH46" s="2"/>
      <c r="CI46" s="2"/>
      <c r="CJ46" s="2"/>
      <c r="CK46" s="2"/>
      <c r="CL46" s="2"/>
      <c r="CM46" s="2"/>
      <c r="CN46" s="2"/>
      <c r="CO46" s="2"/>
      <c r="CP46" s="2"/>
      <c r="CQ46" s="2"/>
    </row>
    <row r="47">
      <c r="D47" s="38" t="str">
        <f>IFERROR(__xludf.DUMMYFUNCTION("""COMPUTED_VALUE"""),"Mace")</f>
        <v>Mace</v>
      </c>
      <c r="E47" s="41">
        <f>IFERROR(__xludf.DUMMYFUNCTION("""COMPUTED_VALUE"""),3.0)</f>
        <v>3</v>
      </c>
      <c r="F47" s="38" t="str">
        <f>IFERROR(__xludf.DUMMYFUNCTION("""COMPUTED_VALUE"""),"4 lb.")</f>
        <v>4 lb.</v>
      </c>
      <c r="G47" s="38" t="str">
        <f>IFERROR(__xludf.DUMMYFUNCTION("""COMPUTED_VALUE"""),"Weapon")</f>
        <v>Weapon</v>
      </c>
      <c r="H47" s="41">
        <f>IFERROR(__xludf.DUMMYFUNCTION("""COMPUTED_VALUE"""),1.8599999999999999)</f>
        <v>1.86</v>
      </c>
      <c r="I47" s="41">
        <f>IFERROR(__xludf.DUMMYFUNCTION("""COMPUTED_VALUE"""),1.5)</f>
        <v>1.5</v>
      </c>
      <c r="J47" s="41">
        <f>IFERROR(__xludf.DUMMYFUNCTION("""COMPUTED_VALUE"""),2.4299999999999997)</f>
        <v>2.43</v>
      </c>
      <c r="K47" s="38"/>
      <c r="L47" s="41" t="b">
        <f>IFERROR(__xludf.DUMMYFUNCTION("""COMPUTED_VALUE"""),FALSE)</f>
        <v>0</v>
      </c>
      <c r="M47" s="41" t="b">
        <f>IFERROR(__xludf.DUMMYFUNCTION("""COMPUTED_VALUE"""),TRUE)</f>
        <v>1</v>
      </c>
      <c r="N47" s="38" t="b">
        <f>IFERROR(__xludf.DUMMYFUNCTION("""COMPUTED_VALUE"""),FALSE)</f>
        <v>0</v>
      </c>
      <c r="O47" s="38" t="b">
        <f>IFERROR(__xludf.DUMMYFUNCTION("""COMPUTED_VALUE"""),FALSE)</f>
        <v>0</v>
      </c>
      <c r="P47" s="38" t="b">
        <f>IFERROR(__xludf.DUMMYFUNCTION("""COMPUTED_VALUE"""),FALSE)</f>
        <v>0</v>
      </c>
      <c r="Q47" s="38" t="b">
        <f>IFERROR(__xludf.DUMMYFUNCTION("""COMPUTED_VALUE"""),FALSE)</f>
        <v>0</v>
      </c>
      <c r="R47" s="38" t="b">
        <f>IFERROR(__xludf.DUMMYFUNCTION("""COMPUTED_VALUE"""),FALSE)</f>
        <v>0</v>
      </c>
      <c r="S47" s="38" t="b">
        <f>IFERROR(__xludf.DUMMYFUNCTION("""COMPUTED_VALUE"""),FALSE)</f>
        <v>0</v>
      </c>
      <c r="T47" s="38" t="b">
        <f>IFERROR(__xludf.DUMMYFUNCTION("""COMPUTED_VALUE"""),FALSE)</f>
        <v>0</v>
      </c>
      <c r="U47" s="38" t="b">
        <f>IFERROR(__xludf.DUMMYFUNCTION("""COMPUTED_VALUE"""),FALSE)</f>
        <v>0</v>
      </c>
      <c r="V47" s="38" t="b">
        <f>IFERROR(__xludf.DUMMYFUNCTION("""COMPUTED_VALUE"""),FALSE)</f>
        <v>0</v>
      </c>
      <c r="W47" s="38" t="b">
        <f>IFERROR(__xludf.DUMMYFUNCTION("""COMPUTED_VALUE"""),FALSE)</f>
        <v>0</v>
      </c>
      <c r="X47" s="38" t="b">
        <f>IFERROR(__xludf.DUMMYFUNCTION("""COMPUTED_VALUE"""),FALSE)</f>
        <v>0</v>
      </c>
      <c r="Y47" s="38" t="b">
        <f>IFERROR(__xludf.DUMMYFUNCTION("""COMPUTED_VALUE"""),FALSE)</f>
        <v>0</v>
      </c>
      <c r="Z47" s="38" t="b">
        <f>IFERROR(__xludf.DUMMYFUNCTION("""COMPUTED_VALUE"""),TRUE)</f>
        <v>1</v>
      </c>
      <c r="AA47" s="38" t="b">
        <f>IFERROR(__xludf.DUMMYFUNCTION("""COMPUTED_VALUE"""),FALSE)</f>
        <v>0</v>
      </c>
      <c r="AB47" s="38" t="b">
        <f>IFERROR(__xludf.DUMMYFUNCTION("""COMPUTED_VALUE"""),FALSE)</f>
        <v>0</v>
      </c>
      <c r="AC47" s="38">
        <f>IFERROR(__xludf.DUMMYFUNCTION("""COMPUTED_VALUE"""),0.8738589370589196)</f>
        <v>0.8738589371</v>
      </c>
      <c r="BI47" s="38" t="str">
        <f>IFERROR(__xludf.DUMMYFUNCTION("""COMPUTED_VALUE"""),"Component Pouch")</f>
        <v>Component Pouch</v>
      </c>
      <c r="BJ47" s="2">
        <v>1.5</v>
      </c>
      <c r="BK47" s="2">
        <v>1.0</v>
      </c>
      <c r="BL47" s="2">
        <v>1.0</v>
      </c>
      <c r="BM47" s="2">
        <v>1.0</v>
      </c>
      <c r="BN47" s="2">
        <v>1.0</v>
      </c>
      <c r="BO47" s="2">
        <v>1.0</v>
      </c>
      <c r="BP47" s="2">
        <v>1.0</v>
      </c>
      <c r="BQ47" s="2">
        <v>1.0</v>
      </c>
      <c r="BR47" s="2">
        <v>1.0</v>
      </c>
      <c r="BS47" s="2">
        <v>1.0</v>
      </c>
      <c r="BT47" s="2">
        <v>1.0</v>
      </c>
      <c r="BU47" s="2">
        <v>1.0</v>
      </c>
      <c r="BV47" s="2">
        <v>1.0</v>
      </c>
      <c r="BW47" s="2">
        <v>1.0</v>
      </c>
      <c r="BX47" s="2">
        <v>1.0</v>
      </c>
      <c r="BY47" s="2">
        <v>1.0</v>
      </c>
      <c r="BZ47" s="2">
        <v>1.0</v>
      </c>
      <c r="CB47" s="2"/>
      <c r="CC47" s="2"/>
      <c r="CD47" s="2"/>
      <c r="CE47" s="2"/>
      <c r="CF47" s="2"/>
      <c r="CG47" s="2"/>
      <c r="CH47" s="2"/>
      <c r="CI47" s="2"/>
      <c r="CJ47" s="2"/>
      <c r="CK47" s="2"/>
      <c r="CL47" s="2"/>
      <c r="CM47" s="2"/>
      <c r="CN47" s="2"/>
      <c r="CO47" s="2"/>
      <c r="CP47" s="2"/>
      <c r="CQ47" s="2"/>
    </row>
    <row r="48">
      <c r="D48" s="38" t="str">
        <f>IFERROR(__xludf.DUMMYFUNCTION("""COMPUTED_VALUE"""),"Dart")</f>
        <v>Dart</v>
      </c>
      <c r="E48" s="41">
        <f>IFERROR(__xludf.DUMMYFUNCTION("""COMPUTED_VALUE"""),0.03)</f>
        <v>0.03</v>
      </c>
      <c r="F48" s="38" t="str">
        <f>IFERROR(__xludf.DUMMYFUNCTION("""COMPUTED_VALUE"""),"1/4 lb.")</f>
        <v>1/4 lb.</v>
      </c>
      <c r="G48" s="38" t="str">
        <f>IFERROR(__xludf.DUMMYFUNCTION("""COMPUTED_VALUE"""),"Weapon")</f>
        <v>Weapon</v>
      </c>
      <c r="H48" s="41">
        <f>IFERROR(__xludf.DUMMYFUNCTION("""COMPUTED_VALUE"""),0.0186)</f>
        <v>0.0186</v>
      </c>
      <c r="I48" s="41">
        <f>IFERROR(__xludf.DUMMYFUNCTION("""COMPUTED_VALUE"""),0.015)</f>
        <v>0.015</v>
      </c>
      <c r="J48" s="41">
        <f>IFERROR(__xludf.DUMMYFUNCTION("""COMPUTED_VALUE"""),0.0243)</f>
        <v>0.0243</v>
      </c>
      <c r="K48" s="38"/>
      <c r="L48" s="41" t="b">
        <f>IFERROR(__xludf.DUMMYFUNCTION("""COMPUTED_VALUE"""),FALSE)</f>
        <v>0</v>
      </c>
      <c r="M48" s="41" t="b">
        <f>IFERROR(__xludf.DUMMYFUNCTION("""COMPUTED_VALUE"""),TRUE)</f>
        <v>1</v>
      </c>
      <c r="N48" s="38" t="b">
        <f>IFERROR(__xludf.DUMMYFUNCTION("""COMPUTED_VALUE"""),FALSE)</f>
        <v>0</v>
      </c>
      <c r="O48" s="38" t="b">
        <f>IFERROR(__xludf.DUMMYFUNCTION("""COMPUTED_VALUE"""),FALSE)</f>
        <v>0</v>
      </c>
      <c r="P48" s="38" t="b">
        <f>IFERROR(__xludf.DUMMYFUNCTION("""COMPUTED_VALUE"""),FALSE)</f>
        <v>0</v>
      </c>
      <c r="Q48" s="38" t="b">
        <f>IFERROR(__xludf.DUMMYFUNCTION("""COMPUTED_VALUE"""),FALSE)</f>
        <v>0</v>
      </c>
      <c r="R48" s="38" t="b">
        <f>IFERROR(__xludf.DUMMYFUNCTION("""COMPUTED_VALUE"""),FALSE)</f>
        <v>0</v>
      </c>
      <c r="S48" s="38" t="b">
        <f>IFERROR(__xludf.DUMMYFUNCTION("""COMPUTED_VALUE"""),FALSE)</f>
        <v>0</v>
      </c>
      <c r="T48" s="38" t="b">
        <f>IFERROR(__xludf.DUMMYFUNCTION("""COMPUTED_VALUE"""),FALSE)</f>
        <v>0</v>
      </c>
      <c r="U48" s="38" t="b">
        <f>IFERROR(__xludf.DUMMYFUNCTION("""COMPUTED_VALUE"""),FALSE)</f>
        <v>0</v>
      </c>
      <c r="V48" s="38" t="b">
        <f>IFERROR(__xludf.DUMMYFUNCTION("""COMPUTED_VALUE"""),FALSE)</f>
        <v>0</v>
      </c>
      <c r="W48" s="38" t="b">
        <f>IFERROR(__xludf.DUMMYFUNCTION("""COMPUTED_VALUE"""),FALSE)</f>
        <v>0</v>
      </c>
      <c r="X48" s="38" t="b">
        <f>IFERROR(__xludf.DUMMYFUNCTION("""COMPUTED_VALUE"""),FALSE)</f>
        <v>0</v>
      </c>
      <c r="Y48" s="38" t="b">
        <f>IFERROR(__xludf.DUMMYFUNCTION("""COMPUTED_VALUE"""),FALSE)</f>
        <v>0</v>
      </c>
      <c r="Z48" s="38" t="b">
        <f>IFERROR(__xludf.DUMMYFUNCTION("""COMPUTED_VALUE"""),TRUE)</f>
        <v>1</v>
      </c>
      <c r="AA48" s="38" t="b">
        <f>IFERROR(__xludf.DUMMYFUNCTION("""COMPUTED_VALUE"""),FALSE)</f>
        <v>0</v>
      </c>
      <c r="AB48" s="38" t="b">
        <f>IFERROR(__xludf.DUMMYFUNCTION("""COMPUTED_VALUE"""),FALSE)</f>
        <v>0</v>
      </c>
      <c r="AC48" s="38">
        <f>IFERROR(__xludf.DUMMYFUNCTION("""COMPUTED_VALUE"""),0.9053521248515327)</f>
        <v>0.9053521249</v>
      </c>
      <c r="BI48" s="38" t="str">
        <f>IFERROR(__xludf.DUMMYFUNCTION("""COMPUTED_VALUE"""),"Grappling Hook")</f>
        <v>Grappling Hook</v>
      </c>
      <c r="BJ48" s="2">
        <v>1.5</v>
      </c>
      <c r="BK48" s="2">
        <v>1.0</v>
      </c>
      <c r="BL48" s="2">
        <v>1.0</v>
      </c>
      <c r="BM48" s="2">
        <v>1.0</v>
      </c>
      <c r="BN48" s="2">
        <v>1.0</v>
      </c>
      <c r="BO48" s="2">
        <v>1.0</v>
      </c>
      <c r="BP48" s="2">
        <v>1.0</v>
      </c>
      <c r="BQ48" s="2">
        <v>1.0</v>
      </c>
      <c r="BR48" s="2">
        <v>1.0</v>
      </c>
      <c r="BS48" s="2">
        <v>1.0</v>
      </c>
      <c r="BT48" s="2">
        <v>1.0</v>
      </c>
      <c r="BU48" s="2">
        <v>1.0</v>
      </c>
      <c r="BV48" s="2">
        <v>1.0</v>
      </c>
      <c r="BW48" s="2">
        <v>1.0</v>
      </c>
      <c r="BX48" s="2">
        <v>1.0</v>
      </c>
      <c r="BY48" s="2">
        <v>1.0</v>
      </c>
      <c r="BZ48" s="2">
        <v>1.0</v>
      </c>
      <c r="CB48" s="2"/>
      <c r="CC48" s="2"/>
      <c r="CD48" s="2"/>
      <c r="CE48" s="2"/>
      <c r="CF48" s="2"/>
      <c r="CG48" s="2"/>
      <c r="CH48" s="2"/>
      <c r="CI48" s="2"/>
      <c r="CJ48" s="2"/>
      <c r="CK48" s="2"/>
      <c r="CL48" s="2"/>
      <c r="CM48" s="2"/>
      <c r="CN48" s="2"/>
      <c r="CO48" s="2"/>
      <c r="CP48" s="2"/>
      <c r="CQ48" s="2"/>
    </row>
    <row r="49">
      <c r="D49" s="38" t="str">
        <f>IFERROR(__xludf.DUMMYFUNCTION("""COMPUTED_VALUE"""),"Ball Bearings")</f>
        <v>Ball Bearings</v>
      </c>
      <c r="E49" s="41">
        <f>IFERROR(__xludf.DUMMYFUNCTION("""COMPUTED_VALUE"""),1.5)</f>
        <v>1.5</v>
      </c>
      <c r="F49" s="38" t="str">
        <f>IFERROR(__xludf.DUMMYFUNCTION("""COMPUTED_VALUE"""),"2 lb. bag of 1,000")</f>
        <v>2 lb. bag of 1,000</v>
      </c>
      <c r="G49" s="38" t="str">
        <f>IFERROR(__xludf.DUMMYFUNCTION("""COMPUTED_VALUE"""),"Tool")</f>
        <v>Tool</v>
      </c>
      <c r="H49" s="41">
        <f>IFERROR(__xludf.DUMMYFUNCTION("""COMPUTED_VALUE"""),0.9299999999999999)</f>
        <v>0.93</v>
      </c>
      <c r="I49" s="41">
        <f>IFERROR(__xludf.DUMMYFUNCTION("""COMPUTED_VALUE"""),0.75)</f>
        <v>0.75</v>
      </c>
      <c r="J49" s="41">
        <f>IFERROR(__xludf.DUMMYFUNCTION("""COMPUTED_VALUE"""),1.2149999999999999)</f>
        <v>1.215</v>
      </c>
      <c r="K49" s="38"/>
      <c r="L49" s="41" t="b">
        <f>IFERROR(__xludf.DUMMYFUNCTION("""COMPUTED_VALUE"""),FALSE)</f>
        <v>0</v>
      </c>
      <c r="M49" s="41" t="b">
        <f>IFERROR(__xludf.DUMMYFUNCTION("""COMPUTED_VALUE"""),TRUE)</f>
        <v>1</v>
      </c>
      <c r="N49" s="38" t="b">
        <f>IFERROR(__xludf.DUMMYFUNCTION("""COMPUTED_VALUE"""),TRUE)</f>
        <v>1</v>
      </c>
      <c r="O49" s="38" t="b">
        <f>IFERROR(__xludf.DUMMYFUNCTION("""COMPUTED_VALUE"""),FALSE)</f>
        <v>0</v>
      </c>
      <c r="P49" s="38" t="b">
        <f>IFERROR(__xludf.DUMMYFUNCTION("""COMPUTED_VALUE"""),FALSE)</f>
        <v>0</v>
      </c>
      <c r="Q49" s="38" t="b">
        <f>IFERROR(__xludf.DUMMYFUNCTION("""COMPUTED_VALUE"""),FALSE)</f>
        <v>0</v>
      </c>
      <c r="R49" s="38" t="b">
        <f>IFERROR(__xludf.DUMMYFUNCTION("""COMPUTED_VALUE"""),FALSE)</f>
        <v>0</v>
      </c>
      <c r="S49" s="38" t="b">
        <f>IFERROR(__xludf.DUMMYFUNCTION("""COMPUTED_VALUE"""),FALSE)</f>
        <v>0</v>
      </c>
      <c r="T49" s="38" t="b">
        <f>IFERROR(__xludf.DUMMYFUNCTION("""COMPUTED_VALUE"""),FALSE)</f>
        <v>0</v>
      </c>
      <c r="U49" s="38" t="b">
        <f>IFERROR(__xludf.DUMMYFUNCTION("""COMPUTED_VALUE"""),FALSE)</f>
        <v>0</v>
      </c>
      <c r="V49" s="38" t="b">
        <f>IFERROR(__xludf.DUMMYFUNCTION("""COMPUTED_VALUE"""),FALSE)</f>
        <v>0</v>
      </c>
      <c r="W49" s="38" t="b">
        <f>IFERROR(__xludf.DUMMYFUNCTION("""COMPUTED_VALUE"""),FALSE)</f>
        <v>0</v>
      </c>
      <c r="X49" s="38" t="b">
        <f>IFERROR(__xludf.DUMMYFUNCTION("""COMPUTED_VALUE"""),FALSE)</f>
        <v>0</v>
      </c>
      <c r="Y49" s="38" t="b">
        <f>IFERROR(__xludf.DUMMYFUNCTION("""COMPUTED_VALUE"""),FALSE)</f>
        <v>0</v>
      </c>
      <c r="Z49" s="38" t="b">
        <f>IFERROR(__xludf.DUMMYFUNCTION("""COMPUTED_VALUE"""),TRUE)</f>
        <v>1</v>
      </c>
      <c r="AA49" s="38" t="b">
        <f>IFERROR(__xludf.DUMMYFUNCTION("""COMPUTED_VALUE"""),FALSE)</f>
        <v>0</v>
      </c>
      <c r="AB49" s="38" t="b">
        <f>IFERROR(__xludf.DUMMYFUNCTION("""COMPUTED_VALUE"""),FALSE)</f>
        <v>0</v>
      </c>
      <c r="AC49" s="38">
        <f>IFERROR(__xludf.DUMMYFUNCTION("""COMPUTED_VALUE"""),0.9215492371582195)</f>
        <v>0.9215492372</v>
      </c>
      <c r="BI49" s="38" t="str">
        <f>IFERROR(__xludf.DUMMYFUNCTION("""COMPUTED_VALUE"""),"Healer’s Kit")</f>
        <v>Healer’s Kit</v>
      </c>
      <c r="BJ49" s="2">
        <v>1.5</v>
      </c>
      <c r="BK49" s="2">
        <v>1.0</v>
      </c>
      <c r="BL49" s="2">
        <v>1.0</v>
      </c>
      <c r="BM49" s="2">
        <v>1.0</v>
      </c>
      <c r="BN49" s="2">
        <v>1.0</v>
      </c>
      <c r="BO49" s="2">
        <v>1.0</v>
      </c>
      <c r="BP49" s="2">
        <v>1.0</v>
      </c>
      <c r="BQ49" s="2">
        <v>1.0</v>
      </c>
      <c r="BR49" s="2">
        <v>1.0</v>
      </c>
      <c r="BS49" s="2">
        <v>1.0</v>
      </c>
      <c r="BT49" s="2">
        <v>1.0</v>
      </c>
      <c r="BU49" s="2">
        <v>1.0</v>
      </c>
      <c r="BV49" s="2">
        <v>1.0</v>
      </c>
      <c r="BW49" s="2">
        <v>1.0</v>
      </c>
      <c r="BX49" s="2">
        <v>1.0</v>
      </c>
      <c r="BY49" s="2">
        <v>1.0</v>
      </c>
      <c r="BZ49" s="2">
        <v>1.0</v>
      </c>
      <c r="CB49" s="2"/>
      <c r="CC49" s="2"/>
      <c r="CD49" s="2"/>
      <c r="CE49" s="2"/>
      <c r="CF49" s="2"/>
      <c r="CG49" s="2"/>
      <c r="CH49" s="2"/>
      <c r="CI49" s="2"/>
      <c r="CJ49" s="2"/>
      <c r="CK49" s="2"/>
      <c r="CL49" s="2"/>
      <c r="CM49" s="2"/>
      <c r="CN49" s="2"/>
      <c r="CO49" s="2"/>
      <c r="CP49" s="2"/>
      <c r="CQ49" s="2"/>
    </row>
    <row r="50">
      <c r="D50" s="41" t="str">
        <f>IFERROR(__xludf.DUMMYFUNCTION("""COMPUTED_VALUE"""),"Iron")</f>
        <v>Iron</v>
      </c>
      <c r="E50" s="41">
        <f>IFERROR(__xludf.DUMMYFUNCTION("""COMPUTED_VALUE"""),0.1)</f>
        <v>0.1</v>
      </c>
      <c r="F50" s="38" t="str">
        <f>IFERROR(__xludf.DUMMYFUNCTION("""COMPUTED_VALUE"""),"1 lb.")</f>
        <v>1 lb.</v>
      </c>
      <c r="G50" s="41" t="str">
        <f>IFERROR(__xludf.DUMMYFUNCTION("""COMPUTED_VALUE"""),"Metal")</f>
        <v>Metal</v>
      </c>
      <c r="H50" s="41">
        <f>IFERROR(__xludf.DUMMYFUNCTION("""COMPUTED_VALUE"""),0.062)</f>
        <v>0.062</v>
      </c>
      <c r="I50" s="41">
        <f>IFERROR(__xludf.DUMMYFUNCTION("""COMPUTED_VALUE"""),0.05)</f>
        <v>0.05</v>
      </c>
      <c r="J50" s="41">
        <f>IFERROR(__xludf.DUMMYFUNCTION("""COMPUTED_VALUE"""),0.081)</f>
        <v>0.081</v>
      </c>
      <c r="K50" s="38"/>
      <c r="L50" s="41" t="b">
        <f>IFERROR(__xludf.DUMMYFUNCTION("""COMPUTED_VALUE"""),FALSE)</f>
        <v>0</v>
      </c>
      <c r="M50" s="41" t="b">
        <f>IFERROR(__xludf.DUMMYFUNCTION("""COMPUTED_VALUE"""),TRUE)</f>
        <v>1</v>
      </c>
      <c r="N50" s="41" t="b">
        <f>IFERROR(__xludf.DUMMYFUNCTION("""COMPUTED_VALUE"""),TRUE)</f>
        <v>1</v>
      </c>
      <c r="O50" s="41" t="b">
        <f>IFERROR(__xludf.DUMMYFUNCTION("""COMPUTED_VALUE"""),TRUE)</f>
        <v>1</v>
      </c>
      <c r="P50" s="38" t="b">
        <f>IFERROR(__xludf.DUMMYFUNCTION("""COMPUTED_VALUE"""),FALSE)</f>
        <v>0</v>
      </c>
      <c r="Q50" s="38" t="b">
        <f>IFERROR(__xludf.DUMMYFUNCTION("""COMPUTED_VALUE"""),FALSE)</f>
        <v>0</v>
      </c>
      <c r="R50" s="38" t="b">
        <f>IFERROR(__xludf.DUMMYFUNCTION("""COMPUTED_VALUE"""),FALSE)</f>
        <v>0</v>
      </c>
      <c r="S50" s="38" t="b">
        <f>IFERROR(__xludf.DUMMYFUNCTION("""COMPUTED_VALUE"""),FALSE)</f>
        <v>0</v>
      </c>
      <c r="T50" s="38" t="b">
        <f>IFERROR(__xludf.DUMMYFUNCTION("""COMPUTED_VALUE"""),FALSE)</f>
        <v>0</v>
      </c>
      <c r="U50" s="38" t="b">
        <f>IFERROR(__xludf.DUMMYFUNCTION("""COMPUTED_VALUE"""),FALSE)</f>
        <v>0</v>
      </c>
      <c r="V50" s="38" t="b">
        <f>IFERROR(__xludf.DUMMYFUNCTION("""COMPUTED_VALUE"""),FALSE)</f>
        <v>0</v>
      </c>
      <c r="W50" s="38" t="b">
        <f>IFERROR(__xludf.DUMMYFUNCTION("""COMPUTED_VALUE"""),FALSE)</f>
        <v>0</v>
      </c>
      <c r="X50" s="38" t="b">
        <f>IFERROR(__xludf.DUMMYFUNCTION("""COMPUTED_VALUE"""),FALSE)</f>
        <v>0</v>
      </c>
      <c r="Y50" s="38" t="b">
        <f>IFERROR(__xludf.DUMMYFUNCTION("""COMPUTED_VALUE"""),FALSE)</f>
        <v>0</v>
      </c>
      <c r="Z50" s="38" t="b">
        <f>IFERROR(__xludf.DUMMYFUNCTION("""COMPUTED_VALUE"""),TRUE)</f>
        <v>1</v>
      </c>
      <c r="AA50" s="38" t="b">
        <f>IFERROR(__xludf.DUMMYFUNCTION("""COMPUTED_VALUE"""),FALSE)</f>
        <v>0</v>
      </c>
      <c r="AB50" s="38" t="b">
        <f>IFERROR(__xludf.DUMMYFUNCTION("""COMPUTED_VALUE"""),FALSE)</f>
        <v>0</v>
      </c>
      <c r="AC50" s="38">
        <f>IFERROR(__xludf.DUMMYFUNCTION("""COMPUTED_VALUE"""),0.9297503370602442)</f>
        <v>0.9297503371</v>
      </c>
      <c r="BI50" s="38" t="str">
        <f>IFERROR(__xludf.DUMMYFUNCTION("""COMPUTED_VALUE"""),"Hunting Trap")</f>
        <v>Hunting Trap</v>
      </c>
      <c r="BJ50" s="2">
        <v>1.5</v>
      </c>
      <c r="BK50" s="2">
        <v>1.0</v>
      </c>
      <c r="BL50" s="2">
        <v>1.0</v>
      </c>
      <c r="BM50" s="2">
        <v>1.0</v>
      </c>
      <c r="BN50" s="2">
        <v>1.0</v>
      </c>
      <c r="BO50" s="2">
        <v>1.0</v>
      </c>
      <c r="BP50" s="2">
        <v>1.0</v>
      </c>
      <c r="BQ50" s="2">
        <v>1.0</v>
      </c>
      <c r="BR50" s="2">
        <v>1.0</v>
      </c>
      <c r="BS50" s="2">
        <v>1.0</v>
      </c>
      <c r="BT50" s="2">
        <v>1.0</v>
      </c>
      <c r="BU50" s="2">
        <v>1.0</v>
      </c>
      <c r="BV50" s="2">
        <v>1.0</v>
      </c>
      <c r="BW50" s="2">
        <v>1.0</v>
      </c>
      <c r="BX50" s="2">
        <v>1.0</v>
      </c>
      <c r="BY50" s="2">
        <v>1.0</v>
      </c>
      <c r="BZ50" s="2">
        <v>1.0</v>
      </c>
      <c r="CB50" s="2"/>
      <c r="CC50" s="2"/>
      <c r="CD50" s="2"/>
      <c r="CE50" s="2"/>
      <c r="CF50" s="2"/>
      <c r="CG50" s="2"/>
      <c r="CH50" s="2"/>
      <c r="CI50" s="2"/>
      <c r="CJ50" s="2"/>
      <c r="CK50" s="2"/>
      <c r="CL50" s="2"/>
      <c r="CM50" s="2"/>
      <c r="CN50" s="2"/>
      <c r="CO50" s="2"/>
      <c r="CP50" s="2"/>
      <c r="CQ50" s="2"/>
    </row>
    <row r="51">
      <c r="D51" s="38" t="str">
        <f>IFERROR(__xludf.DUMMYFUNCTION("""COMPUTED_VALUE"""),"Steel Mirror")</f>
        <v>Steel Mirror</v>
      </c>
      <c r="E51" s="41">
        <f>IFERROR(__xludf.DUMMYFUNCTION("""COMPUTED_VALUE"""),5.0)</f>
        <v>5</v>
      </c>
      <c r="F51" s="38" t="str">
        <f>IFERROR(__xludf.DUMMYFUNCTION("""COMPUTED_VALUE"""),"1/2 lb.")</f>
        <v>1/2 lb.</v>
      </c>
      <c r="G51" s="38" t="str">
        <f>IFERROR(__xludf.DUMMYFUNCTION("""COMPUTED_VALUE"""),"Equipment")</f>
        <v>Equipment</v>
      </c>
      <c r="H51" s="41">
        <f>IFERROR(__xludf.DUMMYFUNCTION("""COMPUTED_VALUE"""),3.1)</f>
        <v>3.1</v>
      </c>
      <c r="I51" s="41">
        <f>IFERROR(__xludf.DUMMYFUNCTION("""COMPUTED_VALUE"""),2.5)</f>
        <v>2.5</v>
      </c>
      <c r="J51" s="41">
        <f>IFERROR(__xludf.DUMMYFUNCTION("""COMPUTED_VALUE"""),4.05)</f>
        <v>4.05</v>
      </c>
      <c r="K51" s="38"/>
      <c r="L51" s="41" t="b">
        <f>IFERROR(__xludf.DUMMYFUNCTION("""COMPUTED_VALUE"""),FALSE)</f>
        <v>0</v>
      </c>
      <c r="M51" s="41" t="b">
        <f>IFERROR(__xludf.DUMMYFUNCTION("""COMPUTED_VALUE"""),TRUE)</f>
        <v>1</v>
      </c>
      <c r="N51" s="38" t="b">
        <f>IFERROR(__xludf.DUMMYFUNCTION("""COMPUTED_VALUE"""),FALSE)</f>
        <v>0</v>
      </c>
      <c r="O51" s="38" t="b">
        <f>IFERROR(__xludf.DUMMYFUNCTION("""COMPUTED_VALUE"""),FALSE)</f>
        <v>0</v>
      </c>
      <c r="P51" s="38" t="b">
        <f>IFERROR(__xludf.DUMMYFUNCTION("""COMPUTED_VALUE"""),FALSE)</f>
        <v>0</v>
      </c>
      <c r="Q51" s="38" t="b">
        <f>IFERROR(__xludf.DUMMYFUNCTION("""COMPUTED_VALUE"""),FALSE)</f>
        <v>0</v>
      </c>
      <c r="R51" s="38" t="b">
        <f>IFERROR(__xludf.DUMMYFUNCTION("""COMPUTED_VALUE"""),FALSE)</f>
        <v>0</v>
      </c>
      <c r="S51" s="38" t="b">
        <f>IFERROR(__xludf.DUMMYFUNCTION("""COMPUTED_VALUE"""),FALSE)</f>
        <v>0</v>
      </c>
      <c r="T51" s="38" t="b">
        <f>IFERROR(__xludf.DUMMYFUNCTION("""COMPUTED_VALUE"""),FALSE)</f>
        <v>0</v>
      </c>
      <c r="U51" s="38" t="b">
        <f>IFERROR(__xludf.DUMMYFUNCTION("""COMPUTED_VALUE"""),TRUE)</f>
        <v>1</v>
      </c>
      <c r="V51" s="38" t="b">
        <f>IFERROR(__xludf.DUMMYFUNCTION("""COMPUTED_VALUE"""),FALSE)</f>
        <v>0</v>
      </c>
      <c r="W51" s="38" t="b">
        <f>IFERROR(__xludf.DUMMYFUNCTION("""COMPUTED_VALUE"""),FALSE)</f>
        <v>0</v>
      </c>
      <c r="X51" s="38" t="b">
        <f>IFERROR(__xludf.DUMMYFUNCTION("""COMPUTED_VALUE"""),FALSE)</f>
        <v>0</v>
      </c>
      <c r="Y51" s="38" t="b">
        <f>IFERROR(__xludf.DUMMYFUNCTION("""COMPUTED_VALUE"""),FALSE)</f>
        <v>0</v>
      </c>
      <c r="Z51" s="38" t="b">
        <f>IFERROR(__xludf.DUMMYFUNCTION("""COMPUTED_VALUE"""),TRUE)</f>
        <v>1</v>
      </c>
      <c r="AA51" s="38" t="b">
        <f>IFERROR(__xludf.DUMMYFUNCTION("""COMPUTED_VALUE"""),FALSE)</f>
        <v>0</v>
      </c>
      <c r="AB51" s="38" t="b">
        <f>IFERROR(__xludf.DUMMYFUNCTION("""COMPUTED_VALUE"""),FALSE)</f>
        <v>0</v>
      </c>
      <c r="AC51" s="38">
        <f>IFERROR(__xludf.DUMMYFUNCTION("""COMPUTED_VALUE"""),0.9501039305427824)</f>
        <v>0.9501039305</v>
      </c>
      <c r="BI51" s="38" t="str">
        <f>IFERROR(__xludf.DUMMYFUNCTION("""COMPUTED_VALUE"""),"Ladder (10-foot)")</f>
        <v>Ladder (10-foot)</v>
      </c>
      <c r="BJ51" s="2">
        <v>1.5</v>
      </c>
      <c r="BK51" s="2">
        <v>1.0</v>
      </c>
      <c r="BL51" s="2">
        <v>1.0</v>
      </c>
      <c r="BM51" s="2">
        <v>1.0</v>
      </c>
      <c r="BN51" s="2">
        <v>1.0</v>
      </c>
      <c r="BO51" s="2">
        <v>1.0</v>
      </c>
      <c r="BP51" s="2">
        <v>1.0</v>
      </c>
      <c r="BQ51" s="2">
        <v>1.0</v>
      </c>
      <c r="BR51" s="2">
        <v>1.0</v>
      </c>
      <c r="BS51" s="2">
        <v>1.0</v>
      </c>
      <c r="BT51" s="2">
        <v>1.0</v>
      </c>
      <c r="BU51" s="2">
        <v>1.0</v>
      </c>
      <c r="BV51" s="2">
        <v>1.0</v>
      </c>
      <c r="BW51" s="2">
        <v>1.0</v>
      </c>
      <c r="BX51" s="2">
        <v>1.0</v>
      </c>
      <c r="BY51" s="2">
        <v>1.0</v>
      </c>
      <c r="BZ51" s="2">
        <v>1.0</v>
      </c>
      <c r="CB51" s="2"/>
      <c r="CC51" s="2"/>
      <c r="CD51" s="2"/>
      <c r="CE51" s="2"/>
      <c r="CF51" s="2"/>
      <c r="CG51" s="2"/>
      <c r="CH51" s="2"/>
      <c r="CI51" s="2"/>
      <c r="CJ51" s="2"/>
      <c r="CK51" s="2"/>
      <c r="CL51" s="2"/>
      <c r="CM51" s="2"/>
      <c r="CN51" s="2"/>
      <c r="CO51" s="2"/>
      <c r="CP51" s="2"/>
      <c r="CQ51" s="2"/>
    </row>
    <row r="52">
      <c r="D52" s="38" t="str">
        <f>IFERROR(__xludf.DUMMYFUNCTION("""COMPUTED_VALUE"""),"Chain (10 feet)")</f>
        <v>Chain (10 feet)</v>
      </c>
      <c r="E52" s="41">
        <f>IFERROR(__xludf.DUMMYFUNCTION("""COMPUTED_VALUE"""),5.0)</f>
        <v>5</v>
      </c>
      <c r="F52" s="38" t="str">
        <f>IFERROR(__xludf.DUMMYFUNCTION("""COMPUTED_VALUE"""),"10 lb.")</f>
        <v>10 lb.</v>
      </c>
      <c r="G52" s="38" t="str">
        <f>IFERROR(__xludf.DUMMYFUNCTION("""COMPUTED_VALUE"""),"Equipment")</f>
        <v>Equipment</v>
      </c>
      <c r="H52" s="41">
        <f>IFERROR(__xludf.DUMMYFUNCTION("""COMPUTED_VALUE"""),3.1)</f>
        <v>3.1</v>
      </c>
      <c r="I52" s="41">
        <f>IFERROR(__xludf.DUMMYFUNCTION("""COMPUTED_VALUE"""),2.5)</f>
        <v>2.5</v>
      </c>
      <c r="J52" s="41">
        <f>IFERROR(__xludf.DUMMYFUNCTION("""COMPUTED_VALUE"""),4.05)</f>
        <v>4.05</v>
      </c>
      <c r="K52" s="38"/>
      <c r="L52" s="41" t="b">
        <f>IFERROR(__xludf.DUMMYFUNCTION("""COMPUTED_VALUE"""),FALSE)</f>
        <v>0</v>
      </c>
      <c r="M52" s="41" t="b">
        <f>IFERROR(__xludf.DUMMYFUNCTION("""COMPUTED_VALUE"""),TRUE)</f>
        <v>1</v>
      </c>
      <c r="N52" s="38" t="b">
        <f>IFERROR(__xludf.DUMMYFUNCTION("""COMPUTED_VALUE"""),FALSE)</f>
        <v>0</v>
      </c>
      <c r="O52" s="38" t="b">
        <f>IFERROR(__xludf.DUMMYFUNCTION("""COMPUTED_VALUE"""),FALSE)</f>
        <v>0</v>
      </c>
      <c r="P52" s="38" t="b">
        <f>IFERROR(__xludf.DUMMYFUNCTION("""COMPUTED_VALUE"""),FALSE)</f>
        <v>0</v>
      </c>
      <c r="Q52" s="38" t="b">
        <f>IFERROR(__xludf.DUMMYFUNCTION("""COMPUTED_VALUE"""),FALSE)</f>
        <v>0</v>
      </c>
      <c r="R52" s="38" t="b">
        <f>IFERROR(__xludf.DUMMYFUNCTION("""COMPUTED_VALUE"""),FALSE)</f>
        <v>0</v>
      </c>
      <c r="S52" s="38" t="b">
        <f>IFERROR(__xludf.DUMMYFUNCTION("""COMPUTED_VALUE"""),FALSE)</f>
        <v>0</v>
      </c>
      <c r="T52" s="38" t="b">
        <f>IFERROR(__xludf.DUMMYFUNCTION("""COMPUTED_VALUE"""),FALSE)</f>
        <v>0</v>
      </c>
      <c r="U52" s="38" t="b">
        <f>IFERROR(__xludf.DUMMYFUNCTION("""COMPUTED_VALUE"""),FALSE)</f>
        <v>0</v>
      </c>
      <c r="V52" s="38" t="b">
        <f>IFERROR(__xludf.DUMMYFUNCTION("""COMPUTED_VALUE"""),FALSE)</f>
        <v>0</v>
      </c>
      <c r="W52" s="38" t="b">
        <f>IFERROR(__xludf.DUMMYFUNCTION("""COMPUTED_VALUE"""),FALSE)</f>
        <v>0</v>
      </c>
      <c r="X52" s="38" t="b">
        <f>IFERROR(__xludf.DUMMYFUNCTION("""COMPUTED_VALUE"""),FALSE)</f>
        <v>0</v>
      </c>
      <c r="Y52" s="38" t="b">
        <f>IFERROR(__xludf.DUMMYFUNCTION("""COMPUTED_VALUE"""),FALSE)</f>
        <v>0</v>
      </c>
      <c r="Z52" s="38" t="b">
        <f>IFERROR(__xludf.DUMMYFUNCTION("""COMPUTED_VALUE"""),TRUE)</f>
        <v>1</v>
      </c>
      <c r="AA52" s="38" t="b">
        <f>IFERROR(__xludf.DUMMYFUNCTION("""COMPUTED_VALUE"""),FALSE)</f>
        <v>0</v>
      </c>
      <c r="AB52" s="38" t="b">
        <f>IFERROR(__xludf.DUMMYFUNCTION("""COMPUTED_VALUE"""),FALSE)</f>
        <v>0</v>
      </c>
      <c r="AC52" s="38">
        <f>IFERROR(__xludf.DUMMYFUNCTION("""COMPUTED_VALUE"""),0.9515865802799561)</f>
        <v>0.9515865803</v>
      </c>
      <c r="BI52" s="38" t="str">
        <f>IFERROR(__xludf.DUMMYFUNCTION("""COMPUTED_VALUE"""),"Magnifying Glass")</f>
        <v>Magnifying Glass</v>
      </c>
      <c r="BJ52" s="2">
        <v>0.7</v>
      </c>
      <c r="BK52" s="2">
        <v>1.0</v>
      </c>
      <c r="BL52" s="2">
        <v>1.0</v>
      </c>
      <c r="BM52" s="2">
        <v>1.0</v>
      </c>
      <c r="BN52" s="2">
        <v>1.0</v>
      </c>
      <c r="BO52" s="2">
        <v>1.0</v>
      </c>
      <c r="BP52" s="2">
        <v>1.0</v>
      </c>
      <c r="BQ52" s="2">
        <v>1.0</v>
      </c>
      <c r="BR52" s="2">
        <v>1.0</v>
      </c>
      <c r="BS52" s="2">
        <v>1.0</v>
      </c>
      <c r="BT52" s="2">
        <v>1.0</v>
      </c>
      <c r="BU52" s="2">
        <v>1.0</v>
      </c>
      <c r="BV52" s="2">
        <v>1.0</v>
      </c>
      <c r="BW52" s="2">
        <v>1.0</v>
      </c>
      <c r="BX52" s="2">
        <v>1.0</v>
      </c>
      <c r="BY52" s="2">
        <v>1.0</v>
      </c>
      <c r="BZ52" s="2">
        <v>1.0</v>
      </c>
      <c r="CB52" s="2"/>
      <c r="CC52" s="2"/>
      <c r="CD52" s="2"/>
      <c r="CE52" s="2"/>
      <c r="CF52" s="2"/>
      <c r="CG52" s="2"/>
      <c r="CH52" s="2"/>
      <c r="CI52" s="2"/>
      <c r="CJ52" s="2"/>
      <c r="CK52" s="2"/>
      <c r="CL52" s="2"/>
      <c r="CM52" s="2"/>
      <c r="CN52" s="2"/>
      <c r="CO52" s="2"/>
      <c r="CP52" s="2"/>
      <c r="CQ52" s="2"/>
    </row>
    <row r="53">
      <c r="D53" s="38" t="str">
        <f>IFERROR(__xludf.DUMMYFUNCTION("""COMPUTED_VALUE"""),"Manacles")</f>
        <v>Manacles</v>
      </c>
      <c r="E53" s="41">
        <f>IFERROR(__xludf.DUMMYFUNCTION("""COMPUTED_VALUE"""),2.0)</f>
        <v>2</v>
      </c>
      <c r="F53" s="38" t="str">
        <f>IFERROR(__xludf.DUMMYFUNCTION("""COMPUTED_VALUE"""),"6 lb.")</f>
        <v>6 lb.</v>
      </c>
      <c r="G53" s="38" t="str">
        <f>IFERROR(__xludf.DUMMYFUNCTION("""COMPUTED_VALUE"""),"Equipment")</f>
        <v>Equipment</v>
      </c>
      <c r="H53" s="41">
        <f>IFERROR(__xludf.DUMMYFUNCTION("""COMPUTED_VALUE"""),1.24)</f>
        <v>1.24</v>
      </c>
      <c r="I53" s="41">
        <f>IFERROR(__xludf.DUMMYFUNCTION("""COMPUTED_VALUE"""),1.0)</f>
        <v>1</v>
      </c>
      <c r="J53" s="41">
        <f>IFERROR(__xludf.DUMMYFUNCTION("""COMPUTED_VALUE"""),1.62)</f>
        <v>1.62</v>
      </c>
      <c r="K53" s="38"/>
      <c r="L53" s="41" t="b">
        <f>IFERROR(__xludf.DUMMYFUNCTION("""COMPUTED_VALUE"""),FALSE)</f>
        <v>0</v>
      </c>
      <c r="M53" s="41" t="b">
        <f>IFERROR(__xludf.DUMMYFUNCTION("""COMPUTED_VALUE"""),TRUE)</f>
        <v>1</v>
      </c>
      <c r="N53" s="38" t="b">
        <f>IFERROR(__xludf.DUMMYFUNCTION("""COMPUTED_VALUE"""),FALSE)</f>
        <v>0</v>
      </c>
      <c r="O53" s="38" t="b">
        <f>IFERROR(__xludf.DUMMYFUNCTION("""COMPUTED_VALUE"""),FALSE)</f>
        <v>0</v>
      </c>
      <c r="P53" s="38" t="b">
        <f>IFERROR(__xludf.DUMMYFUNCTION("""COMPUTED_VALUE"""),FALSE)</f>
        <v>0</v>
      </c>
      <c r="Q53" s="38" t="b">
        <f>IFERROR(__xludf.DUMMYFUNCTION("""COMPUTED_VALUE"""),FALSE)</f>
        <v>0</v>
      </c>
      <c r="R53" s="38" t="b">
        <f>IFERROR(__xludf.DUMMYFUNCTION("""COMPUTED_VALUE"""),FALSE)</f>
        <v>0</v>
      </c>
      <c r="S53" s="38" t="b">
        <f>IFERROR(__xludf.DUMMYFUNCTION("""COMPUTED_VALUE"""),FALSE)</f>
        <v>0</v>
      </c>
      <c r="T53" s="38" t="b">
        <f>IFERROR(__xludf.DUMMYFUNCTION("""COMPUTED_VALUE"""),FALSE)</f>
        <v>0</v>
      </c>
      <c r="U53" s="38" t="b">
        <f>IFERROR(__xludf.DUMMYFUNCTION("""COMPUTED_VALUE"""),FALSE)</f>
        <v>0</v>
      </c>
      <c r="V53" s="38" t="b">
        <f>IFERROR(__xludf.DUMMYFUNCTION("""COMPUTED_VALUE"""),FALSE)</f>
        <v>0</v>
      </c>
      <c r="W53" s="38" t="b">
        <f>IFERROR(__xludf.DUMMYFUNCTION("""COMPUTED_VALUE"""),FALSE)</f>
        <v>0</v>
      </c>
      <c r="X53" s="38" t="b">
        <f>IFERROR(__xludf.DUMMYFUNCTION("""COMPUTED_VALUE"""),FALSE)</f>
        <v>0</v>
      </c>
      <c r="Y53" s="38" t="b">
        <f>IFERROR(__xludf.DUMMYFUNCTION("""COMPUTED_VALUE"""),FALSE)</f>
        <v>0</v>
      </c>
      <c r="Z53" s="38" t="b">
        <f>IFERROR(__xludf.DUMMYFUNCTION("""COMPUTED_VALUE"""),TRUE)</f>
        <v>1</v>
      </c>
      <c r="AA53" s="38" t="b">
        <f>IFERROR(__xludf.DUMMYFUNCTION("""COMPUTED_VALUE"""),FALSE)</f>
        <v>0</v>
      </c>
      <c r="AB53" s="38" t="b">
        <f>IFERROR(__xludf.DUMMYFUNCTION("""COMPUTED_VALUE"""),FALSE)</f>
        <v>0</v>
      </c>
      <c r="AC53" s="38">
        <f>IFERROR(__xludf.DUMMYFUNCTION("""COMPUTED_VALUE"""),0.9569586371194732)</f>
        <v>0.9569586371</v>
      </c>
      <c r="BI53" s="38" t="str">
        <f>IFERROR(__xludf.DUMMYFUNCTION("""COMPUTED_VALUE"""),"Manacles")</f>
        <v>Manacles</v>
      </c>
      <c r="BJ53" s="2">
        <v>1.5</v>
      </c>
      <c r="BK53" s="2">
        <v>1.0</v>
      </c>
      <c r="BL53" s="2">
        <v>1.0</v>
      </c>
      <c r="BM53" s="2">
        <v>1.0</v>
      </c>
      <c r="BN53" s="2">
        <v>1.0</v>
      </c>
      <c r="BO53" s="2">
        <v>1.0</v>
      </c>
      <c r="BP53" s="2">
        <v>1.0</v>
      </c>
      <c r="BQ53" s="2">
        <v>1.0</v>
      </c>
      <c r="BR53" s="2">
        <v>1.0</v>
      </c>
      <c r="BS53" s="2">
        <v>1.0</v>
      </c>
      <c r="BT53" s="2">
        <v>1.0</v>
      </c>
      <c r="BU53" s="2">
        <v>1.0</v>
      </c>
      <c r="BV53" s="2">
        <v>1.0</v>
      </c>
      <c r="BW53" s="2">
        <v>1.0</v>
      </c>
      <c r="BX53" s="2">
        <v>1.0</v>
      </c>
      <c r="BY53" s="2">
        <v>1.0</v>
      </c>
      <c r="BZ53" s="2">
        <v>1.0</v>
      </c>
      <c r="CB53" s="2"/>
      <c r="CC53" s="2"/>
      <c r="CD53" s="2"/>
      <c r="CE53" s="2"/>
      <c r="CF53" s="2"/>
      <c r="CG53" s="2"/>
      <c r="CH53" s="2"/>
      <c r="CI53" s="2"/>
      <c r="CJ53" s="2"/>
      <c r="CK53" s="2"/>
      <c r="CL53" s="2"/>
      <c r="CM53" s="2"/>
      <c r="CN53" s="2"/>
      <c r="CO53" s="2"/>
      <c r="CP53" s="2"/>
      <c r="CQ53" s="2"/>
    </row>
    <row r="54">
      <c r="D54" s="38" t="str">
        <f>IFERROR(__xludf.DUMMYFUNCTION("""COMPUTED_VALUE"""),"Halberd")</f>
        <v>Halberd</v>
      </c>
      <c r="E54" s="41">
        <f>IFERROR(__xludf.DUMMYFUNCTION("""COMPUTED_VALUE"""),12.0)</f>
        <v>12</v>
      </c>
      <c r="F54" s="38" t="str">
        <f>IFERROR(__xludf.DUMMYFUNCTION("""COMPUTED_VALUE"""),"6 lb.")</f>
        <v>6 lb.</v>
      </c>
      <c r="G54" s="38" t="str">
        <f>IFERROR(__xludf.DUMMYFUNCTION("""COMPUTED_VALUE"""),"Weapon")</f>
        <v>Weapon</v>
      </c>
      <c r="H54" s="41">
        <f>IFERROR(__xludf.DUMMYFUNCTION("""COMPUTED_VALUE"""),7.4399999999999995)</f>
        <v>7.44</v>
      </c>
      <c r="I54" s="41">
        <f>IFERROR(__xludf.DUMMYFUNCTION("""COMPUTED_VALUE"""),6.0)</f>
        <v>6</v>
      </c>
      <c r="J54" s="41">
        <f>IFERROR(__xludf.DUMMYFUNCTION("""COMPUTED_VALUE"""),9.719999999999999)</f>
        <v>9.72</v>
      </c>
      <c r="K54" s="38"/>
      <c r="L54" s="41" t="b">
        <f>IFERROR(__xludf.DUMMYFUNCTION("""COMPUTED_VALUE"""),FALSE)</f>
        <v>0</v>
      </c>
      <c r="M54" s="41" t="b">
        <f>IFERROR(__xludf.DUMMYFUNCTION("""COMPUTED_VALUE"""),TRUE)</f>
        <v>1</v>
      </c>
      <c r="N54" s="38" t="b">
        <f>IFERROR(__xludf.DUMMYFUNCTION("""COMPUTED_VALUE"""),FALSE)</f>
        <v>0</v>
      </c>
      <c r="O54" s="38" t="b">
        <f>IFERROR(__xludf.DUMMYFUNCTION("""COMPUTED_VALUE"""),FALSE)</f>
        <v>0</v>
      </c>
      <c r="P54" s="38" t="b">
        <f>IFERROR(__xludf.DUMMYFUNCTION("""COMPUTED_VALUE"""),FALSE)</f>
        <v>0</v>
      </c>
      <c r="Q54" s="38" t="b">
        <f>IFERROR(__xludf.DUMMYFUNCTION("""COMPUTED_VALUE"""),FALSE)</f>
        <v>0</v>
      </c>
      <c r="R54" s="38" t="b">
        <f>IFERROR(__xludf.DUMMYFUNCTION("""COMPUTED_VALUE"""),FALSE)</f>
        <v>0</v>
      </c>
      <c r="S54" s="38" t="b">
        <f>IFERROR(__xludf.DUMMYFUNCTION("""COMPUTED_VALUE"""),FALSE)</f>
        <v>0</v>
      </c>
      <c r="T54" s="38" t="b">
        <f>IFERROR(__xludf.DUMMYFUNCTION("""COMPUTED_VALUE"""),FALSE)</f>
        <v>0</v>
      </c>
      <c r="U54" s="38" t="b">
        <f>IFERROR(__xludf.DUMMYFUNCTION("""COMPUTED_VALUE"""),FALSE)</f>
        <v>0</v>
      </c>
      <c r="V54" s="38" t="b">
        <f>IFERROR(__xludf.DUMMYFUNCTION("""COMPUTED_VALUE"""),FALSE)</f>
        <v>0</v>
      </c>
      <c r="W54" s="38" t="b">
        <f>IFERROR(__xludf.DUMMYFUNCTION("""COMPUTED_VALUE"""),FALSE)</f>
        <v>0</v>
      </c>
      <c r="X54" s="38" t="b">
        <f>IFERROR(__xludf.DUMMYFUNCTION("""COMPUTED_VALUE"""),FALSE)</f>
        <v>0</v>
      </c>
      <c r="Y54" s="38" t="b">
        <f>IFERROR(__xludf.DUMMYFUNCTION("""COMPUTED_VALUE"""),FALSE)</f>
        <v>0</v>
      </c>
      <c r="Z54" s="38" t="b">
        <f>IFERROR(__xludf.DUMMYFUNCTION("""COMPUTED_VALUE"""),TRUE)</f>
        <v>1</v>
      </c>
      <c r="AA54" s="38" t="b">
        <f>IFERROR(__xludf.DUMMYFUNCTION("""COMPUTED_VALUE"""),FALSE)</f>
        <v>0</v>
      </c>
      <c r="AB54" s="38" t="b">
        <f>IFERROR(__xludf.DUMMYFUNCTION("""COMPUTED_VALUE"""),FALSE)</f>
        <v>0</v>
      </c>
      <c r="AC54" s="38">
        <f>IFERROR(__xludf.DUMMYFUNCTION("""COMPUTED_VALUE"""),0.9723625641032903)</f>
        <v>0.9723625641</v>
      </c>
      <c r="BI54" s="38" t="str">
        <f>IFERROR(__xludf.DUMMYFUNCTION("""COMPUTED_VALUE"""),"Mess Kit")</f>
        <v>Mess Kit</v>
      </c>
      <c r="BJ54" s="2">
        <v>1.5</v>
      </c>
      <c r="BK54" s="2">
        <v>1.0</v>
      </c>
      <c r="BL54" s="2">
        <v>1.0</v>
      </c>
      <c r="BM54" s="2">
        <v>1.0</v>
      </c>
      <c r="BN54" s="2">
        <v>1.0</v>
      </c>
      <c r="BO54" s="2">
        <v>1.0</v>
      </c>
      <c r="BP54" s="2">
        <v>1.0</v>
      </c>
      <c r="BQ54" s="2">
        <v>1.0</v>
      </c>
      <c r="BR54" s="2">
        <v>1.0</v>
      </c>
      <c r="BS54" s="2">
        <v>1.0</v>
      </c>
      <c r="BT54" s="2">
        <v>1.0</v>
      </c>
      <c r="BU54" s="2">
        <v>1.0</v>
      </c>
      <c r="BV54" s="2">
        <v>1.0</v>
      </c>
      <c r="BW54" s="2">
        <v>1.0</v>
      </c>
      <c r="BX54" s="2">
        <v>1.0</v>
      </c>
      <c r="BY54" s="2">
        <v>1.0</v>
      </c>
      <c r="BZ54" s="2">
        <v>1.0</v>
      </c>
      <c r="CB54" s="2"/>
      <c r="CC54" s="2"/>
      <c r="CD54" s="2"/>
      <c r="CE54" s="2"/>
      <c r="CF54" s="2"/>
      <c r="CG54" s="2"/>
      <c r="CH54" s="2"/>
      <c r="CI54" s="2"/>
      <c r="CJ54" s="2"/>
      <c r="CK54" s="2"/>
      <c r="CL54" s="2"/>
      <c r="CM54" s="2"/>
      <c r="CN54" s="2"/>
      <c r="CO54" s="2"/>
      <c r="CP54" s="2"/>
      <c r="CQ54" s="2"/>
    </row>
    <row r="55">
      <c r="D55" s="38" t="str">
        <f>IFERROR(__xludf.DUMMYFUNCTION("""COMPUTED_VALUE"""),"Greataxe")</f>
        <v>Greataxe</v>
      </c>
      <c r="E55" s="41">
        <f>IFERROR(__xludf.DUMMYFUNCTION("""COMPUTED_VALUE"""),18.0)</f>
        <v>18</v>
      </c>
      <c r="F55" s="38" t="str">
        <f>IFERROR(__xludf.DUMMYFUNCTION("""COMPUTED_VALUE"""),"7 lb.")</f>
        <v>7 lb.</v>
      </c>
      <c r="G55" s="38" t="str">
        <f>IFERROR(__xludf.DUMMYFUNCTION("""COMPUTED_VALUE"""),"Weapon")</f>
        <v>Weapon</v>
      </c>
      <c r="H55" s="41">
        <f>IFERROR(__xludf.DUMMYFUNCTION("""COMPUTED_VALUE"""),11.16)</f>
        <v>11.16</v>
      </c>
      <c r="I55" s="41">
        <f>IFERROR(__xludf.DUMMYFUNCTION("""COMPUTED_VALUE"""),9.0)</f>
        <v>9</v>
      </c>
      <c r="J55" s="41">
        <f>IFERROR(__xludf.DUMMYFUNCTION("""COMPUTED_VALUE"""),14.58)</f>
        <v>14.58</v>
      </c>
      <c r="K55" s="38"/>
      <c r="L55" s="41" t="b">
        <f>IFERROR(__xludf.DUMMYFUNCTION("""COMPUTED_VALUE"""),FALSE)</f>
        <v>0</v>
      </c>
      <c r="M55" s="41" t="b">
        <f>IFERROR(__xludf.DUMMYFUNCTION("""COMPUTED_VALUE"""),TRUE)</f>
        <v>1</v>
      </c>
      <c r="N55" s="38" t="b">
        <f>IFERROR(__xludf.DUMMYFUNCTION("""COMPUTED_VALUE"""),FALSE)</f>
        <v>0</v>
      </c>
      <c r="O55" s="38" t="b">
        <f>IFERROR(__xludf.DUMMYFUNCTION("""COMPUTED_VALUE"""),FALSE)</f>
        <v>0</v>
      </c>
      <c r="P55" s="38" t="b">
        <f>IFERROR(__xludf.DUMMYFUNCTION("""COMPUTED_VALUE"""),FALSE)</f>
        <v>0</v>
      </c>
      <c r="Q55" s="38" t="b">
        <f>IFERROR(__xludf.DUMMYFUNCTION("""COMPUTED_VALUE"""),FALSE)</f>
        <v>0</v>
      </c>
      <c r="R55" s="38" t="b">
        <f>IFERROR(__xludf.DUMMYFUNCTION("""COMPUTED_VALUE"""),FALSE)</f>
        <v>0</v>
      </c>
      <c r="S55" s="38" t="b">
        <f>IFERROR(__xludf.DUMMYFUNCTION("""COMPUTED_VALUE"""),FALSE)</f>
        <v>0</v>
      </c>
      <c r="T55" s="38" t="b">
        <f>IFERROR(__xludf.DUMMYFUNCTION("""COMPUTED_VALUE"""),FALSE)</f>
        <v>0</v>
      </c>
      <c r="U55" s="38" t="b">
        <f>IFERROR(__xludf.DUMMYFUNCTION("""COMPUTED_VALUE"""),FALSE)</f>
        <v>0</v>
      </c>
      <c r="V55" s="38" t="b">
        <f>IFERROR(__xludf.DUMMYFUNCTION("""COMPUTED_VALUE"""),FALSE)</f>
        <v>0</v>
      </c>
      <c r="W55" s="38" t="b">
        <f>IFERROR(__xludf.DUMMYFUNCTION("""COMPUTED_VALUE"""),FALSE)</f>
        <v>0</v>
      </c>
      <c r="X55" s="38" t="b">
        <f>IFERROR(__xludf.DUMMYFUNCTION("""COMPUTED_VALUE"""),FALSE)</f>
        <v>0</v>
      </c>
      <c r="Y55" s="38" t="b">
        <f>IFERROR(__xludf.DUMMYFUNCTION("""COMPUTED_VALUE"""),FALSE)</f>
        <v>0</v>
      </c>
      <c r="Z55" s="38" t="b">
        <f>IFERROR(__xludf.DUMMYFUNCTION("""COMPUTED_VALUE"""),TRUE)</f>
        <v>1</v>
      </c>
      <c r="AA55" s="38" t="b">
        <f>IFERROR(__xludf.DUMMYFUNCTION("""COMPUTED_VALUE"""),FALSE)</f>
        <v>0</v>
      </c>
      <c r="AB55" s="38" t="b">
        <f>IFERROR(__xludf.DUMMYFUNCTION("""COMPUTED_VALUE"""),FALSE)</f>
        <v>0</v>
      </c>
      <c r="AC55" s="38">
        <f>IFERROR(__xludf.DUMMYFUNCTION("""COMPUTED_VALUE"""),0.9762280393058111)</f>
        <v>0.9762280393</v>
      </c>
      <c r="BI55" s="38" t="str">
        <f>IFERROR(__xludf.DUMMYFUNCTION("""COMPUTED_VALUE"""),"Miner's Pick")</f>
        <v>Miner's Pick</v>
      </c>
      <c r="BJ55" s="2">
        <v>1.5</v>
      </c>
      <c r="BK55" s="2">
        <v>1.0</v>
      </c>
      <c r="BL55" s="2">
        <v>1.0</v>
      </c>
      <c r="BM55" s="2">
        <v>1.0</v>
      </c>
      <c r="BN55" s="2">
        <v>1.0</v>
      </c>
      <c r="BO55" s="2">
        <v>1.0</v>
      </c>
      <c r="BP55" s="2">
        <v>1.0</v>
      </c>
      <c r="BQ55" s="2">
        <v>1.0</v>
      </c>
      <c r="BR55" s="2">
        <v>1.0</v>
      </c>
      <c r="BS55" s="2">
        <v>1.0</v>
      </c>
      <c r="BT55" s="2">
        <v>1.0</v>
      </c>
      <c r="BU55" s="2">
        <v>1.0</v>
      </c>
      <c r="BV55" s="2">
        <v>1.0</v>
      </c>
      <c r="BW55" s="2">
        <v>1.0</v>
      </c>
      <c r="BX55" s="2">
        <v>1.0</v>
      </c>
      <c r="BY55" s="2">
        <v>1.0</v>
      </c>
      <c r="BZ55" s="2">
        <v>1.0</v>
      </c>
      <c r="CB55" s="2"/>
      <c r="CC55" s="2"/>
      <c r="CD55" s="2"/>
      <c r="CE55" s="2"/>
      <c r="CF55" s="2"/>
      <c r="CG55" s="2"/>
      <c r="CH55" s="2"/>
      <c r="CI55" s="2"/>
      <c r="CJ55" s="2"/>
      <c r="CK55" s="2"/>
      <c r="CL55" s="2"/>
      <c r="CM55" s="2"/>
      <c r="CN55" s="2"/>
      <c r="CO55" s="2"/>
      <c r="CP55" s="2"/>
      <c r="CQ55" s="2"/>
    </row>
    <row r="56">
      <c r="D56" s="38" t="str">
        <f>IFERROR(__xludf.DUMMYFUNCTION("""COMPUTED_VALUE"""),"Leatherworker’s Tools")</f>
        <v>Leatherworker’s Tools</v>
      </c>
      <c r="E56" s="41">
        <f>IFERROR(__xludf.DUMMYFUNCTION("""COMPUTED_VALUE"""),7.5)</f>
        <v>7.5</v>
      </c>
      <c r="F56" s="38" t="str">
        <f>IFERROR(__xludf.DUMMYFUNCTION("""COMPUTED_VALUE"""),"5 lb.")</f>
        <v>5 lb.</v>
      </c>
      <c r="G56" s="38" t="str">
        <f>IFERROR(__xludf.DUMMYFUNCTION("""COMPUTED_VALUE"""),"Tool")</f>
        <v>Tool</v>
      </c>
      <c r="H56" s="41">
        <f>IFERROR(__xludf.DUMMYFUNCTION("""COMPUTED_VALUE"""),4.65)</f>
        <v>4.65</v>
      </c>
      <c r="I56" s="41">
        <f>IFERROR(__xludf.DUMMYFUNCTION("""COMPUTED_VALUE"""),3.75)</f>
        <v>3.75</v>
      </c>
      <c r="J56" s="41">
        <f>IFERROR(__xludf.DUMMYFUNCTION("""COMPUTED_VALUE"""),6.075)</f>
        <v>6.075</v>
      </c>
      <c r="K56" s="38" t="str">
        <f>IFERROR(__xludf.DUMMYFUNCTION("""COMPUTED_VALUE"""),"This kit includes the basic items needed by those proficient in leatherwork to pursue their craft.")</f>
        <v>This kit includes the basic items needed by those proficient in leatherwork to pursue their craft.</v>
      </c>
      <c r="L56" s="38" t="b">
        <f>IFERROR(__xludf.DUMMYFUNCTION("""COMPUTED_VALUE"""),FALSE)</f>
        <v>0</v>
      </c>
      <c r="M56" s="38" t="b">
        <f>IFERROR(__xludf.DUMMYFUNCTION("""COMPUTED_VALUE"""),TRUE)</f>
        <v>1</v>
      </c>
      <c r="N56" s="38" t="b">
        <f>IFERROR(__xludf.DUMMYFUNCTION("""COMPUTED_VALUE"""),FALSE)</f>
        <v>0</v>
      </c>
      <c r="O56" s="38" t="b">
        <f>IFERROR(__xludf.DUMMYFUNCTION("""COMPUTED_VALUE"""),FALSE)</f>
        <v>0</v>
      </c>
      <c r="P56" s="38" t="b">
        <f>IFERROR(__xludf.DUMMYFUNCTION("""COMPUTED_VALUE"""),FALSE)</f>
        <v>0</v>
      </c>
      <c r="Q56" s="38" t="b">
        <f>IFERROR(__xludf.DUMMYFUNCTION("""COMPUTED_VALUE"""),FALSE)</f>
        <v>0</v>
      </c>
      <c r="R56" s="38" t="b">
        <f>IFERROR(__xludf.DUMMYFUNCTION("""COMPUTED_VALUE"""),FALSE)</f>
        <v>0</v>
      </c>
      <c r="S56" s="38" t="b">
        <f>IFERROR(__xludf.DUMMYFUNCTION("""COMPUTED_VALUE"""),FALSE)</f>
        <v>0</v>
      </c>
      <c r="T56" s="38" t="b">
        <f>IFERROR(__xludf.DUMMYFUNCTION("""COMPUTED_VALUE"""),FALSE)</f>
        <v>0</v>
      </c>
      <c r="U56" s="38" t="b">
        <f>IFERROR(__xludf.DUMMYFUNCTION("""COMPUTED_VALUE"""),FALSE)</f>
        <v>0</v>
      </c>
      <c r="V56" s="38" t="b">
        <f>IFERROR(__xludf.DUMMYFUNCTION("""COMPUTED_VALUE"""),FALSE)</f>
        <v>0</v>
      </c>
      <c r="W56" s="38" t="b">
        <f>IFERROR(__xludf.DUMMYFUNCTION("""COMPUTED_VALUE"""),FALSE)</f>
        <v>0</v>
      </c>
      <c r="X56" s="38" t="b">
        <f>IFERROR(__xludf.DUMMYFUNCTION("""COMPUTED_VALUE"""),FALSE)</f>
        <v>0</v>
      </c>
      <c r="Y56" s="38" t="b">
        <f>IFERROR(__xludf.DUMMYFUNCTION("""COMPUTED_VALUE"""),FALSE)</f>
        <v>0</v>
      </c>
      <c r="Z56" s="38" t="b">
        <f>IFERROR(__xludf.DUMMYFUNCTION("""COMPUTED_VALUE"""),FALSE)</f>
        <v>0</v>
      </c>
      <c r="AA56" s="38" t="b">
        <f>IFERROR(__xludf.DUMMYFUNCTION("""COMPUTED_VALUE"""),FALSE)</f>
        <v>0</v>
      </c>
      <c r="AB56" s="38" t="b">
        <f>IFERROR(__xludf.DUMMYFUNCTION("""COMPUTED_VALUE"""),FALSE)</f>
        <v>0</v>
      </c>
      <c r="AC56" s="38">
        <f>IFERROR(__xludf.DUMMYFUNCTION("""COMPUTED_VALUE"""),0.9768352409314708)</f>
        <v>0.9768352409</v>
      </c>
      <c r="BI56" s="38" t="str">
        <f>IFERROR(__xludf.DUMMYFUNCTION("""COMPUTED_VALUE"""),"Piton")</f>
        <v>Piton</v>
      </c>
      <c r="BJ56" s="2">
        <v>1.5</v>
      </c>
      <c r="BK56" s="2">
        <v>1.0</v>
      </c>
      <c r="BL56" s="2">
        <v>1.0</v>
      </c>
      <c r="BM56" s="2">
        <v>1.0</v>
      </c>
      <c r="BN56" s="2">
        <v>1.0</v>
      </c>
      <c r="BO56" s="2">
        <v>1.0</v>
      </c>
      <c r="BP56" s="2">
        <v>1.0</v>
      </c>
      <c r="BQ56" s="2">
        <v>1.0</v>
      </c>
      <c r="BR56" s="2">
        <v>1.0</v>
      </c>
      <c r="BS56" s="2">
        <v>1.0</v>
      </c>
      <c r="BT56" s="2">
        <v>1.0</v>
      </c>
      <c r="BU56" s="2">
        <v>1.0</v>
      </c>
      <c r="BV56" s="2">
        <v>1.0</v>
      </c>
      <c r="BW56" s="2">
        <v>1.0</v>
      </c>
      <c r="BX56" s="2">
        <v>1.0</v>
      </c>
      <c r="BY56" s="2">
        <v>1.0</v>
      </c>
      <c r="BZ56" s="2">
        <v>1.0</v>
      </c>
      <c r="CB56" s="2"/>
      <c r="CC56" s="2"/>
      <c r="CD56" s="2"/>
      <c r="CE56" s="2"/>
      <c r="CF56" s="2"/>
      <c r="CG56" s="2"/>
      <c r="CH56" s="2"/>
      <c r="CI56" s="2"/>
      <c r="CJ56" s="2"/>
      <c r="CK56" s="2"/>
      <c r="CL56" s="2"/>
      <c r="CM56" s="2"/>
      <c r="CN56" s="2"/>
      <c r="CO56" s="2"/>
      <c r="CP56" s="2"/>
      <c r="CQ56" s="2"/>
    </row>
    <row r="57">
      <c r="D57" s="38" t="str">
        <f>IFERROR(__xludf.DUMMYFUNCTION("""COMPUTED_VALUE"""),"Iron Pot")</f>
        <v>Iron Pot</v>
      </c>
      <c r="E57" s="41">
        <f>IFERROR(__xludf.DUMMYFUNCTION("""COMPUTED_VALUE"""),2.0)</f>
        <v>2</v>
      </c>
      <c r="F57" s="38" t="str">
        <f>IFERROR(__xludf.DUMMYFUNCTION("""COMPUTED_VALUE"""),"10 lb.")</f>
        <v>10 lb.</v>
      </c>
      <c r="G57" s="38" t="str">
        <f>IFERROR(__xludf.DUMMYFUNCTION("""COMPUTED_VALUE"""),"Container")</f>
        <v>Container</v>
      </c>
      <c r="H57" s="41">
        <f>IFERROR(__xludf.DUMMYFUNCTION("""COMPUTED_VALUE"""),1.24)</f>
        <v>1.24</v>
      </c>
      <c r="I57" s="41">
        <f>IFERROR(__xludf.DUMMYFUNCTION("""COMPUTED_VALUE"""),1.0)</f>
        <v>1</v>
      </c>
      <c r="J57" s="41">
        <f>IFERROR(__xludf.DUMMYFUNCTION("""COMPUTED_VALUE"""),1.62)</f>
        <v>1.62</v>
      </c>
      <c r="K57" s="38"/>
      <c r="L57" s="41" t="b">
        <f>IFERROR(__xludf.DUMMYFUNCTION("""COMPUTED_VALUE"""),FALSE)</f>
        <v>0</v>
      </c>
      <c r="M57" s="41" t="b">
        <f>IFERROR(__xludf.DUMMYFUNCTION("""COMPUTED_VALUE"""),TRUE)</f>
        <v>1</v>
      </c>
      <c r="N57" s="38" t="b">
        <f>IFERROR(__xludf.DUMMYFUNCTION("""COMPUTED_VALUE"""),TRUE)</f>
        <v>1</v>
      </c>
      <c r="O57" s="38" t="b">
        <f>IFERROR(__xludf.DUMMYFUNCTION("""COMPUTED_VALUE"""),FALSE)</f>
        <v>0</v>
      </c>
      <c r="P57" s="38" t="b">
        <f>IFERROR(__xludf.DUMMYFUNCTION("""COMPUTED_VALUE"""),FALSE)</f>
        <v>0</v>
      </c>
      <c r="Q57" s="38" t="b">
        <f>IFERROR(__xludf.DUMMYFUNCTION("""COMPUTED_VALUE"""),FALSE)</f>
        <v>0</v>
      </c>
      <c r="R57" s="38" t="b">
        <f>IFERROR(__xludf.DUMMYFUNCTION("""COMPUTED_VALUE"""),FALSE)</f>
        <v>0</v>
      </c>
      <c r="S57" s="38" t="b">
        <f>IFERROR(__xludf.DUMMYFUNCTION("""COMPUTED_VALUE"""),FALSE)</f>
        <v>0</v>
      </c>
      <c r="T57" s="38" t="b">
        <f>IFERROR(__xludf.DUMMYFUNCTION("""COMPUTED_VALUE"""),FALSE)</f>
        <v>0</v>
      </c>
      <c r="U57" s="38" t="b">
        <f>IFERROR(__xludf.DUMMYFUNCTION("""COMPUTED_VALUE"""),FALSE)</f>
        <v>0</v>
      </c>
      <c r="V57" s="38" t="b">
        <f>IFERROR(__xludf.DUMMYFUNCTION("""COMPUTED_VALUE"""),FALSE)</f>
        <v>0</v>
      </c>
      <c r="W57" s="38" t="b">
        <f>IFERROR(__xludf.DUMMYFUNCTION("""COMPUTED_VALUE"""),FALSE)</f>
        <v>0</v>
      </c>
      <c r="X57" s="38" t="b">
        <f>IFERROR(__xludf.DUMMYFUNCTION("""COMPUTED_VALUE"""),TRUE)</f>
        <v>1</v>
      </c>
      <c r="Y57" s="38" t="b">
        <f>IFERROR(__xludf.DUMMYFUNCTION("""COMPUTED_VALUE"""),TRUE)</f>
        <v>1</v>
      </c>
      <c r="Z57" s="38" t="b">
        <f>IFERROR(__xludf.DUMMYFUNCTION("""COMPUTED_VALUE"""),TRUE)</f>
        <v>1</v>
      </c>
      <c r="AA57" s="38" t="b">
        <f>IFERROR(__xludf.DUMMYFUNCTION("""COMPUTED_VALUE"""),FALSE)</f>
        <v>0</v>
      </c>
      <c r="AB57" s="38" t="b">
        <f>IFERROR(__xludf.DUMMYFUNCTION("""COMPUTED_VALUE"""),FALSE)</f>
        <v>0</v>
      </c>
      <c r="AC57" s="38">
        <f>IFERROR(__xludf.DUMMYFUNCTION("""COMPUTED_VALUE"""),0.9797318485911407)</f>
        <v>0.9797318486</v>
      </c>
      <c r="BI57" s="38" t="str">
        <f>IFERROR(__xludf.DUMMYFUNCTION("""COMPUTED_VALUE"""),"Hempen Rope")</f>
        <v>Hempen Rope</v>
      </c>
      <c r="BJ57" s="2">
        <v>1.5</v>
      </c>
      <c r="BK57" s="2">
        <v>1.0</v>
      </c>
      <c r="BL57" s="2">
        <v>1.0</v>
      </c>
      <c r="BM57" s="2">
        <v>1.0</v>
      </c>
      <c r="BN57" s="2">
        <v>1.0</v>
      </c>
      <c r="BO57" s="2">
        <v>1.0</v>
      </c>
      <c r="BP57" s="2">
        <v>1.0</v>
      </c>
      <c r="BQ57" s="2">
        <v>1.0</v>
      </c>
      <c r="BR57" s="2">
        <v>1.0</v>
      </c>
      <c r="BS57" s="2">
        <v>1.0</v>
      </c>
      <c r="BT57" s="2">
        <v>1.0</v>
      </c>
      <c r="BU57" s="2">
        <v>1.0</v>
      </c>
      <c r="BV57" s="2">
        <v>1.0</v>
      </c>
      <c r="BW57" s="2">
        <v>1.0</v>
      </c>
      <c r="BX57" s="2">
        <v>1.0</v>
      </c>
      <c r="BY57" s="2">
        <v>1.0</v>
      </c>
      <c r="BZ57" s="2">
        <v>1.0</v>
      </c>
      <c r="CB57" s="2"/>
      <c r="CC57" s="2"/>
      <c r="CD57" s="2"/>
      <c r="CE57" s="2"/>
      <c r="CF57" s="2"/>
      <c r="CG57" s="2"/>
      <c r="CH57" s="2"/>
      <c r="CI57" s="2"/>
      <c r="CJ57" s="2"/>
      <c r="CK57" s="2"/>
      <c r="CL57" s="2"/>
      <c r="CM57" s="2"/>
      <c r="CN57" s="2"/>
      <c r="CO57" s="2"/>
      <c r="CP57" s="2"/>
      <c r="CQ57" s="2"/>
    </row>
    <row r="58">
      <c r="BI58" s="38" t="str">
        <f>IFERROR(__xludf.DUMMYFUNCTION("""COMPUTED_VALUE"""),"Silk Rope")</f>
        <v>Silk Rope</v>
      </c>
      <c r="BJ58" s="2">
        <v>1.5</v>
      </c>
      <c r="BK58" s="2">
        <v>1.0</v>
      </c>
      <c r="BL58" s="2">
        <v>1.0</v>
      </c>
      <c r="BM58" s="2">
        <v>1.0</v>
      </c>
      <c r="BN58" s="2">
        <v>1.0</v>
      </c>
      <c r="BO58" s="2">
        <v>1.0</v>
      </c>
      <c r="BP58" s="2">
        <v>1.0</v>
      </c>
      <c r="BQ58" s="2">
        <v>1.0</v>
      </c>
      <c r="BR58" s="2">
        <v>1.0</v>
      </c>
      <c r="BS58" s="2">
        <v>1.0</v>
      </c>
      <c r="BT58" s="2">
        <v>1.0</v>
      </c>
      <c r="BU58" s="2">
        <v>1.0</v>
      </c>
      <c r="BV58" s="2">
        <v>1.0</v>
      </c>
      <c r="BW58" s="2">
        <v>1.0</v>
      </c>
      <c r="BX58" s="2">
        <v>1.0</v>
      </c>
      <c r="BY58" s="2">
        <v>1.0</v>
      </c>
      <c r="BZ58" s="2">
        <v>1.0</v>
      </c>
      <c r="CB58" s="2"/>
      <c r="CC58" s="2"/>
      <c r="CD58" s="2"/>
      <c r="CE58" s="2"/>
      <c r="CF58" s="2"/>
      <c r="CG58" s="2"/>
      <c r="CH58" s="2"/>
      <c r="CI58" s="2"/>
      <c r="CJ58" s="2"/>
      <c r="CK58" s="2"/>
      <c r="CL58" s="2"/>
      <c r="CM58" s="2"/>
      <c r="CN58" s="2"/>
      <c r="CO58" s="2"/>
      <c r="CP58" s="2"/>
      <c r="CQ58" s="2"/>
    </row>
    <row r="59">
      <c r="BI59" s="38" t="str">
        <f>IFERROR(__xludf.DUMMYFUNCTION("""COMPUTED_VALUE"""),"Signal Whistle")</f>
        <v>Signal Whistle</v>
      </c>
      <c r="BJ59" s="2">
        <v>1.5</v>
      </c>
      <c r="BK59" s="2">
        <v>1.0</v>
      </c>
      <c r="BL59" s="2">
        <v>1.0</v>
      </c>
      <c r="BM59" s="2">
        <v>1.0</v>
      </c>
      <c r="BN59" s="2">
        <v>1.0</v>
      </c>
      <c r="BO59" s="2">
        <v>1.0</v>
      </c>
      <c r="BP59" s="2">
        <v>1.0</v>
      </c>
      <c r="BQ59" s="2">
        <v>1.0</v>
      </c>
      <c r="BR59" s="2">
        <v>1.0</v>
      </c>
      <c r="BS59" s="2">
        <v>1.0</v>
      </c>
      <c r="BT59" s="2">
        <v>1.0</v>
      </c>
      <c r="BU59" s="2">
        <v>1.0</v>
      </c>
      <c r="BV59" s="2">
        <v>1.0</v>
      </c>
      <c r="BW59" s="2">
        <v>1.0</v>
      </c>
      <c r="BX59" s="2">
        <v>1.0</v>
      </c>
      <c r="BY59" s="2">
        <v>1.0</v>
      </c>
      <c r="BZ59" s="2">
        <v>1.0</v>
      </c>
      <c r="CB59" s="2"/>
      <c r="CC59" s="2"/>
      <c r="CD59" s="2"/>
      <c r="CE59" s="2"/>
      <c r="CF59" s="2"/>
      <c r="CG59" s="2"/>
      <c r="CH59" s="2"/>
      <c r="CI59" s="2"/>
      <c r="CJ59" s="2"/>
      <c r="CK59" s="2"/>
      <c r="CL59" s="2"/>
      <c r="CM59" s="2"/>
      <c r="CN59" s="2"/>
      <c r="CO59" s="2"/>
      <c r="CP59" s="2"/>
      <c r="CQ59" s="2"/>
    </row>
    <row r="60">
      <c r="BI60" s="38" t="str">
        <f>IFERROR(__xludf.DUMMYFUNCTION("""COMPUTED_VALUE"""),"Spellbook")</f>
        <v>Spellbook</v>
      </c>
      <c r="BJ60" s="2">
        <v>1.5</v>
      </c>
      <c r="BK60" s="2">
        <v>1.0</v>
      </c>
      <c r="BL60" s="2">
        <v>1.0</v>
      </c>
      <c r="BM60" s="2">
        <v>1.0</v>
      </c>
      <c r="BN60" s="2">
        <v>1.0</v>
      </c>
      <c r="BO60" s="2">
        <v>1.0</v>
      </c>
      <c r="BP60" s="2">
        <v>1.0</v>
      </c>
      <c r="BQ60" s="2">
        <v>1.0</v>
      </c>
      <c r="BR60" s="2">
        <v>1.0</v>
      </c>
      <c r="BS60" s="2">
        <v>1.0</v>
      </c>
      <c r="BT60" s="2">
        <v>1.0</v>
      </c>
      <c r="BU60" s="2">
        <v>1.0</v>
      </c>
      <c r="BV60" s="2">
        <v>1.0</v>
      </c>
      <c r="BW60" s="2">
        <v>1.0</v>
      </c>
      <c r="BX60" s="2">
        <v>1.0</v>
      </c>
      <c r="BY60" s="2">
        <v>1.0</v>
      </c>
      <c r="BZ60" s="2">
        <v>1.0</v>
      </c>
      <c r="CB60" s="2"/>
      <c r="CC60" s="2"/>
      <c r="CD60" s="2"/>
      <c r="CE60" s="2"/>
      <c r="CF60" s="2"/>
      <c r="CG60" s="2"/>
      <c r="CH60" s="2"/>
      <c r="CI60" s="2"/>
      <c r="CJ60" s="2"/>
      <c r="CK60" s="2"/>
      <c r="CL60" s="2"/>
      <c r="CM60" s="2"/>
      <c r="CN60" s="2"/>
      <c r="CO60" s="2"/>
      <c r="CP60" s="2"/>
      <c r="CQ60" s="2"/>
    </row>
    <row r="61">
      <c r="BI61" s="38" t="str">
        <f>IFERROR(__xludf.DUMMYFUNCTION("""COMPUTED_VALUE"""),"Spyglass")</f>
        <v>Spyglass</v>
      </c>
      <c r="BJ61" s="2">
        <v>0.7</v>
      </c>
      <c r="BK61" s="2">
        <v>1.0</v>
      </c>
      <c r="BL61" s="2">
        <v>1.0</v>
      </c>
      <c r="BM61" s="2">
        <v>1.0</v>
      </c>
      <c r="BN61" s="2">
        <v>1.0</v>
      </c>
      <c r="BO61" s="2">
        <v>1.0</v>
      </c>
      <c r="BP61" s="2">
        <v>1.0</v>
      </c>
      <c r="BQ61" s="2">
        <v>1.0</v>
      </c>
      <c r="BR61" s="2">
        <v>1.0</v>
      </c>
      <c r="BS61" s="2">
        <v>1.0</v>
      </c>
      <c r="BT61" s="2">
        <v>1.0</v>
      </c>
      <c r="BU61" s="2">
        <v>1.0</v>
      </c>
      <c r="BV61" s="2">
        <v>1.0</v>
      </c>
      <c r="BW61" s="2">
        <v>1.0</v>
      </c>
      <c r="BX61" s="2">
        <v>1.0</v>
      </c>
      <c r="BY61" s="2">
        <v>1.0</v>
      </c>
      <c r="BZ61" s="2">
        <v>1.0</v>
      </c>
      <c r="CB61" s="2"/>
      <c r="CC61" s="2"/>
      <c r="CD61" s="2"/>
      <c r="CE61" s="2"/>
      <c r="CF61" s="2"/>
      <c r="CG61" s="2"/>
      <c r="CH61" s="2"/>
      <c r="CI61" s="2"/>
      <c r="CJ61" s="2"/>
      <c r="CK61" s="2"/>
      <c r="CL61" s="2"/>
      <c r="CM61" s="2"/>
      <c r="CN61" s="2"/>
      <c r="CO61" s="2"/>
      <c r="CP61" s="2"/>
      <c r="CQ61" s="2"/>
    </row>
    <row r="62">
      <c r="BI62" s="38" t="str">
        <f>IFERROR(__xludf.DUMMYFUNCTION("""COMPUTED_VALUE"""),"Steel Mirror")</f>
        <v>Steel Mirror</v>
      </c>
      <c r="BJ62" s="2">
        <v>1.5</v>
      </c>
      <c r="BK62" s="2">
        <v>1.0</v>
      </c>
      <c r="BL62" s="2">
        <v>1.0</v>
      </c>
      <c r="BM62" s="2">
        <v>1.0</v>
      </c>
      <c r="BN62" s="2">
        <v>1.0</v>
      </c>
      <c r="BO62" s="2">
        <v>1.0</v>
      </c>
      <c r="BP62" s="2">
        <v>1.0</v>
      </c>
      <c r="BQ62" s="2">
        <v>1.0</v>
      </c>
      <c r="BR62" s="2">
        <v>1.0</v>
      </c>
      <c r="BS62" s="2">
        <v>1.0</v>
      </c>
      <c r="BT62" s="2">
        <v>1.0</v>
      </c>
      <c r="BU62" s="2">
        <v>1.0</v>
      </c>
      <c r="BV62" s="2">
        <v>1.0</v>
      </c>
      <c r="BW62" s="2">
        <v>1.0</v>
      </c>
      <c r="BX62" s="2">
        <v>1.0</v>
      </c>
      <c r="BY62" s="2">
        <v>1.0</v>
      </c>
      <c r="BZ62" s="2">
        <v>1.0</v>
      </c>
      <c r="CB62" s="2"/>
      <c r="CC62" s="2"/>
      <c r="CD62" s="2"/>
      <c r="CE62" s="2"/>
      <c r="CF62" s="2"/>
      <c r="CG62" s="2"/>
      <c r="CH62" s="2"/>
      <c r="CI62" s="2"/>
      <c r="CJ62" s="2"/>
      <c r="CK62" s="2"/>
      <c r="CL62" s="2"/>
      <c r="CM62" s="2"/>
      <c r="CN62" s="2"/>
      <c r="CO62" s="2"/>
      <c r="CP62" s="2"/>
      <c r="CQ62" s="2"/>
    </row>
    <row r="63">
      <c r="BI63" s="38" t="str">
        <f>IFERROR(__xludf.DUMMYFUNCTION("""COMPUTED_VALUE"""),"Tinderbox")</f>
        <v>Tinderbox</v>
      </c>
      <c r="BJ63" s="2">
        <v>1.5</v>
      </c>
      <c r="BK63" s="2">
        <v>1.0</v>
      </c>
      <c r="BL63" s="2">
        <v>1.0</v>
      </c>
      <c r="BM63" s="2">
        <v>1.0</v>
      </c>
      <c r="BN63" s="2">
        <v>1.0</v>
      </c>
      <c r="BO63" s="2">
        <v>1.0</v>
      </c>
      <c r="BP63" s="2">
        <v>1.0</v>
      </c>
      <c r="BQ63" s="2">
        <v>1.0</v>
      </c>
      <c r="BR63" s="2">
        <v>1.0</v>
      </c>
      <c r="BS63" s="2">
        <v>1.0</v>
      </c>
      <c r="BT63" s="2">
        <v>1.0</v>
      </c>
      <c r="BU63" s="2">
        <v>1.0</v>
      </c>
      <c r="BV63" s="2">
        <v>1.0</v>
      </c>
      <c r="BW63" s="2">
        <v>1.0</v>
      </c>
      <c r="BX63" s="2">
        <v>1.0</v>
      </c>
      <c r="BY63" s="2">
        <v>1.0</v>
      </c>
      <c r="BZ63" s="2">
        <v>1.0</v>
      </c>
      <c r="CB63" s="2"/>
      <c r="CC63" s="2"/>
      <c r="CD63" s="2"/>
      <c r="CE63" s="2"/>
      <c r="CF63" s="2"/>
      <c r="CG63" s="2"/>
      <c r="CH63" s="2"/>
      <c r="CI63" s="2"/>
      <c r="CJ63" s="2"/>
      <c r="CK63" s="2"/>
      <c r="CL63" s="2"/>
      <c r="CM63" s="2"/>
      <c r="CN63" s="2"/>
      <c r="CO63" s="2"/>
      <c r="CP63" s="2"/>
      <c r="CQ63" s="2"/>
    </row>
    <row r="64">
      <c r="BI64" s="38" t="str">
        <f>IFERROR(__xludf.DUMMYFUNCTION("""COMPUTED_VALUE"""),"Two-Person Tent")</f>
        <v>Two-Person Tent</v>
      </c>
      <c r="BJ64" s="2">
        <v>1.5</v>
      </c>
      <c r="BK64" s="2">
        <v>1.0</v>
      </c>
      <c r="BL64" s="2">
        <v>1.0</v>
      </c>
      <c r="BM64" s="2">
        <v>1.0</v>
      </c>
      <c r="BN64" s="2">
        <v>1.0</v>
      </c>
      <c r="BO64" s="2">
        <v>1.0</v>
      </c>
      <c r="BP64" s="2">
        <v>1.0</v>
      </c>
      <c r="BQ64" s="2">
        <v>1.0</v>
      </c>
      <c r="BR64" s="2">
        <v>1.0</v>
      </c>
      <c r="BS64" s="2">
        <v>1.0</v>
      </c>
      <c r="BT64" s="2">
        <v>1.0</v>
      </c>
      <c r="BU64" s="2">
        <v>1.0</v>
      </c>
      <c r="BV64" s="2">
        <v>1.0</v>
      </c>
      <c r="BW64" s="2">
        <v>1.0</v>
      </c>
      <c r="BX64" s="2">
        <v>1.0</v>
      </c>
      <c r="BY64" s="2">
        <v>1.0</v>
      </c>
      <c r="BZ64" s="2">
        <v>1.0</v>
      </c>
      <c r="CB64" s="2"/>
      <c r="CC64" s="2"/>
      <c r="CD64" s="2"/>
      <c r="CE64" s="2"/>
      <c r="CF64" s="2"/>
      <c r="CG64" s="2"/>
      <c r="CH64" s="2"/>
      <c r="CI64" s="2"/>
      <c r="CJ64" s="2"/>
      <c r="CK64" s="2"/>
      <c r="CL64" s="2"/>
      <c r="CM64" s="2"/>
      <c r="CN64" s="2"/>
      <c r="CO64" s="2"/>
      <c r="CP64" s="2"/>
      <c r="CQ64" s="2"/>
    </row>
    <row r="65">
      <c r="BI65" s="38" t="str">
        <f>IFERROR(__xludf.DUMMYFUNCTION("""COMPUTED_VALUE"""),"Waterskin")</f>
        <v>Waterskin</v>
      </c>
      <c r="BJ65" s="2">
        <v>1.5</v>
      </c>
      <c r="BK65" s="2">
        <v>1.0</v>
      </c>
      <c r="BL65" s="2">
        <v>1.0</v>
      </c>
      <c r="BM65" s="2">
        <v>1.0</v>
      </c>
      <c r="BN65" s="2">
        <v>1.0</v>
      </c>
      <c r="BO65" s="2">
        <v>1.0</v>
      </c>
      <c r="BP65" s="2">
        <v>1.0</v>
      </c>
      <c r="BQ65" s="2">
        <v>1.0</v>
      </c>
      <c r="BR65" s="2">
        <v>1.0</v>
      </c>
      <c r="BS65" s="2">
        <v>1.0</v>
      </c>
      <c r="BT65" s="2">
        <v>1.0</v>
      </c>
      <c r="BU65" s="2">
        <v>1.0</v>
      </c>
      <c r="BV65" s="2">
        <v>1.0</v>
      </c>
      <c r="BW65" s="2">
        <v>1.0</v>
      </c>
      <c r="BX65" s="2">
        <v>1.0</v>
      </c>
      <c r="BY65" s="2">
        <v>1.0</v>
      </c>
      <c r="BZ65" s="2">
        <v>1.0</v>
      </c>
      <c r="CB65" s="2"/>
      <c r="CC65" s="2"/>
      <c r="CD65" s="2"/>
      <c r="CE65" s="2"/>
      <c r="CF65" s="2"/>
      <c r="CG65" s="2"/>
      <c r="CH65" s="2"/>
      <c r="CI65" s="2"/>
      <c r="CJ65" s="2"/>
      <c r="CK65" s="2"/>
      <c r="CL65" s="2"/>
      <c r="CM65" s="2"/>
      <c r="CN65" s="2"/>
      <c r="CO65" s="2"/>
      <c r="CP65" s="2"/>
      <c r="CQ65" s="2"/>
    </row>
    <row r="66">
      <c r="BI66" s="41" t="str">
        <f>IFERROR(__xludf.DUMMYFUNCTION("""COMPUTED_VALUE"""),"Canvas")</f>
        <v>Canvas</v>
      </c>
      <c r="BJ66" s="2">
        <v>1.5</v>
      </c>
      <c r="BK66" s="2">
        <v>1.0</v>
      </c>
      <c r="BL66" s="2">
        <v>1.0</v>
      </c>
      <c r="BM66" s="2">
        <v>1.0</v>
      </c>
      <c r="BN66" s="2">
        <v>1.0</v>
      </c>
      <c r="BO66" s="2">
        <v>1.0</v>
      </c>
      <c r="BP66" s="2">
        <v>1.0</v>
      </c>
      <c r="BQ66" s="2">
        <v>1.0</v>
      </c>
      <c r="BR66" s="2">
        <v>1.0</v>
      </c>
      <c r="BS66" s="2">
        <v>1.0</v>
      </c>
      <c r="BT66" s="2">
        <v>1.0</v>
      </c>
      <c r="BU66" s="2">
        <v>1.0</v>
      </c>
      <c r="BV66" s="2">
        <v>1.0</v>
      </c>
      <c r="BW66" s="2">
        <v>1.0</v>
      </c>
      <c r="BX66" s="2">
        <v>1.0</v>
      </c>
      <c r="BY66" s="2">
        <v>1.0</v>
      </c>
      <c r="BZ66" s="2">
        <v>1.0</v>
      </c>
      <c r="CB66" s="2"/>
      <c r="CC66" s="2"/>
      <c r="CD66" s="2"/>
      <c r="CE66" s="2"/>
      <c r="CF66" s="2"/>
      <c r="CG66" s="2"/>
      <c r="CH66" s="2"/>
      <c r="CI66" s="2"/>
      <c r="CJ66" s="2"/>
      <c r="CK66" s="2"/>
      <c r="CL66" s="2"/>
      <c r="CM66" s="2"/>
      <c r="CN66" s="2"/>
      <c r="CO66" s="2"/>
      <c r="CP66" s="2"/>
      <c r="CQ66" s="2"/>
    </row>
    <row r="67">
      <c r="BI67" s="41" t="str">
        <f>IFERROR(__xludf.DUMMYFUNCTION("""COMPUTED_VALUE"""),"Cotton Cloth")</f>
        <v>Cotton Cloth</v>
      </c>
      <c r="BJ67" s="2">
        <v>1.5</v>
      </c>
      <c r="BK67" s="2">
        <v>1.0</v>
      </c>
      <c r="BL67" s="2">
        <v>1.0</v>
      </c>
      <c r="BM67" s="2">
        <v>1.0</v>
      </c>
      <c r="BN67" s="2">
        <v>1.0</v>
      </c>
      <c r="BO67" s="2">
        <v>1.0</v>
      </c>
      <c r="BP67" s="2">
        <v>1.0</v>
      </c>
      <c r="BQ67" s="2">
        <v>1.0</v>
      </c>
      <c r="BR67" s="2">
        <v>1.0</v>
      </c>
      <c r="BS67" s="2">
        <v>1.0</v>
      </c>
      <c r="BT67" s="2">
        <v>1.0</v>
      </c>
      <c r="BU67" s="2">
        <v>1.0</v>
      </c>
      <c r="BV67" s="2">
        <v>1.0</v>
      </c>
      <c r="BW67" s="2">
        <v>1.0</v>
      </c>
      <c r="BX67" s="2">
        <v>1.0</v>
      </c>
      <c r="BY67" s="2">
        <v>1.0</v>
      </c>
      <c r="BZ67" s="2">
        <v>1.0</v>
      </c>
      <c r="CB67" s="2"/>
      <c r="CC67" s="2"/>
      <c r="CD67" s="2"/>
      <c r="CE67" s="2"/>
      <c r="CF67" s="2"/>
      <c r="CG67" s="2"/>
      <c r="CH67" s="2"/>
      <c r="CI67" s="2"/>
      <c r="CJ67" s="2"/>
      <c r="CK67" s="2"/>
      <c r="CL67" s="2"/>
      <c r="CM67" s="2"/>
      <c r="CN67" s="2"/>
      <c r="CO67" s="2"/>
      <c r="CP67" s="2"/>
      <c r="CQ67" s="2"/>
    </row>
    <row r="68">
      <c r="BI68" s="41" t="str">
        <f>IFERROR(__xludf.DUMMYFUNCTION("""COMPUTED_VALUE"""),"Linen")</f>
        <v>Linen</v>
      </c>
      <c r="BJ68" s="2">
        <v>1.5</v>
      </c>
      <c r="BK68" s="2">
        <v>1.0</v>
      </c>
      <c r="BL68" s="2">
        <v>1.0</v>
      </c>
      <c r="BM68" s="2">
        <v>1.0</v>
      </c>
      <c r="BN68" s="2">
        <v>1.0</v>
      </c>
      <c r="BO68" s="2">
        <v>1.0</v>
      </c>
      <c r="BP68" s="2">
        <v>1.0</v>
      </c>
      <c r="BQ68" s="2">
        <v>1.0</v>
      </c>
      <c r="BR68" s="2">
        <v>1.0</v>
      </c>
      <c r="BS68" s="2">
        <v>1.0</v>
      </c>
      <c r="BT68" s="2">
        <v>1.0</v>
      </c>
      <c r="BU68" s="2">
        <v>1.0</v>
      </c>
      <c r="BV68" s="2">
        <v>1.0</v>
      </c>
      <c r="BW68" s="2">
        <v>1.0</v>
      </c>
      <c r="BX68" s="2">
        <v>1.0</v>
      </c>
      <c r="BY68" s="2">
        <v>1.0</v>
      </c>
      <c r="BZ68" s="2">
        <v>1.0</v>
      </c>
      <c r="CB68" s="2"/>
      <c r="CC68" s="2"/>
      <c r="CD68" s="2"/>
      <c r="CE68" s="2"/>
      <c r="CF68" s="2"/>
      <c r="CG68" s="2"/>
      <c r="CH68" s="2"/>
      <c r="CI68" s="2"/>
      <c r="CJ68" s="2"/>
      <c r="CK68" s="2"/>
      <c r="CL68" s="2"/>
      <c r="CM68" s="2"/>
      <c r="CN68" s="2"/>
      <c r="CO68" s="2"/>
      <c r="CP68" s="2"/>
      <c r="CQ68" s="2"/>
    </row>
    <row r="69">
      <c r="BI69" s="41" t="str">
        <f>IFERROR(__xludf.DUMMYFUNCTION("""COMPUTED_VALUE"""),"Silk")</f>
        <v>Silk</v>
      </c>
      <c r="BJ69" s="2">
        <v>1.5</v>
      </c>
      <c r="BK69" s="2">
        <v>1.0</v>
      </c>
      <c r="BL69" s="2">
        <v>1.0</v>
      </c>
      <c r="BM69" s="2">
        <v>1.0</v>
      </c>
      <c r="BN69" s="2">
        <v>1.0</v>
      </c>
      <c r="BO69" s="2">
        <v>1.0</v>
      </c>
      <c r="BP69" s="2">
        <v>1.0</v>
      </c>
      <c r="BQ69" s="2">
        <v>1.0</v>
      </c>
      <c r="BR69" s="2">
        <v>1.0</v>
      </c>
      <c r="BS69" s="2">
        <v>1.0</v>
      </c>
      <c r="BT69" s="2">
        <v>1.0</v>
      </c>
      <c r="BU69" s="2">
        <v>1.0</v>
      </c>
      <c r="BV69" s="2">
        <v>1.0</v>
      </c>
      <c r="BW69" s="2">
        <v>1.0</v>
      </c>
      <c r="BX69" s="2">
        <v>1.0</v>
      </c>
      <c r="BY69" s="2">
        <v>1.0</v>
      </c>
      <c r="BZ69" s="2">
        <v>1.0</v>
      </c>
      <c r="CB69" s="2"/>
      <c r="CC69" s="2"/>
      <c r="CD69" s="2"/>
      <c r="CE69" s="2"/>
      <c r="CF69" s="2"/>
      <c r="CG69" s="2"/>
      <c r="CH69" s="2"/>
      <c r="CI69" s="2"/>
      <c r="CJ69" s="2"/>
      <c r="CK69" s="2"/>
      <c r="CL69" s="2"/>
      <c r="CM69" s="2"/>
      <c r="CN69" s="2"/>
      <c r="CO69" s="2"/>
      <c r="CP69" s="2"/>
      <c r="CQ69" s="2"/>
    </row>
    <row r="70">
      <c r="BI70" s="41" t="str">
        <f>IFERROR(__xludf.DUMMYFUNCTION("""COMPUTED_VALUE"""),"Ginger")</f>
        <v>Ginger</v>
      </c>
      <c r="BJ70" s="2">
        <v>1.5</v>
      </c>
      <c r="BK70" s="2">
        <v>1.0</v>
      </c>
      <c r="BL70" s="2">
        <v>1.0</v>
      </c>
      <c r="BM70" s="2">
        <v>1.0</v>
      </c>
      <c r="BN70" s="2">
        <v>1.0</v>
      </c>
      <c r="BO70" s="2">
        <v>1.0</v>
      </c>
      <c r="BP70" s="2">
        <v>1.0</v>
      </c>
      <c r="BQ70" s="2">
        <v>1.0</v>
      </c>
      <c r="BR70" s="2">
        <v>1.0</v>
      </c>
      <c r="BS70" s="2">
        <v>1.0</v>
      </c>
      <c r="BT70" s="2">
        <v>1.0</v>
      </c>
      <c r="BU70" s="2">
        <v>1.0</v>
      </c>
      <c r="BV70" s="2">
        <v>1.0</v>
      </c>
      <c r="BW70" s="2">
        <v>1.0</v>
      </c>
      <c r="BX70" s="2">
        <v>1.0</v>
      </c>
      <c r="BY70" s="2">
        <v>1.0</v>
      </c>
      <c r="BZ70" s="2">
        <v>1.0</v>
      </c>
      <c r="CB70" s="2"/>
      <c r="CC70" s="2"/>
      <c r="CD70" s="2"/>
      <c r="CE70" s="2"/>
      <c r="CF70" s="2"/>
      <c r="CG70" s="2"/>
      <c r="CH70" s="2"/>
      <c r="CI70" s="2"/>
      <c r="CJ70" s="2"/>
      <c r="CK70" s="2"/>
      <c r="CL70" s="2"/>
      <c r="CM70" s="2"/>
      <c r="CN70" s="2"/>
      <c r="CO70" s="2"/>
      <c r="CP70" s="2"/>
      <c r="CQ70" s="2"/>
    </row>
    <row r="71">
      <c r="BI71" s="41" t="str">
        <f>IFERROR(__xludf.DUMMYFUNCTION("""COMPUTED_VALUE"""),"Pepper")</f>
        <v>Pepper</v>
      </c>
      <c r="BJ71" s="2">
        <v>1.5</v>
      </c>
      <c r="BK71" s="2">
        <v>1.0</v>
      </c>
      <c r="BL71" s="2">
        <v>1.0</v>
      </c>
      <c r="BM71" s="2">
        <v>1.0</v>
      </c>
      <c r="BN71" s="2">
        <v>1.0</v>
      </c>
      <c r="BO71" s="2">
        <v>1.0</v>
      </c>
      <c r="BP71" s="2">
        <v>1.0</v>
      </c>
      <c r="BQ71" s="2">
        <v>1.0</v>
      </c>
      <c r="BR71" s="2">
        <v>1.0</v>
      </c>
      <c r="BS71" s="2">
        <v>1.0</v>
      </c>
      <c r="BT71" s="2">
        <v>1.0</v>
      </c>
      <c r="BU71" s="2">
        <v>1.0</v>
      </c>
      <c r="BV71" s="2">
        <v>1.0</v>
      </c>
      <c r="BW71" s="2">
        <v>1.0</v>
      </c>
      <c r="BX71" s="2">
        <v>1.0</v>
      </c>
      <c r="BY71" s="2">
        <v>1.0</v>
      </c>
      <c r="BZ71" s="2">
        <v>1.0</v>
      </c>
      <c r="CB71" s="2"/>
      <c r="CC71" s="2"/>
      <c r="CD71" s="2"/>
      <c r="CE71" s="2"/>
      <c r="CF71" s="2"/>
      <c r="CG71" s="2"/>
      <c r="CH71" s="2"/>
      <c r="CI71" s="2"/>
      <c r="CJ71" s="2"/>
      <c r="CK71" s="2"/>
      <c r="CL71" s="2"/>
      <c r="CM71" s="2"/>
      <c r="CN71" s="2"/>
      <c r="CO71" s="2"/>
      <c r="CP71" s="2"/>
      <c r="CQ71" s="2"/>
    </row>
    <row r="72">
      <c r="BI72" s="41" t="str">
        <f>IFERROR(__xludf.DUMMYFUNCTION("""COMPUTED_VALUE"""),"Saffron")</f>
        <v>Saffron</v>
      </c>
      <c r="BJ72" s="2">
        <v>1.5</v>
      </c>
      <c r="BK72" s="2">
        <v>1.0</v>
      </c>
      <c r="BL72" s="2">
        <v>1.0</v>
      </c>
      <c r="BM72" s="2">
        <v>1.0</v>
      </c>
      <c r="BN72" s="2">
        <v>1.0</v>
      </c>
      <c r="BO72" s="2">
        <v>1.0</v>
      </c>
      <c r="BP72" s="2">
        <v>1.0</v>
      </c>
      <c r="BQ72" s="2">
        <v>1.0</v>
      </c>
      <c r="BR72" s="2">
        <v>1.0</v>
      </c>
      <c r="BS72" s="2">
        <v>1.0</v>
      </c>
      <c r="BT72" s="2">
        <v>1.0</v>
      </c>
      <c r="BU72" s="2">
        <v>1.0</v>
      </c>
      <c r="BV72" s="2">
        <v>1.0</v>
      </c>
      <c r="BW72" s="2">
        <v>1.0</v>
      </c>
      <c r="BX72" s="2">
        <v>1.0</v>
      </c>
      <c r="BY72" s="2">
        <v>1.0</v>
      </c>
      <c r="BZ72" s="2">
        <v>1.0</v>
      </c>
      <c r="CB72" s="2"/>
      <c r="CC72" s="2"/>
      <c r="CD72" s="2"/>
      <c r="CE72" s="2"/>
      <c r="CF72" s="2"/>
      <c r="CG72" s="2"/>
      <c r="CH72" s="2"/>
      <c r="CI72" s="2"/>
      <c r="CJ72" s="2"/>
      <c r="CK72" s="2"/>
      <c r="CL72" s="2"/>
      <c r="CM72" s="2"/>
      <c r="CN72" s="2"/>
      <c r="CO72" s="2"/>
      <c r="CP72" s="2"/>
      <c r="CQ72" s="2"/>
    </row>
    <row r="73">
      <c r="BI73" s="41" t="str">
        <f>IFERROR(__xludf.DUMMYFUNCTION("""COMPUTED_VALUE"""),"Salt")</f>
        <v>Salt</v>
      </c>
      <c r="BJ73" s="2">
        <v>1.5</v>
      </c>
      <c r="BK73" s="2">
        <v>1.0</v>
      </c>
      <c r="BL73" s="2">
        <v>1.0</v>
      </c>
      <c r="BM73" s="2">
        <v>1.0</v>
      </c>
      <c r="BN73" s="2">
        <v>1.0</v>
      </c>
      <c r="BO73" s="2">
        <v>1.0</v>
      </c>
      <c r="BP73" s="2">
        <v>1.0</v>
      </c>
      <c r="BQ73" s="2">
        <v>1.0</v>
      </c>
      <c r="BR73" s="2">
        <v>1.0</v>
      </c>
      <c r="BS73" s="2">
        <v>1.0</v>
      </c>
      <c r="BT73" s="2">
        <v>1.0</v>
      </c>
      <c r="BU73" s="2">
        <v>1.0</v>
      </c>
      <c r="BV73" s="2">
        <v>1.0</v>
      </c>
      <c r="BW73" s="2">
        <v>1.0</v>
      </c>
      <c r="BX73" s="2">
        <v>1.0</v>
      </c>
      <c r="BY73" s="2">
        <v>1.0</v>
      </c>
      <c r="BZ73" s="2">
        <v>1.0</v>
      </c>
      <c r="CB73" s="2"/>
      <c r="CC73" s="2"/>
      <c r="CD73" s="2"/>
      <c r="CE73" s="2"/>
      <c r="CF73" s="2"/>
      <c r="CG73" s="2"/>
      <c r="CH73" s="2"/>
      <c r="CI73" s="2"/>
      <c r="CJ73" s="2"/>
      <c r="CK73" s="2"/>
      <c r="CL73" s="2"/>
      <c r="CM73" s="2"/>
      <c r="CN73" s="2"/>
      <c r="CO73" s="2"/>
      <c r="CP73" s="2"/>
      <c r="CQ73" s="2"/>
    </row>
    <row r="74">
      <c r="BI74" s="38" t="str">
        <f>IFERROR(__xludf.DUMMYFUNCTION("""COMPUTED_VALUE"""),"Gallon of Ale")</f>
        <v>Gallon of Ale</v>
      </c>
      <c r="BJ74" s="2">
        <v>1.5</v>
      </c>
      <c r="BK74" s="2">
        <v>1.0</v>
      </c>
      <c r="BL74" s="2">
        <v>1.0</v>
      </c>
      <c r="BM74" s="2">
        <v>1.0</v>
      </c>
      <c r="BN74" s="2">
        <v>1.0</v>
      </c>
      <c r="BO74" s="2">
        <v>1.0</v>
      </c>
      <c r="BP74" s="2">
        <v>1.0</v>
      </c>
      <c r="BQ74" s="2">
        <v>1.0</v>
      </c>
      <c r="BR74" s="2">
        <v>1.0</v>
      </c>
      <c r="BS74" s="2">
        <v>1.0</v>
      </c>
      <c r="BT74" s="2">
        <v>1.0</v>
      </c>
      <c r="BU74" s="2">
        <v>1.0</v>
      </c>
      <c r="BV74" s="2">
        <v>1.0</v>
      </c>
      <c r="BW74" s="2">
        <v>1.0</v>
      </c>
      <c r="BX74" s="2">
        <v>1.0</v>
      </c>
      <c r="BY74" s="2">
        <v>1.0</v>
      </c>
      <c r="BZ74" s="2">
        <v>1.0</v>
      </c>
      <c r="CB74" s="2"/>
      <c r="CC74" s="2"/>
      <c r="CD74" s="2"/>
      <c r="CE74" s="2"/>
      <c r="CF74" s="2"/>
      <c r="CG74" s="2"/>
      <c r="CH74" s="2"/>
      <c r="CI74" s="2"/>
      <c r="CJ74" s="2"/>
      <c r="CK74" s="2"/>
      <c r="CL74" s="2"/>
      <c r="CM74" s="2"/>
      <c r="CN74" s="2"/>
      <c r="CO74" s="2"/>
      <c r="CP74" s="2"/>
      <c r="CQ74" s="2"/>
    </row>
    <row r="75">
      <c r="BI75" s="38" t="str">
        <f>IFERROR(__xludf.DUMMYFUNCTION("""COMPUTED_VALUE"""),"Mug of Ale")</f>
        <v>Mug of Ale</v>
      </c>
      <c r="BJ75" s="2">
        <v>1.5</v>
      </c>
      <c r="BK75" s="2">
        <v>1.0</v>
      </c>
      <c r="BL75" s="2">
        <v>1.0</v>
      </c>
      <c r="BM75" s="2">
        <v>1.0</v>
      </c>
      <c r="BN75" s="2">
        <v>1.0</v>
      </c>
      <c r="BO75" s="2">
        <v>1.0</v>
      </c>
      <c r="BP75" s="2">
        <v>1.0</v>
      </c>
      <c r="BQ75" s="2">
        <v>1.0</v>
      </c>
      <c r="BR75" s="2">
        <v>1.0</v>
      </c>
      <c r="BS75" s="2">
        <v>1.0</v>
      </c>
      <c r="BT75" s="2">
        <v>1.0</v>
      </c>
      <c r="BU75" s="2">
        <v>1.0</v>
      </c>
      <c r="BV75" s="2">
        <v>1.0</v>
      </c>
      <c r="BW75" s="2">
        <v>1.0</v>
      </c>
      <c r="BX75" s="2">
        <v>1.0</v>
      </c>
      <c r="BY75" s="2">
        <v>1.0</v>
      </c>
      <c r="BZ75" s="2">
        <v>1.0</v>
      </c>
      <c r="CB75" s="2"/>
      <c r="CC75" s="2"/>
      <c r="CD75" s="2"/>
      <c r="CE75" s="2"/>
      <c r="CF75" s="2"/>
      <c r="CG75" s="2"/>
      <c r="CH75" s="2"/>
      <c r="CI75" s="2"/>
      <c r="CJ75" s="2"/>
      <c r="CK75" s="2"/>
      <c r="CL75" s="2"/>
      <c r="CM75" s="2"/>
      <c r="CN75" s="2"/>
      <c r="CO75" s="2"/>
      <c r="CP75" s="2"/>
      <c r="CQ75" s="2"/>
    </row>
    <row r="76">
      <c r="BI76" s="38" t="str">
        <f>IFERROR(__xludf.DUMMYFUNCTION("""COMPUTED_VALUE"""),"Bread")</f>
        <v>Bread</v>
      </c>
      <c r="BJ76" s="2">
        <v>1.5</v>
      </c>
      <c r="BK76" s="2">
        <v>1.0</v>
      </c>
      <c r="BL76" s="2">
        <v>1.0</v>
      </c>
      <c r="BM76" s="2">
        <v>1.0</v>
      </c>
      <c r="BN76" s="2">
        <v>1.0</v>
      </c>
      <c r="BO76" s="2">
        <v>1.0</v>
      </c>
      <c r="BP76" s="2">
        <v>1.0</v>
      </c>
      <c r="BQ76" s="2">
        <v>1.0</v>
      </c>
      <c r="BR76" s="2">
        <v>1.0</v>
      </c>
      <c r="BS76" s="2">
        <v>1.0</v>
      </c>
      <c r="BT76" s="2">
        <v>1.0</v>
      </c>
      <c r="BU76" s="2">
        <v>1.0</v>
      </c>
      <c r="BV76" s="2">
        <v>1.0</v>
      </c>
      <c r="BW76" s="2">
        <v>1.0</v>
      </c>
      <c r="BX76" s="2">
        <v>1.0</v>
      </c>
      <c r="BY76" s="2">
        <v>1.0</v>
      </c>
      <c r="BZ76" s="2">
        <v>1.0</v>
      </c>
      <c r="CB76" s="2"/>
      <c r="CC76" s="2"/>
      <c r="CD76" s="2"/>
      <c r="CE76" s="2"/>
      <c r="CF76" s="2"/>
      <c r="CG76" s="2"/>
      <c r="CH76" s="2"/>
      <c r="CI76" s="2"/>
      <c r="CJ76" s="2"/>
      <c r="CK76" s="2"/>
      <c r="CL76" s="2"/>
      <c r="CM76" s="2"/>
      <c r="CN76" s="2"/>
      <c r="CO76" s="2"/>
      <c r="CP76" s="2"/>
      <c r="CQ76" s="2"/>
    </row>
    <row r="77">
      <c r="BI77" s="38" t="str">
        <f>IFERROR(__xludf.DUMMYFUNCTION("""COMPUTED_VALUE"""),"Cheese")</f>
        <v>Cheese</v>
      </c>
      <c r="BJ77" s="2">
        <v>1.5</v>
      </c>
      <c r="BK77" s="2">
        <v>1.0</v>
      </c>
      <c r="BL77" s="2">
        <v>1.0</v>
      </c>
      <c r="BM77" s="2">
        <v>1.0</v>
      </c>
      <c r="BN77" s="2">
        <v>1.0</v>
      </c>
      <c r="BO77" s="2">
        <v>1.0</v>
      </c>
      <c r="BP77" s="2">
        <v>1.0</v>
      </c>
      <c r="BQ77" s="2">
        <v>1.0</v>
      </c>
      <c r="BR77" s="2">
        <v>1.0</v>
      </c>
      <c r="BS77" s="2">
        <v>1.0</v>
      </c>
      <c r="BT77" s="2">
        <v>1.0</v>
      </c>
      <c r="BU77" s="2">
        <v>1.0</v>
      </c>
      <c r="BV77" s="2">
        <v>1.0</v>
      </c>
      <c r="BW77" s="2">
        <v>1.0</v>
      </c>
      <c r="BX77" s="2">
        <v>1.0</v>
      </c>
      <c r="BY77" s="2">
        <v>1.0</v>
      </c>
      <c r="BZ77" s="2">
        <v>1.0</v>
      </c>
      <c r="CB77" s="2"/>
      <c r="CC77" s="2"/>
      <c r="CD77" s="2"/>
      <c r="CE77" s="2"/>
      <c r="CF77" s="2"/>
      <c r="CG77" s="2"/>
      <c r="CH77" s="2"/>
      <c r="CI77" s="2"/>
      <c r="CJ77" s="2"/>
      <c r="CK77" s="2"/>
      <c r="CL77" s="2"/>
      <c r="CM77" s="2"/>
      <c r="CN77" s="2"/>
      <c r="CO77" s="2"/>
      <c r="CP77" s="2"/>
      <c r="CQ77" s="2"/>
    </row>
    <row r="78">
      <c r="BI78" s="38" t="str">
        <f>IFERROR(__xludf.DUMMYFUNCTION("""COMPUTED_VALUE"""),"Meal (Comfortable)")</f>
        <v>Meal (Comfortable)</v>
      </c>
      <c r="BJ78" s="2">
        <v>1.5</v>
      </c>
      <c r="BK78" s="2">
        <v>1.0</v>
      </c>
      <c r="BL78" s="2">
        <v>1.0</v>
      </c>
      <c r="BM78" s="2">
        <v>1.0</v>
      </c>
      <c r="BN78" s="2">
        <v>1.0</v>
      </c>
      <c r="BO78" s="2">
        <v>1.0</v>
      </c>
      <c r="BP78" s="2">
        <v>1.0</v>
      </c>
      <c r="BQ78" s="2">
        <v>1.0</v>
      </c>
      <c r="BR78" s="2">
        <v>1.0</v>
      </c>
      <c r="BS78" s="2">
        <v>1.0</v>
      </c>
      <c r="BT78" s="2">
        <v>1.0</v>
      </c>
      <c r="BU78" s="2">
        <v>1.0</v>
      </c>
      <c r="BV78" s="2">
        <v>1.0</v>
      </c>
      <c r="BW78" s="2">
        <v>1.0</v>
      </c>
      <c r="BX78" s="2">
        <v>1.0</v>
      </c>
      <c r="BY78" s="2">
        <v>1.0</v>
      </c>
      <c r="BZ78" s="2">
        <v>1.0</v>
      </c>
      <c r="CB78" s="2"/>
      <c r="CC78" s="2"/>
      <c r="CD78" s="2"/>
      <c r="CE78" s="2"/>
      <c r="CF78" s="2"/>
      <c r="CG78" s="2"/>
      <c r="CH78" s="2"/>
      <c r="CI78" s="2"/>
      <c r="CJ78" s="2"/>
      <c r="CK78" s="2"/>
      <c r="CL78" s="2"/>
      <c r="CM78" s="2"/>
      <c r="CN78" s="2"/>
      <c r="CO78" s="2"/>
      <c r="CP78" s="2"/>
      <c r="CQ78" s="2"/>
    </row>
    <row r="79">
      <c r="BI79" s="38" t="str">
        <f>IFERROR(__xludf.DUMMYFUNCTION("""COMPUTED_VALUE"""),"Meal (Modest)")</f>
        <v>Meal (Modest)</v>
      </c>
      <c r="BJ79" s="2">
        <v>1.5</v>
      </c>
      <c r="BK79" s="2">
        <v>1.0</v>
      </c>
      <c r="BL79" s="2">
        <v>1.0</v>
      </c>
      <c r="BM79" s="2">
        <v>1.0</v>
      </c>
      <c r="BN79" s="2">
        <v>1.0</v>
      </c>
      <c r="BO79" s="2">
        <v>1.0</v>
      </c>
      <c r="BP79" s="2">
        <v>1.0</v>
      </c>
      <c r="BQ79" s="2">
        <v>1.0</v>
      </c>
      <c r="BR79" s="2">
        <v>1.0</v>
      </c>
      <c r="BS79" s="2">
        <v>1.0</v>
      </c>
      <c r="BT79" s="2">
        <v>1.0</v>
      </c>
      <c r="BU79" s="2">
        <v>1.0</v>
      </c>
      <c r="BV79" s="2">
        <v>1.0</v>
      </c>
      <c r="BW79" s="2">
        <v>1.0</v>
      </c>
      <c r="BX79" s="2">
        <v>1.0</v>
      </c>
      <c r="BY79" s="2">
        <v>1.0</v>
      </c>
      <c r="BZ79" s="2">
        <v>1.0</v>
      </c>
      <c r="CB79" s="2"/>
      <c r="CC79" s="2"/>
      <c r="CD79" s="2"/>
      <c r="CE79" s="2"/>
      <c r="CF79" s="2"/>
      <c r="CG79" s="2"/>
      <c r="CH79" s="2"/>
      <c r="CI79" s="2"/>
      <c r="CJ79" s="2"/>
      <c r="CK79" s="2"/>
      <c r="CL79" s="2"/>
      <c r="CM79" s="2"/>
      <c r="CN79" s="2"/>
      <c r="CO79" s="2"/>
      <c r="CP79" s="2"/>
      <c r="CQ79" s="2"/>
    </row>
    <row r="80">
      <c r="BI80" s="38" t="str">
        <f>IFERROR(__xludf.DUMMYFUNCTION("""COMPUTED_VALUE"""),"Meal (Poor)")</f>
        <v>Meal (Poor)</v>
      </c>
      <c r="BJ80" s="2">
        <v>1.5</v>
      </c>
      <c r="BK80" s="2">
        <v>1.0</v>
      </c>
      <c r="BL80" s="2">
        <v>1.0</v>
      </c>
      <c r="BM80" s="2">
        <v>1.0</v>
      </c>
      <c r="BN80" s="2">
        <v>1.0</v>
      </c>
      <c r="BO80" s="2">
        <v>1.0</v>
      </c>
      <c r="BP80" s="2">
        <v>1.0</v>
      </c>
      <c r="BQ80" s="2">
        <v>1.0</v>
      </c>
      <c r="BR80" s="2">
        <v>1.0</v>
      </c>
      <c r="BS80" s="2">
        <v>1.0</v>
      </c>
      <c r="BT80" s="2">
        <v>1.0</v>
      </c>
      <c r="BU80" s="2">
        <v>1.0</v>
      </c>
      <c r="BV80" s="2">
        <v>1.0</v>
      </c>
      <c r="BW80" s="2">
        <v>1.0</v>
      </c>
      <c r="BX80" s="2">
        <v>1.0</v>
      </c>
      <c r="BY80" s="2">
        <v>1.0</v>
      </c>
      <c r="BZ80" s="2">
        <v>1.0</v>
      </c>
      <c r="CB80" s="2"/>
      <c r="CC80" s="2"/>
      <c r="CD80" s="2"/>
      <c r="CE80" s="2"/>
      <c r="CF80" s="2"/>
      <c r="CG80" s="2"/>
      <c r="CH80" s="2"/>
      <c r="CI80" s="2"/>
      <c r="CJ80" s="2"/>
      <c r="CK80" s="2"/>
      <c r="CL80" s="2"/>
      <c r="CM80" s="2"/>
      <c r="CN80" s="2"/>
      <c r="CO80" s="2"/>
      <c r="CP80" s="2"/>
      <c r="CQ80" s="2"/>
    </row>
    <row r="81">
      <c r="BI81" s="38" t="str">
        <f>IFERROR(__xludf.DUMMYFUNCTION("""COMPUTED_VALUE"""),"Meal (Squalid)")</f>
        <v>Meal (Squalid)</v>
      </c>
      <c r="BJ81" s="2">
        <v>1.5</v>
      </c>
      <c r="BK81" s="2">
        <v>1.0</v>
      </c>
      <c r="BL81" s="2">
        <v>1.0</v>
      </c>
      <c r="BM81" s="2">
        <v>1.0</v>
      </c>
      <c r="BN81" s="2">
        <v>1.0</v>
      </c>
      <c r="BO81" s="2">
        <v>1.0</v>
      </c>
      <c r="BP81" s="2">
        <v>1.0</v>
      </c>
      <c r="BQ81" s="2">
        <v>1.0</v>
      </c>
      <c r="BR81" s="2">
        <v>1.0</v>
      </c>
      <c r="BS81" s="2">
        <v>1.0</v>
      </c>
      <c r="BT81" s="2">
        <v>1.0</v>
      </c>
      <c r="BU81" s="2">
        <v>1.0</v>
      </c>
      <c r="BV81" s="2">
        <v>1.0</v>
      </c>
      <c r="BW81" s="2">
        <v>1.0</v>
      </c>
      <c r="BX81" s="2">
        <v>1.0</v>
      </c>
      <c r="BY81" s="2">
        <v>1.0</v>
      </c>
      <c r="BZ81" s="2">
        <v>1.0</v>
      </c>
      <c r="CB81" s="2"/>
      <c r="CC81" s="2"/>
      <c r="CD81" s="2"/>
      <c r="CE81" s="2"/>
      <c r="CF81" s="2"/>
      <c r="CG81" s="2"/>
      <c r="CH81" s="2"/>
      <c r="CI81" s="2"/>
      <c r="CJ81" s="2"/>
      <c r="CK81" s="2"/>
      <c r="CL81" s="2"/>
      <c r="CM81" s="2"/>
      <c r="CN81" s="2"/>
      <c r="CO81" s="2"/>
      <c r="CP81" s="2"/>
      <c r="CQ81" s="2"/>
    </row>
    <row r="82">
      <c r="BI82" s="38" t="str">
        <f>IFERROR(__xludf.DUMMYFUNCTION("""COMPUTED_VALUE"""),"Meat Chunk")</f>
        <v>Meat Chunk</v>
      </c>
      <c r="BJ82" s="2">
        <v>1.5</v>
      </c>
      <c r="BK82" s="2">
        <v>1.0</v>
      </c>
      <c r="BL82" s="2">
        <v>1.0</v>
      </c>
      <c r="BM82" s="2">
        <v>1.0</v>
      </c>
      <c r="BN82" s="2">
        <v>1.0</v>
      </c>
      <c r="BO82" s="2">
        <v>1.0</v>
      </c>
      <c r="BP82" s="2">
        <v>1.0</v>
      </c>
      <c r="BQ82" s="2">
        <v>1.0</v>
      </c>
      <c r="BR82" s="2">
        <v>1.0</v>
      </c>
      <c r="BS82" s="2">
        <v>1.0</v>
      </c>
      <c r="BT82" s="2">
        <v>1.0</v>
      </c>
      <c r="BU82" s="2">
        <v>1.0</v>
      </c>
      <c r="BV82" s="2">
        <v>1.0</v>
      </c>
      <c r="BW82" s="2">
        <v>1.0</v>
      </c>
      <c r="BX82" s="2">
        <v>1.0</v>
      </c>
      <c r="BY82" s="2">
        <v>1.0</v>
      </c>
      <c r="BZ82" s="2">
        <v>1.0</v>
      </c>
      <c r="CB82" s="2"/>
      <c r="CC82" s="2"/>
      <c r="CD82" s="2"/>
      <c r="CE82" s="2"/>
      <c r="CF82" s="2"/>
      <c r="CG82" s="2"/>
      <c r="CH82" s="2"/>
      <c r="CI82" s="2"/>
      <c r="CJ82" s="2"/>
      <c r="CK82" s="2"/>
      <c r="CL82" s="2"/>
      <c r="CM82" s="2"/>
      <c r="CN82" s="2"/>
      <c r="CO82" s="2"/>
      <c r="CP82" s="2"/>
      <c r="CQ82" s="2"/>
    </row>
    <row r="83">
      <c r="BI83" s="38" t="str">
        <f>IFERROR(__xludf.DUMMYFUNCTION("""COMPUTED_VALUE"""),"Rations (1 day)")</f>
        <v>Rations (1 day)</v>
      </c>
      <c r="BJ83" s="2">
        <v>1.5</v>
      </c>
      <c r="BK83" s="2">
        <v>1.0</v>
      </c>
      <c r="BL83" s="2">
        <v>1.0</v>
      </c>
      <c r="BM83" s="2">
        <v>1.0</v>
      </c>
      <c r="BN83" s="2">
        <v>1.0</v>
      </c>
      <c r="BO83" s="2">
        <v>1.0</v>
      </c>
      <c r="BP83" s="2">
        <v>1.0</v>
      </c>
      <c r="BQ83" s="2">
        <v>1.0</v>
      </c>
      <c r="BR83" s="2">
        <v>1.0</v>
      </c>
      <c r="BS83" s="2">
        <v>1.0</v>
      </c>
      <c r="BT83" s="2">
        <v>1.0</v>
      </c>
      <c r="BU83" s="2">
        <v>1.0</v>
      </c>
      <c r="BV83" s="2">
        <v>1.0</v>
      </c>
      <c r="BW83" s="2">
        <v>1.0</v>
      </c>
      <c r="BX83" s="2">
        <v>1.0</v>
      </c>
      <c r="BY83" s="2">
        <v>1.0</v>
      </c>
      <c r="BZ83" s="2">
        <v>1.0</v>
      </c>
      <c r="CB83" s="2"/>
      <c r="CC83" s="2"/>
      <c r="CD83" s="2"/>
      <c r="CE83" s="2"/>
      <c r="CF83" s="2"/>
      <c r="CG83" s="2"/>
      <c r="CH83" s="2"/>
      <c r="CI83" s="2"/>
      <c r="CJ83" s="2"/>
      <c r="CK83" s="2"/>
      <c r="CL83" s="2"/>
      <c r="CM83" s="2"/>
      <c r="CN83" s="2"/>
      <c r="CO83" s="2"/>
      <c r="CP83" s="2"/>
      <c r="CQ83" s="2"/>
    </row>
    <row r="84">
      <c r="BI84" s="38" t="str">
        <f>IFERROR(__xludf.DUMMYFUNCTION("""COMPUTED_VALUE"""),"Wine (Common)")</f>
        <v>Wine (Common)</v>
      </c>
      <c r="BJ84" s="2">
        <v>1.5</v>
      </c>
      <c r="BK84" s="2">
        <v>1.0</v>
      </c>
      <c r="BL84" s="2">
        <v>1.0</v>
      </c>
      <c r="BM84" s="2">
        <v>1.0</v>
      </c>
      <c r="BN84" s="2">
        <v>1.0</v>
      </c>
      <c r="BO84" s="2">
        <v>1.0</v>
      </c>
      <c r="BP84" s="2">
        <v>1.0</v>
      </c>
      <c r="BQ84" s="2">
        <v>1.0</v>
      </c>
      <c r="BR84" s="2">
        <v>1.0</v>
      </c>
      <c r="BS84" s="2">
        <v>1.0</v>
      </c>
      <c r="BT84" s="2">
        <v>1.0</v>
      </c>
      <c r="BU84" s="2">
        <v>1.0</v>
      </c>
      <c r="BV84" s="2">
        <v>1.0</v>
      </c>
      <c r="BW84" s="2">
        <v>1.0</v>
      </c>
      <c r="BX84" s="2">
        <v>1.0</v>
      </c>
      <c r="BY84" s="2">
        <v>1.0</v>
      </c>
      <c r="BZ84" s="2">
        <v>1.0</v>
      </c>
      <c r="CB84" s="2"/>
      <c r="CC84" s="2"/>
      <c r="CD84" s="2"/>
      <c r="CE84" s="2"/>
      <c r="CF84" s="2"/>
      <c r="CG84" s="2"/>
      <c r="CH84" s="2"/>
      <c r="CI84" s="2"/>
      <c r="CJ84" s="2"/>
      <c r="CK84" s="2"/>
      <c r="CL84" s="2"/>
      <c r="CM84" s="2"/>
      <c r="CN84" s="2"/>
      <c r="CO84" s="2"/>
      <c r="CP84" s="2"/>
      <c r="CQ84" s="2"/>
    </row>
    <row r="85">
      <c r="BI85" s="38" t="str">
        <f>IFERROR(__xludf.DUMMYFUNCTION("""COMPUTED_VALUE"""),"Bit and Bridle")</f>
        <v>Bit and Bridle</v>
      </c>
      <c r="BJ85" s="2">
        <v>1.5</v>
      </c>
      <c r="BK85" s="2">
        <v>1.0</v>
      </c>
      <c r="BL85" s="2">
        <v>1.0</v>
      </c>
      <c r="BM85" s="2">
        <v>1.0</v>
      </c>
      <c r="BN85" s="2">
        <v>1.0</v>
      </c>
      <c r="BO85" s="2">
        <v>1.0</v>
      </c>
      <c r="BP85" s="2">
        <v>1.0</v>
      </c>
      <c r="BQ85" s="2">
        <v>1.0</v>
      </c>
      <c r="BR85" s="2">
        <v>1.0</v>
      </c>
      <c r="BS85" s="2">
        <v>1.0</v>
      </c>
      <c r="BT85" s="2">
        <v>1.0</v>
      </c>
      <c r="BU85" s="2">
        <v>1.0</v>
      </c>
      <c r="BV85" s="2">
        <v>1.0</v>
      </c>
      <c r="BW85" s="2">
        <v>1.0</v>
      </c>
      <c r="BX85" s="2">
        <v>1.0</v>
      </c>
      <c r="BY85" s="2">
        <v>1.0</v>
      </c>
      <c r="BZ85" s="2">
        <v>1.0</v>
      </c>
      <c r="CB85" s="2"/>
      <c r="CC85" s="2"/>
      <c r="CD85" s="2"/>
      <c r="CE85" s="2"/>
      <c r="CF85" s="2"/>
      <c r="CG85" s="2"/>
      <c r="CH85" s="2"/>
      <c r="CI85" s="2"/>
      <c r="CJ85" s="2"/>
      <c r="CK85" s="2"/>
      <c r="CL85" s="2"/>
      <c r="CM85" s="2"/>
      <c r="CN85" s="2"/>
      <c r="CO85" s="2"/>
      <c r="CP85" s="2"/>
      <c r="CQ85" s="2"/>
    </row>
    <row r="86">
      <c r="BI86" s="38" t="str">
        <f>IFERROR(__xludf.DUMMYFUNCTION("""COMPUTED_VALUE"""),"Feed (per day)")</f>
        <v>Feed (per day)</v>
      </c>
      <c r="BJ86" s="2">
        <v>1.5</v>
      </c>
      <c r="BK86" s="2">
        <v>1.0</v>
      </c>
      <c r="BL86" s="2">
        <v>1.0</v>
      </c>
      <c r="BM86" s="2">
        <v>1.0</v>
      </c>
      <c r="BN86" s="2">
        <v>1.0</v>
      </c>
      <c r="BO86" s="2">
        <v>1.0</v>
      </c>
      <c r="BP86" s="2">
        <v>1.0</v>
      </c>
      <c r="BQ86" s="2">
        <v>1.0</v>
      </c>
      <c r="BR86" s="2">
        <v>1.0</v>
      </c>
      <c r="BS86" s="2">
        <v>1.0</v>
      </c>
      <c r="BT86" s="2">
        <v>1.0</v>
      </c>
      <c r="BU86" s="2">
        <v>1.0</v>
      </c>
      <c r="BV86" s="2">
        <v>1.0</v>
      </c>
      <c r="BW86" s="2">
        <v>1.0</v>
      </c>
      <c r="BX86" s="2">
        <v>1.0</v>
      </c>
      <c r="BY86" s="2">
        <v>1.0</v>
      </c>
      <c r="BZ86" s="2">
        <v>1.0</v>
      </c>
      <c r="CB86" s="2"/>
      <c r="CC86" s="2"/>
      <c r="CD86" s="2"/>
      <c r="CE86" s="2"/>
      <c r="CF86" s="2"/>
      <c r="CG86" s="2"/>
      <c r="CH86" s="2"/>
      <c r="CI86" s="2"/>
      <c r="CJ86" s="2"/>
      <c r="CK86" s="2"/>
      <c r="CL86" s="2"/>
      <c r="CM86" s="2"/>
      <c r="CN86" s="2"/>
      <c r="CO86" s="2"/>
      <c r="CP86" s="2"/>
      <c r="CQ86" s="2"/>
    </row>
    <row r="87">
      <c r="BI87" s="38" t="str">
        <f>IFERROR(__xludf.DUMMYFUNCTION("""COMPUTED_VALUE"""),"Saddle, Exotic")</f>
        <v>Saddle, Exotic</v>
      </c>
      <c r="BJ87" s="2">
        <v>1.5</v>
      </c>
      <c r="BK87" s="2">
        <v>1.0</v>
      </c>
      <c r="BL87" s="2">
        <v>1.0</v>
      </c>
      <c r="BM87" s="2">
        <v>1.0</v>
      </c>
      <c r="BN87" s="2">
        <v>1.0</v>
      </c>
      <c r="BO87" s="2">
        <v>1.0</v>
      </c>
      <c r="BP87" s="2">
        <v>1.0</v>
      </c>
      <c r="BQ87" s="2">
        <v>1.0</v>
      </c>
      <c r="BR87" s="2">
        <v>1.0</v>
      </c>
      <c r="BS87" s="2">
        <v>1.0</v>
      </c>
      <c r="BT87" s="2">
        <v>1.0</v>
      </c>
      <c r="BU87" s="2">
        <v>1.0</v>
      </c>
      <c r="BV87" s="2">
        <v>1.0</v>
      </c>
      <c r="BW87" s="2">
        <v>1.0</v>
      </c>
      <c r="BX87" s="2">
        <v>1.0</v>
      </c>
      <c r="BY87" s="2">
        <v>1.0</v>
      </c>
      <c r="BZ87" s="2">
        <v>1.0</v>
      </c>
      <c r="CB87" s="2"/>
      <c r="CC87" s="2"/>
      <c r="CD87" s="2"/>
      <c r="CE87" s="2"/>
      <c r="CF87" s="2"/>
      <c r="CG87" s="2"/>
      <c r="CH87" s="2"/>
      <c r="CI87" s="2"/>
      <c r="CJ87" s="2"/>
      <c r="CK87" s="2"/>
      <c r="CL87" s="2"/>
      <c r="CM87" s="2"/>
      <c r="CN87" s="2"/>
      <c r="CO87" s="2"/>
      <c r="CP87" s="2"/>
      <c r="CQ87" s="2"/>
    </row>
    <row r="88">
      <c r="BI88" s="38" t="str">
        <f>IFERROR(__xludf.DUMMYFUNCTION("""COMPUTED_VALUE"""),"Saddle, Military")</f>
        <v>Saddle, Military</v>
      </c>
      <c r="BJ88" s="2">
        <v>1.5</v>
      </c>
      <c r="BK88" s="2">
        <v>1.0</v>
      </c>
      <c r="BL88" s="2">
        <v>1.0</v>
      </c>
      <c r="BM88" s="2">
        <v>1.0</v>
      </c>
      <c r="BN88" s="2">
        <v>1.0</v>
      </c>
      <c r="BO88" s="2">
        <v>1.0</v>
      </c>
      <c r="BP88" s="2">
        <v>1.0</v>
      </c>
      <c r="BQ88" s="2">
        <v>1.0</v>
      </c>
      <c r="BR88" s="2">
        <v>1.0</v>
      </c>
      <c r="BS88" s="2">
        <v>1.0</v>
      </c>
      <c r="BT88" s="2">
        <v>1.0</v>
      </c>
      <c r="BU88" s="2">
        <v>1.0</v>
      </c>
      <c r="BV88" s="2">
        <v>1.0</v>
      </c>
      <c r="BW88" s="2">
        <v>1.0</v>
      </c>
      <c r="BX88" s="2">
        <v>1.0</v>
      </c>
      <c r="BY88" s="2">
        <v>1.0</v>
      </c>
      <c r="BZ88" s="2">
        <v>1.0</v>
      </c>
      <c r="CB88" s="2"/>
      <c r="CC88" s="2"/>
      <c r="CD88" s="2"/>
      <c r="CE88" s="2"/>
      <c r="CF88" s="2"/>
      <c r="CG88" s="2"/>
      <c r="CH88" s="2"/>
      <c r="CI88" s="2"/>
      <c r="CJ88" s="2"/>
      <c r="CK88" s="2"/>
      <c r="CL88" s="2"/>
      <c r="CM88" s="2"/>
      <c r="CN88" s="2"/>
      <c r="CO88" s="2"/>
      <c r="CP88" s="2"/>
      <c r="CQ88" s="2"/>
    </row>
    <row r="89">
      <c r="BI89" s="38" t="str">
        <f>IFERROR(__xludf.DUMMYFUNCTION("""COMPUTED_VALUE"""),"Saddle, Pack")</f>
        <v>Saddle, Pack</v>
      </c>
      <c r="BJ89" s="2">
        <v>1.5</v>
      </c>
      <c r="BK89" s="2">
        <v>1.0</v>
      </c>
      <c r="BL89" s="2">
        <v>1.0</v>
      </c>
      <c r="BM89" s="2">
        <v>1.0</v>
      </c>
      <c r="BN89" s="2">
        <v>1.0</v>
      </c>
      <c r="BO89" s="2">
        <v>1.0</v>
      </c>
      <c r="BP89" s="2">
        <v>1.0</v>
      </c>
      <c r="BQ89" s="2">
        <v>1.0</v>
      </c>
      <c r="BR89" s="2">
        <v>1.0</v>
      </c>
      <c r="BS89" s="2">
        <v>1.0</v>
      </c>
      <c r="BT89" s="2">
        <v>1.0</v>
      </c>
      <c r="BU89" s="2">
        <v>1.0</v>
      </c>
      <c r="BV89" s="2">
        <v>1.0</v>
      </c>
      <c r="BW89" s="2">
        <v>1.0</v>
      </c>
      <c r="BX89" s="2">
        <v>1.0</v>
      </c>
      <c r="BY89" s="2">
        <v>1.0</v>
      </c>
      <c r="BZ89" s="2">
        <v>1.0</v>
      </c>
      <c r="CB89" s="2"/>
      <c r="CC89" s="2"/>
      <c r="CD89" s="2"/>
      <c r="CE89" s="2"/>
      <c r="CF89" s="2"/>
      <c r="CG89" s="2"/>
      <c r="CH89" s="2"/>
      <c r="CI89" s="2"/>
      <c r="CJ89" s="2"/>
      <c r="CK89" s="2"/>
      <c r="CL89" s="2"/>
      <c r="CM89" s="2"/>
      <c r="CN89" s="2"/>
      <c r="CO89" s="2"/>
      <c r="CP89" s="2"/>
      <c r="CQ89" s="2"/>
    </row>
    <row r="90">
      <c r="BI90" s="38" t="str">
        <f>IFERROR(__xludf.DUMMYFUNCTION("""COMPUTED_VALUE"""),"Saddle, Riding")</f>
        <v>Saddle, Riding</v>
      </c>
      <c r="BJ90" s="2">
        <v>1.5</v>
      </c>
      <c r="BK90" s="2">
        <v>1.0</v>
      </c>
      <c r="BL90" s="2">
        <v>1.0</v>
      </c>
      <c r="BM90" s="2">
        <v>1.0</v>
      </c>
      <c r="BN90" s="2">
        <v>1.0</v>
      </c>
      <c r="BO90" s="2">
        <v>1.0</v>
      </c>
      <c r="BP90" s="2">
        <v>1.0</v>
      </c>
      <c r="BQ90" s="2">
        <v>1.0</v>
      </c>
      <c r="BR90" s="2">
        <v>1.0</v>
      </c>
      <c r="BS90" s="2">
        <v>1.0</v>
      </c>
      <c r="BT90" s="2">
        <v>1.0</v>
      </c>
      <c r="BU90" s="2">
        <v>1.0</v>
      </c>
      <c r="BV90" s="2">
        <v>1.0</v>
      </c>
      <c r="BW90" s="2">
        <v>1.0</v>
      </c>
      <c r="BX90" s="2">
        <v>1.0</v>
      </c>
      <c r="BY90" s="2">
        <v>1.0</v>
      </c>
      <c r="BZ90" s="2">
        <v>1.0</v>
      </c>
      <c r="CB90" s="2"/>
      <c r="CC90" s="2"/>
      <c r="CD90" s="2"/>
      <c r="CE90" s="2"/>
      <c r="CF90" s="2"/>
      <c r="CG90" s="2"/>
      <c r="CH90" s="2"/>
      <c r="CI90" s="2"/>
      <c r="CJ90" s="2"/>
      <c r="CK90" s="2"/>
      <c r="CL90" s="2"/>
      <c r="CM90" s="2"/>
      <c r="CN90" s="2"/>
      <c r="CO90" s="2"/>
      <c r="CP90" s="2"/>
      <c r="CQ90" s="2"/>
    </row>
    <row r="91">
      <c r="BI91" s="38" t="str">
        <f>IFERROR(__xludf.DUMMYFUNCTION("""COMPUTED_VALUE"""),"Saddlebags")</f>
        <v>Saddlebags</v>
      </c>
      <c r="BJ91" s="2">
        <v>1.5</v>
      </c>
      <c r="BK91" s="2">
        <v>1.0</v>
      </c>
      <c r="BL91" s="2">
        <v>1.0</v>
      </c>
      <c r="BM91" s="2">
        <v>1.0</v>
      </c>
      <c r="BN91" s="2">
        <v>1.0</v>
      </c>
      <c r="BO91" s="2">
        <v>1.0</v>
      </c>
      <c r="BP91" s="2">
        <v>1.0</v>
      </c>
      <c r="BQ91" s="2">
        <v>1.0</v>
      </c>
      <c r="BR91" s="2">
        <v>1.0</v>
      </c>
      <c r="BS91" s="2">
        <v>1.0</v>
      </c>
      <c r="BT91" s="2">
        <v>1.0</v>
      </c>
      <c r="BU91" s="2">
        <v>1.0</v>
      </c>
      <c r="BV91" s="2">
        <v>1.0</v>
      </c>
      <c r="BW91" s="2">
        <v>1.0</v>
      </c>
      <c r="BX91" s="2">
        <v>1.0</v>
      </c>
      <c r="BY91" s="2">
        <v>1.0</v>
      </c>
      <c r="BZ91" s="2">
        <v>1.0</v>
      </c>
      <c r="CB91" s="2"/>
      <c r="CC91" s="2"/>
      <c r="CD91" s="2"/>
      <c r="CE91" s="2"/>
      <c r="CF91" s="2"/>
      <c r="CG91" s="2"/>
      <c r="CH91" s="2"/>
      <c r="CI91" s="2"/>
      <c r="CJ91" s="2"/>
      <c r="CK91" s="2"/>
      <c r="CL91" s="2"/>
      <c r="CM91" s="2"/>
      <c r="CN91" s="2"/>
      <c r="CO91" s="2"/>
      <c r="CP91" s="2"/>
      <c r="CQ91" s="2"/>
    </row>
    <row r="92">
      <c r="BI92" s="38" t="str">
        <f>IFERROR(__xludf.DUMMYFUNCTION("""COMPUTED_VALUE"""),"Stabling")</f>
        <v>Stabling</v>
      </c>
      <c r="BJ92" s="2">
        <v>1.5</v>
      </c>
      <c r="BK92" s="2">
        <v>1.0</v>
      </c>
      <c r="BL92" s="2">
        <v>1.0</v>
      </c>
      <c r="BM92" s="2">
        <v>1.0</v>
      </c>
      <c r="BN92" s="2">
        <v>1.0</v>
      </c>
      <c r="BO92" s="2">
        <v>1.0</v>
      </c>
      <c r="BP92" s="2">
        <v>1.0</v>
      </c>
      <c r="BQ92" s="2">
        <v>1.0</v>
      </c>
      <c r="BR92" s="2">
        <v>1.0</v>
      </c>
      <c r="BS92" s="2">
        <v>1.0</v>
      </c>
      <c r="BT92" s="2">
        <v>1.0</v>
      </c>
      <c r="BU92" s="2">
        <v>1.0</v>
      </c>
      <c r="BV92" s="2">
        <v>1.0</v>
      </c>
      <c r="BW92" s="2">
        <v>1.0</v>
      </c>
      <c r="BX92" s="2">
        <v>1.0</v>
      </c>
      <c r="BY92" s="2">
        <v>1.0</v>
      </c>
      <c r="BZ92" s="2">
        <v>1.0</v>
      </c>
      <c r="CB92" s="2"/>
      <c r="CC92" s="2"/>
      <c r="CD92" s="2"/>
      <c r="CE92" s="2"/>
      <c r="CF92" s="2"/>
      <c r="CG92" s="2"/>
      <c r="CH92" s="2"/>
      <c r="CI92" s="2"/>
      <c r="CJ92" s="2"/>
      <c r="CK92" s="2"/>
      <c r="CL92" s="2"/>
      <c r="CM92" s="2"/>
      <c r="CN92" s="2"/>
      <c r="CO92" s="2"/>
      <c r="CP92" s="2"/>
      <c r="CQ92" s="2"/>
    </row>
    <row r="93">
      <c r="BI93" s="38" t="str">
        <f>IFERROR(__xludf.DUMMYFUNCTION("""COMPUTED_VALUE"""),"Messenger")</f>
        <v>Messenger</v>
      </c>
      <c r="BJ93" s="2">
        <v>1.5</v>
      </c>
      <c r="BK93" s="2">
        <v>1.0</v>
      </c>
      <c r="BL93" s="2">
        <v>1.0</v>
      </c>
      <c r="BM93" s="2">
        <v>1.0</v>
      </c>
      <c r="BN93" s="2">
        <v>1.0</v>
      </c>
      <c r="BO93" s="2">
        <v>1.0</v>
      </c>
      <c r="BP93" s="2">
        <v>1.0</v>
      </c>
      <c r="BQ93" s="2">
        <v>1.0</v>
      </c>
      <c r="BR93" s="2">
        <v>1.0</v>
      </c>
      <c r="BS93" s="2">
        <v>1.0</v>
      </c>
      <c r="BT93" s="2">
        <v>1.0</v>
      </c>
      <c r="BU93" s="2">
        <v>1.0</v>
      </c>
      <c r="BV93" s="2">
        <v>1.0</v>
      </c>
      <c r="BW93" s="2">
        <v>1.0</v>
      </c>
      <c r="BX93" s="2">
        <v>1.0</v>
      </c>
      <c r="BY93" s="2">
        <v>1.0</v>
      </c>
      <c r="BZ93" s="2">
        <v>1.0</v>
      </c>
      <c r="CB93" s="2"/>
      <c r="CC93" s="2"/>
      <c r="CD93" s="2"/>
      <c r="CE93" s="2"/>
      <c r="CF93" s="2"/>
      <c r="CG93" s="2"/>
      <c r="CH93" s="2"/>
      <c r="CI93" s="2"/>
      <c r="CJ93" s="2"/>
      <c r="CK93" s="2"/>
      <c r="CL93" s="2"/>
      <c r="CM93" s="2"/>
      <c r="CN93" s="2"/>
      <c r="CO93" s="2"/>
      <c r="CP93" s="2"/>
      <c r="CQ93" s="2"/>
    </row>
    <row r="94">
      <c r="BI94" s="38" t="str">
        <f>IFERROR(__xludf.DUMMYFUNCTION("""COMPUTED_VALUE"""),"Skilled Worker")</f>
        <v>Skilled Worker</v>
      </c>
      <c r="BJ94" s="2">
        <v>1.5</v>
      </c>
      <c r="BK94" s="2">
        <v>1.0</v>
      </c>
      <c r="BL94" s="2">
        <v>1.0</v>
      </c>
      <c r="BM94" s="2">
        <v>1.0</v>
      </c>
      <c r="BN94" s="2">
        <v>1.0</v>
      </c>
      <c r="BO94" s="2">
        <v>1.0</v>
      </c>
      <c r="BP94" s="2">
        <v>1.0</v>
      </c>
      <c r="BQ94" s="2">
        <v>1.0</v>
      </c>
      <c r="BR94" s="2">
        <v>1.0</v>
      </c>
      <c r="BS94" s="2">
        <v>1.0</v>
      </c>
      <c r="BT94" s="2">
        <v>1.0</v>
      </c>
      <c r="BU94" s="2">
        <v>1.0</v>
      </c>
      <c r="BV94" s="2">
        <v>1.0</v>
      </c>
      <c r="BW94" s="2">
        <v>1.0</v>
      </c>
      <c r="BX94" s="2">
        <v>1.0</v>
      </c>
      <c r="BY94" s="2">
        <v>1.0</v>
      </c>
      <c r="BZ94" s="2">
        <v>1.0</v>
      </c>
      <c r="CB94" s="2"/>
      <c r="CC94" s="2"/>
      <c r="CD94" s="2"/>
      <c r="CE94" s="2"/>
      <c r="CF94" s="2"/>
      <c r="CG94" s="2"/>
      <c r="CH94" s="2"/>
      <c r="CI94" s="2"/>
      <c r="CJ94" s="2"/>
      <c r="CK94" s="2"/>
      <c r="CL94" s="2"/>
      <c r="CM94" s="2"/>
      <c r="CN94" s="2"/>
      <c r="CO94" s="2"/>
      <c r="CP94" s="2"/>
      <c r="CQ94" s="2"/>
    </row>
    <row r="95">
      <c r="BI95" s="38" t="str">
        <f>IFERROR(__xludf.DUMMYFUNCTION("""COMPUTED_VALUE"""),"Unskilled Worker")</f>
        <v>Unskilled Worker</v>
      </c>
      <c r="BJ95" s="2">
        <v>0.5</v>
      </c>
      <c r="BK95" s="2">
        <v>1.0</v>
      </c>
      <c r="BL95" s="2">
        <v>1.0</v>
      </c>
      <c r="BM95" s="2">
        <v>1.0</v>
      </c>
      <c r="BN95" s="2">
        <v>1.0</v>
      </c>
      <c r="BO95" s="2">
        <v>1.0</v>
      </c>
      <c r="BP95" s="2">
        <v>1.0</v>
      </c>
      <c r="BQ95" s="2">
        <v>1.0</v>
      </c>
      <c r="BR95" s="2">
        <v>1.0</v>
      </c>
      <c r="BS95" s="2">
        <v>1.0</v>
      </c>
      <c r="BT95" s="2">
        <v>1.0</v>
      </c>
      <c r="BU95" s="2">
        <v>1.0</v>
      </c>
      <c r="BV95" s="2">
        <v>1.0</v>
      </c>
      <c r="BW95" s="2">
        <v>1.0</v>
      </c>
      <c r="BX95" s="2">
        <v>1.0</v>
      </c>
      <c r="BY95" s="2">
        <v>1.0</v>
      </c>
      <c r="BZ95" s="2">
        <v>1.0</v>
      </c>
      <c r="CB95" s="2"/>
      <c r="CC95" s="2"/>
      <c r="CD95" s="2"/>
      <c r="CE95" s="2"/>
      <c r="CF95" s="2"/>
      <c r="CG95" s="2"/>
      <c r="CH95" s="2"/>
      <c r="CI95" s="2"/>
      <c r="CJ95" s="2"/>
      <c r="CK95" s="2"/>
      <c r="CL95" s="2"/>
      <c r="CM95" s="2"/>
      <c r="CN95" s="2"/>
      <c r="CO95" s="2"/>
      <c r="CP95" s="2"/>
      <c r="CQ95" s="2"/>
    </row>
    <row r="96">
      <c r="BI96" s="38" t="str">
        <f>IFERROR(__xludf.DUMMYFUNCTION("""COMPUTED_VALUE"""),"Bell")</f>
        <v>Bell</v>
      </c>
      <c r="BJ96" s="2">
        <v>1.5</v>
      </c>
      <c r="BK96" s="2">
        <v>1.0</v>
      </c>
      <c r="BL96" s="2">
        <v>1.0</v>
      </c>
      <c r="BM96" s="2">
        <v>1.0</v>
      </c>
      <c r="BN96" s="2">
        <v>1.0</v>
      </c>
      <c r="BO96" s="2">
        <v>1.0</v>
      </c>
      <c r="BP96" s="2">
        <v>1.0</v>
      </c>
      <c r="BQ96" s="2">
        <v>1.0</v>
      </c>
      <c r="BR96" s="2">
        <v>1.0</v>
      </c>
      <c r="BS96" s="2">
        <v>1.0</v>
      </c>
      <c r="BT96" s="2">
        <v>1.0</v>
      </c>
      <c r="BU96" s="2">
        <v>1.0</v>
      </c>
      <c r="BV96" s="2">
        <v>1.0</v>
      </c>
      <c r="BW96" s="2">
        <v>1.0</v>
      </c>
      <c r="BX96" s="2">
        <v>1.0</v>
      </c>
      <c r="BY96" s="2">
        <v>1.0</v>
      </c>
      <c r="BZ96" s="2">
        <v>1.0</v>
      </c>
      <c r="CB96" s="2"/>
      <c r="CC96" s="2"/>
      <c r="CD96" s="2"/>
      <c r="CE96" s="2"/>
      <c r="CF96" s="2"/>
      <c r="CG96" s="2"/>
      <c r="CH96" s="2"/>
      <c r="CI96" s="2"/>
      <c r="CJ96" s="2"/>
      <c r="CK96" s="2"/>
      <c r="CL96" s="2"/>
      <c r="CM96" s="2"/>
      <c r="CN96" s="2"/>
      <c r="CO96" s="2"/>
      <c r="CP96" s="2"/>
      <c r="CQ96" s="2"/>
    </row>
    <row r="97">
      <c r="BI97" s="38" t="str">
        <f>IFERROR(__xludf.DUMMYFUNCTION("""COMPUTED_VALUE"""),"Block and Tackle")</f>
        <v>Block and Tackle</v>
      </c>
      <c r="BJ97" s="2">
        <v>1.5</v>
      </c>
      <c r="BK97" s="2">
        <v>1.0</v>
      </c>
      <c r="BL97" s="2">
        <v>1.0</v>
      </c>
      <c r="BM97" s="2">
        <v>1.0</v>
      </c>
      <c r="BN97" s="2">
        <v>1.0</v>
      </c>
      <c r="BO97" s="2">
        <v>1.0</v>
      </c>
      <c r="BP97" s="2">
        <v>1.0</v>
      </c>
      <c r="BQ97" s="2">
        <v>1.0</v>
      </c>
      <c r="BR97" s="2">
        <v>1.0</v>
      </c>
      <c r="BS97" s="2">
        <v>1.0</v>
      </c>
      <c r="BT97" s="2">
        <v>1.0</v>
      </c>
      <c r="BU97" s="2">
        <v>1.0</v>
      </c>
      <c r="BV97" s="2">
        <v>1.0</v>
      </c>
      <c r="BW97" s="2">
        <v>1.0</v>
      </c>
      <c r="BX97" s="2">
        <v>1.0</v>
      </c>
      <c r="BY97" s="2">
        <v>1.0</v>
      </c>
      <c r="BZ97" s="2">
        <v>1.0</v>
      </c>
      <c r="CB97" s="2"/>
      <c r="CC97" s="2"/>
      <c r="CD97" s="2"/>
      <c r="CE97" s="2"/>
      <c r="CF97" s="2"/>
      <c r="CG97" s="2"/>
      <c r="CH97" s="2"/>
      <c r="CI97" s="2"/>
      <c r="CJ97" s="2"/>
      <c r="CK97" s="2"/>
      <c r="CL97" s="2"/>
      <c r="CM97" s="2"/>
      <c r="CN97" s="2"/>
      <c r="CO97" s="2"/>
      <c r="CP97" s="2"/>
      <c r="CQ97" s="2"/>
    </row>
    <row r="98">
      <c r="BI98" s="38" t="str">
        <f>IFERROR(__xludf.DUMMYFUNCTION("""COMPUTED_VALUE"""),"Book")</f>
        <v>Book</v>
      </c>
      <c r="BJ98" s="2">
        <v>1.5</v>
      </c>
      <c r="BK98" s="2">
        <v>1.0</v>
      </c>
      <c r="BL98" s="2">
        <v>1.0</v>
      </c>
      <c r="BM98" s="2">
        <v>1.0</v>
      </c>
      <c r="BN98" s="2">
        <v>1.0</v>
      </c>
      <c r="BO98" s="2">
        <v>1.0</v>
      </c>
      <c r="BP98" s="2">
        <v>1.0</v>
      </c>
      <c r="BQ98" s="2">
        <v>1.0</v>
      </c>
      <c r="BR98" s="2">
        <v>1.0</v>
      </c>
      <c r="BS98" s="2">
        <v>1.0</v>
      </c>
      <c r="BT98" s="2">
        <v>1.0</v>
      </c>
      <c r="BU98" s="2">
        <v>1.0</v>
      </c>
      <c r="BV98" s="2">
        <v>1.0</v>
      </c>
      <c r="BW98" s="2">
        <v>1.0</v>
      </c>
      <c r="BX98" s="2">
        <v>1.0</v>
      </c>
      <c r="BY98" s="2">
        <v>1.0</v>
      </c>
      <c r="BZ98" s="2">
        <v>1.0</v>
      </c>
      <c r="CB98" s="2"/>
      <c r="CC98" s="2"/>
      <c r="CD98" s="2"/>
      <c r="CE98" s="2"/>
      <c r="CF98" s="2"/>
      <c r="CG98" s="2"/>
      <c r="CH98" s="2"/>
      <c r="CI98" s="2"/>
      <c r="CJ98" s="2"/>
      <c r="CK98" s="2"/>
      <c r="CL98" s="2"/>
      <c r="CM98" s="2"/>
      <c r="CN98" s="2"/>
      <c r="CO98" s="2"/>
      <c r="CP98" s="2"/>
      <c r="CQ98" s="2"/>
    </row>
    <row r="99">
      <c r="BI99" s="38" t="str">
        <f>IFERROR(__xludf.DUMMYFUNCTION("""COMPUTED_VALUE"""),"Candle")</f>
        <v>Candle</v>
      </c>
      <c r="BJ99" s="2">
        <v>1.5</v>
      </c>
      <c r="BK99" s="2">
        <v>1.0</v>
      </c>
      <c r="BL99" s="2">
        <v>1.0</v>
      </c>
      <c r="BM99" s="2">
        <v>1.0</v>
      </c>
      <c r="BN99" s="2">
        <v>1.0</v>
      </c>
      <c r="BO99" s="2">
        <v>1.0</v>
      </c>
      <c r="BP99" s="2">
        <v>1.0</v>
      </c>
      <c r="BQ99" s="2">
        <v>1.0</v>
      </c>
      <c r="BR99" s="2">
        <v>1.0</v>
      </c>
      <c r="BS99" s="2">
        <v>1.0</v>
      </c>
      <c r="BT99" s="2">
        <v>1.0</v>
      </c>
      <c r="BU99" s="2">
        <v>1.0</v>
      </c>
      <c r="BV99" s="2">
        <v>1.0</v>
      </c>
      <c r="BW99" s="2">
        <v>1.0</v>
      </c>
      <c r="BX99" s="2">
        <v>1.0</v>
      </c>
      <c r="BY99" s="2">
        <v>1.0</v>
      </c>
      <c r="BZ99" s="2">
        <v>1.0</v>
      </c>
      <c r="CB99" s="2"/>
      <c r="CC99" s="2"/>
      <c r="CD99" s="2"/>
      <c r="CE99" s="2"/>
      <c r="CF99" s="2"/>
      <c r="CG99" s="2"/>
      <c r="CH99" s="2"/>
      <c r="CI99" s="2"/>
      <c r="CJ99" s="2"/>
      <c r="CK99" s="2"/>
      <c r="CL99" s="2"/>
      <c r="CM99" s="2"/>
      <c r="CN99" s="2"/>
      <c r="CO99" s="2"/>
      <c r="CP99" s="2"/>
      <c r="CQ99" s="2"/>
    </row>
    <row r="100">
      <c r="BI100" s="38" t="str">
        <f>IFERROR(__xludf.DUMMYFUNCTION("""COMPUTED_VALUE"""),"Chalk (1 piece)")</f>
        <v>Chalk (1 piece)</v>
      </c>
      <c r="BJ100" s="2">
        <v>1.5</v>
      </c>
      <c r="BK100" s="2">
        <v>1.0</v>
      </c>
      <c r="BL100" s="2">
        <v>1.0</v>
      </c>
      <c r="BM100" s="2">
        <v>1.0</v>
      </c>
      <c r="BN100" s="2">
        <v>1.0</v>
      </c>
      <c r="BO100" s="2">
        <v>1.0</v>
      </c>
      <c r="BP100" s="2">
        <v>1.0</v>
      </c>
      <c r="BQ100" s="2">
        <v>1.0</v>
      </c>
      <c r="BR100" s="2">
        <v>1.0</v>
      </c>
      <c r="BS100" s="2">
        <v>1.0</v>
      </c>
      <c r="BT100" s="2">
        <v>1.0</v>
      </c>
      <c r="BU100" s="2">
        <v>1.0</v>
      </c>
      <c r="BV100" s="2">
        <v>1.0</v>
      </c>
      <c r="BW100" s="2">
        <v>1.0</v>
      </c>
      <c r="BX100" s="2">
        <v>1.0</v>
      </c>
      <c r="BY100" s="2">
        <v>1.0</v>
      </c>
      <c r="BZ100" s="2">
        <v>1.0</v>
      </c>
      <c r="CB100" s="2"/>
      <c r="CC100" s="2"/>
      <c r="CD100" s="2"/>
      <c r="CE100" s="2"/>
      <c r="CF100" s="2"/>
      <c r="CG100" s="2"/>
      <c r="CH100" s="2"/>
      <c r="CI100" s="2"/>
      <c r="CJ100" s="2"/>
      <c r="CK100" s="2"/>
      <c r="CL100" s="2"/>
      <c r="CM100" s="2"/>
      <c r="CN100" s="2"/>
      <c r="CO100" s="2"/>
      <c r="CP100" s="2"/>
      <c r="CQ100" s="2"/>
    </row>
    <row r="101">
      <c r="BI101" s="38" t="str">
        <f>IFERROR(__xludf.DUMMYFUNCTION("""COMPUTED_VALUE"""),"Hourglass")</f>
        <v>Hourglass</v>
      </c>
      <c r="BJ101" s="2">
        <v>1.5</v>
      </c>
      <c r="BK101" s="2">
        <v>1.0</v>
      </c>
      <c r="BL101" s="2">
        <v>1.0</v>
      </c>
      <c r="BM101" s="2">
        <v>1.0</v>
      </c>
      <c r="BN101" s="2">
        <v>1.0</v>
      </c>
      <c r="BO101" s="2">
        <v>1.0</v>
      </c>
      <c r="BP101" s="2">
        <v>1.0</v>
      </c>
      <c r="BQ101" s="2">
        <v>1.0</v>
      </c>
      <c r="BR101" s="2">
        <v>1.0</v>
      </c>
      <c r="BS101" s="2">
        <v>1.0</v>
      </c>
      <c r="BT101" s="2">
        <v>1.0</v>
      </c>
      <c r="BU101" s="2">
        <v>1.0</v>
      </c>
      <c r="BV101" s="2">
        <v>1.0</v>
      </c>
      <c r="BW101" s="2">
        <v>1.0</v>
      </c>
      <c r="BX101" s="2">
        <v>1.0</v>
      </c>
      <c r="BY101" s="2">
        <v>1.0</v>
      </c>
      <c r="BZ101" s="2">
        <v>1.0</v>
      </c>
      <c r="CB101" s="2"/>
      <c r="CC101" s="2"/>
      <c r="CD101" s="2"/>
      <c r="CE101" s="2"/>
      <c r="CF101" s="2"/>
      <c r="CG101" s="2"/>
      <c r="CH101" s="2"/>
      <c r="CI101" s="2"/>
      <c r="CJ101" s="2"/>
      <c r="CK101" s="2"/>
      <c r="CL101" s="2"/>
      <c r="CM101" s="2"/>
      <c r="CN101" s="2"/>
      <c r="CO101" s="2"/>
      <c r="CP101" s="2"/>
      <c r="CQ101" s="2"/>
    </row>
    <row r="102">
      <c r="BI102" s="38" t="str">
        <f>IFERROR(__xludf.DUMMYFUNCTION("""COMPUTED_VALUE"""),"Oil (flask)")</f>
        <v>Oil (flask)</v>
      </c>
      <c r="BJ102" s="2">
        <v>1.5</v>
      </c>
      <c r="BK102" s="2">
        <v>1.0</v>
      </c>
      <c r="BL102" s="2">
        <v>1.0</v>
      </c>
      <c r="BM102" s="2">
        <v>1.0</v>
      </c>
      <c r="BN102" s="2">
        <v>1.0</v>
      </c>
      <c r="BO102" s="2">
        <v>1.0</v>
      </c>
      <c r="BP102" s="2">
        <v>1.0</v>
      </c>
      <c r="BQ102" s="2">
        <v>1.0</v>
      </c>
      <c r="BR102" s="2">
        <v>1.0</v>
      </c>
      <c r="BS102" s="2">
        <v>1.0</v>
      </c>
      <c r="BT102" s="2">
        <v>1.0</v>
      </c>
      <c r="BU102" s="2">
        <v>1.0</v>
      </c>
      <c r="BV102" s="2">
        <v>1.0</v>
      </c>
      <c r="BW102" s="2">
        <v>1.0</v>
      </c>
      <c r="BX102" s="2">
        <v>1.0</v>
      </c>
      <c r="BY102" s="2">
        <v>1.0</v>
      </c>
      <c r="BZ102" s="2">
        <v>1.0</v>
      </c>
      <c r="CB102" s="2"/>
      <c r="CC102" s="2"/>
      <c r="CD102" s="2"/>
      <c r="CE102" s="2"/>
      <c r="CF102" s="2"/>
      <c r="CG102" s="2"/>
      <c r="CH102" s="2"/>
      <c r="CI102" s="2"/>
      <c r="CJ102" s="2"/>
      <c r="CK102" s="2"/>
      <c r="CL102" s="2"/>
      <c r="CM102" s="2"/>
      <c r="CN102" s="2"/>
      <c r="CO102" s="2"/>
      <c r="CP102" s="2"/>
      <c r="CQ102" s="2"/>
    </row>
    <row r="103">
      <c r="BI103" s="38" t="str">
        <f>IFERROR(__xludf.DUMMYFUNCTION("""COMPUTED_VALUE"""),"Paper (one sheet)")</f>
        <v>Paper (one sheet)</v>
      </c>
      <c r="BJ103" s="2">
        <v>1.5</v>
      </c>
      <c r="BK103" s="2">
        <v>1.0</v>
      </c>
      <c r="BL103" s="2">
        <v>1.0</v>
      </c>
      <c r="BM103" s="2">
        <v>1.0</v>
      </c>
      <c r="BN103" s="2">
        <v>1.0</v>
      </c>
      <c r="BO103" s="2">
        <v>1.0</v>
      </c>
      <c r="BP103" s="2">
        <v>1.0</v>
      </c>
      <c r="BQ103" s="2">
        <v>1.0</v>
      </c>
      <c r="BR103" s="2">
        <v>1.0</v>
      </c>
      <c r="BS103" s="2">
        <v>1.0</v>
      </c>
      <c r="BT103" s="2">
        <v>1.0</v>
      </c>
      <c r="BU103" s="2">
        <v>1.0</v>
      </c>
      <c r="BV103" s="2">
        <v>1.0</v>
      </c>
      <c r="BW103" s="2">
        <v>1.0</v>
      </c>
      <c r="BX103" s="2">
        <v>1.0</v>
      </c>
      <c r="BY103" s="2">
        <v>1.0</v>
      </c>
      <c r="BZ103" s="2">
        <v>1.0</v>
      </c>
      <c r="CB103" s="2"/>
      <c r="CC103" s="2"/>
      <c r="CD103" s="2"/>
      <c r="CE103" s="2"/>
      <c r="CF103" s="2"/>
      <c r="CG103" s="2"/>
      <c r="CH103" s="2"/>
      <c r="CI103" s="2"/>
      <c r="CJ103" s="2"/>
      <c r="CK103" s="2"/>
      <c r="CL103" s="2"/>
      <c r="CM103" s="2"/>
      <c r="CN103" s="2"/>
      <c r="CO103" s="2"/>
      <c r="CP103" s="2"/>
      <c r="CQ103" s="2"/>
    </row>
    <row r="104">
      <c r="BI104" s="38" t="str">
        <f>IFERROR(__xludf.DUMMYFUNCTION("""COMPUTED_VALUE"""),"Parchment (one sheet)")</f>
        <v>Parchment (one sheet)</v>
      </c>
      <c r="BJ104" s="2">
        <v>1.5</v>
      </c>
      <c r="BK104" s="2">
        <v>1.0</v>
      </c>
      <c r="BL104" s="2">
        <v>1.0</v>
      </c>
      <c r="BM104" s="2">
        <v>1.0</v>
      </c>
      <c r="BN104" s="2">
        <v>1.0</v>
      </c>
      <c r="BO104" s="2">
        <v>1.0</v>
      </c>
      <c r="BP104" s="2">
        <v>1.0</v>
      </c>
      <c r="BQ104" s="2">
        <v>1.0</v>
      </c>
      <c r="BR104" s="2">
        <v>1.0</v>
      </c>
      <c r="BS104" s="2">
        <v>1.0</v>
      </c>
      <c r="BT104" s="2">
        <v>1.0</v>
      </c>
      <c r="BU104" s="2">
        <v>1.0</v>
      </c>
      <c r="BV104" s="2">
        <v>1.0</v>
      </c>
      <c r="BW104" s="2">
        <v>1.0</v>
      </c>
      <c r="BX104" s="2">
        <v>1.0</v>
      </c>
      <c r="BY104" s="2">
        <v>1.0</v>
      </c>
      <c r="BZ104" s="2">
        <v>1.0</v>
      </c>
      <c r="CB104" s="2"/>
      <c r="CC104" s="2"/>
      <c r="CD104" s="2"/>
      <c r="CE104" s="2"/>
      <c r="CF104" s="2"/>
      <c r="CG104" s="2"/>
      <c r="CH104" s="2"/>
      <c r="CI104" s="2"/>
      <c r="CJ104" s="2"/>
      <c r="CK104" s="2"/>
      <c r="CL104" s="2"/>
      <c r="CM104" s="2"/>
      <c r="CN104" s="2"/>
      <c r="CO104" s="2"/>
      <c r="CP104" s="2"/>
      <c r="CQ104" s="2"/>
    </row>
    <row r="105">
      <c r="BI105" s="38" t="str">
        <f>IFERROR(__xludf.DUMMYFUNCTION("""COMPUTED_VALUE"""),"Pole (10-foot)")</f>
        <v>Pole (10-foot)</v>
      </c>
      <c r="BJ105" s="2">
        <v>1.5</v>
      </c>
      <c r="BK105" s="2">
        <v>1.0</v>
      </c>
      <c r="BL105" s="2">
        <v>1.0</v>
      </c>
      <c r="BM105" s="2">
        <v>1.0</v>
      </c>
      <c r="BN105" s="2">
        <v>1.0</v>
      </c>
      <c r="BO105" s="2">
        <v>1.0</v>
      </c>
      <c r="BP105" s="2">
        <v>1.0</v>
      </c>
      <c r="BQ105" s="2">
        <v>1.0</v>
      </c>
      <c r="BR105" s="2">
        <v>1.0</v>
      </c>
      <c r="BS105" s="2">
        <v>1.0</v>
      </c>
      <c r="BT105" s="2">
        <v>1.0</v>
      </c>
      <c r="BU105" s="2">
        <v>1.0</v>
      </c>
      <c r="BV105" s="2">
        <v>1.0</v>
      </c>
      <c r="BW105" s="2">
        <v>1.0</v>
      </c>
      <c r="BX105" s="2">
        <v>1.0</v>
      </c>
      <c r="BY105" s="2">
        <v>1.0</v>
      </c>
      <c r="BZ105" s="2">
        <v>1.0</v>
      </c>
      <c r="CB105" s="2"/>
      <c r="CC105" s="2"/>
      <c r="CD105" s="2"/>
      <c r="CE105" s="2"/>
      <c r="CF105" s="2"/>
      <c r="CG105" s="2"/>
      <c r="CH105" s="2"/>
      <c r="CI105" s="2"/>
      <c r="CJ105" s="2"/>
      <c r="CK105" s="2"/>
      <c r="CL105" s="2"/>
      <c r="CM105" s="2"/>
      <c r="CN105" s="2"/>
      <c r="CO105" s="2"/>
      <c r="CP105" s="2"/>
      <c r="CQ105" s="2"/>
    </row>
    <row r="106">
      <c r="BI106" s="38" t="str">
        <f>IFERROR(__xludf.DUMMYFUNCTION("""COMPUTED_VALUE"""),"Sealing Wax")</f>
        <v>Sealing Wax</v>
      </c>
      <c r="BJ106" s="2">
        <v>1.5</v>
      </c>
      <c r="BK106" s="2">
        <v>1.0</v>
      </c>
      <c r="BL106" s="2">
        <v>1.0</v>
      </c>
      <c r="BM106" s="2">
        <v>1.0</v>
      </c>
      <c r="BN106" s="2">
        <v>1.0</v>
      </c>
      <c r="BO106" s="2">
        <v>1.0</v>
      </c>
      <c r="BP106" s="2">
        <v>1.0</v>
      </c>
      <c r="BQ106" s="2">
        <v>1.0</v>
      </c>
      <c r="BR106" s="2">
        <v>1.0</v>
      </c>
      <c r="BS106" s="2">
        <v>1.0</v>
      </c>
      <c r="BT106" s="2">
        <v>1.0</v>
      </c>
      <c r="BU106" s="2">
        <v>1.0</v>
      </c>
      <c r="BV106" s="2">
        <v>1.0</v>
      </c>
      <c r="BW106" s="2">
        <v>1.0</v>
      </c>
      <c r="BX106" s="2">
        <v>1.0</v>
      </c>
      <c r="BY106" s="2">
        <v>1.0</v>
      </c>
      <c r="BZ106" s="2">
        <v>1.0</v>
      </c>
      <c r="CB106" s="2"/>
      <c r="CC106" s="2"/>
      <c r="CD106" s="2"/>
      <c r="CE106" s="2"/>
      <c r="CF106" s="2"/>
      <c r="CG106" s="2"/>
      <c r="CH106" s="2"/>
      <c r="CI106" s="2"/>
      <c r="CJ106" s="2"/>
      <c r="CK106" s="2"/>
      <c r="CL106" s="2"/>
      <c r="CM106" s="2"/>
      <c r="CN106" s="2"/>
      <c r="CO106" s="2"/>
      <c r="CP106" s="2"/>
      <c r="CQ106" s="2"/>
    </row>
    <row r="107">
      <c r="BI107" s="38" t="str">
        <f>IFERROR(__xludf.DUMMYFUNCTION("""COMPUTED_VALUE"""),"Soap")</f>
        <v>Soap</v>
      </c>
      <c r="BJ107" s="2">
        <v>1.5</v>
      </c>
      <c r="BK107" s="2">
        <v>1.0</v>
      </c>
      <c r="BL107" s="2">
        <v>1.0</v>
      </c>
      <c r="BM107" s="2">
        <v>1.0</v>
      </c>
      <c r="BN107" s="2">
        <v>1.0</v>
      </c>
      <c r="BO107" s="2">
        <v>1.0</v>
      </c>
      <c r="BP107" s="2">
        <v>1.0</v>
      </c>
      <c r="BQ107" s="2">
        <v>1.0</v>
      </c>
      <c r="BR107" s="2">
        <v>1.0</v>
      </c>
      <c r="BS107" s="2">
        <v>1.0</v>
      </c>
      <c r="BT107" s="2">
        <v>1.0</v>
      </c>
      <c r="BU107" s="2">
        <v>1.0</v>
      </c>
      <c r="BV107" s="2">
        <v>1.0</v>
      </c>
      <c r="BW107" s="2">
        <v>1.0</v>
      </c>
      <c r="BX107" s="2">
        <v>1.0</v>
      </c>
      <c r="BY107" s="2">
        <v>1.0</v>
      </c>
      <c r="BZ107" s="2">
        <v>1.0</v>
      </c>
      <c r="CB107" s="2"/>
      <c r="CC107" s="2"/>
      <c r="CD107" s="2"/>
      <c r="CE107" s="2"/>
      <c r="CF107" s="2"/>
      <c r="CG107" s="2"/>
      <c r="CH107" s="2"/>
      <c r="CI107" s="2"/>
      <c r="CJ107" s="2"/>
      <c r="CK107" s="2"/>
      <c r="CL107" s="2"/>
      <c r="CM107" s="2"/>
      <c r="CN107" s="2"/>
      <c r="CO107" s="2"/>
      <c r="CP107" s="2"/>
      <c r="CQ107" s="2"/>
    </row>
    <row r="108">
      <c r="BI108" s="38" t="str">
        <f>IFERROR(__xludf.DUMMYFUNCTION("""COMPUTED_VALUE"""),"Signet Ring")</f>
        <v>Signet Ring</v>
      </c>
      <c r="BJ108" s="2">
        <v>0.5</v>
      </c>
      <c r="BK108" s="2">
        <v>1.0</v>
      </c>
      <c r="BL108" s="2">
        <v>1.0</v>
      </c>
      <c r="BM108" s="2">
        <v>1.0</v>
      </c>
      <c r="BN108" s="2">
        <v>1.0</v>
      </c>
      <c r="BO108" s="2">
        <v>1.0</v>
      </c>
      <c r="BP108" s="2">
        <v>1.0</v>
      </c>
      <c r="BQ108" s="2">
        <v>1.0</v>
      </c>
      <c r="BR108" s="2">
        <v>1.0</v>
      </c>
      <c r="BS108" s="2">
        <v>1.0</v>
      </c>
      <c r="BT108" s="2">
        <v>1.0</v>
      </c>
      <c r="BU108" s="2">
        <v>1.0</v>
      </c>
      <c r="BV108" s="2">
        <v>1.0</v>
      </c>
      <c r="BW108" s="2">
        <v>1.0</v>
      </c>
      <c r="BX108" s="2">
        <v>1.0</v>
      </c>
      <c r="BY108" s="2">
        <v>1.0</v>
      </c>
      <c r="BZ108" s="2">
        <v>1.0</v>
      </c>
      <c r="CB108" s="2"/>
      <c r="CC108" s="2"/>
      <c r="CD108" s="2"/>
      <c r="CE108" s="2"/>
      <c r="CF108" s="2"/>
      <c r="CG108" s="2"/>
      <c r="CH108" s="2"/>
      <c r="CI108" s="2"/>
      <c r="CJ108" s="2"/>
      <c r="CK108" s="2"/>
      <c r="CL108" s="2"/>
      <c r="CM108" s="2"/>
      <c r="CN108" s="2"/>
      <c r="CO108" s="2"/>
      <c r="CP108" s="2"/>
      <c r="CQ108" s="2"/>
    </row>
    <row r="109">
      <c r="BI109" s="38" t="str">
        <f>IFERROR(__xludf.DUMMYFUNCTION("""COMPUTED_VALUE"""),"Bullseye Lantern")</f>
        <v>Bullseye Lantern</v>
      </c>
      <c r="BJ109" s="2">
        <v>1.5</v>
      </c>
      <c r="BK109" s="2">
        <v>1.0</v>
      </c>
      <c r="BL109" s="2">
        <v>1.0</v>
      </c>
      <c r="BM109" s="2">
        <v>1.0</v>
      </c>
      <c r="BN109" s="2">
        <v>1.0</v>
      </c>
      <c r="BO109" s="2">
        <v>1.0</v>
      </c>
      <c r="BP109" s="2">
        <v>1.0</v>
      </c>
      <c r="BQ109" s="2">
        <v>1.0</v>
      </c>
      <c r="BR109" s="2">
        <v>1.0</v>
      </c>
      <c r="BS109" s="2">
        <v>1.0</v>
      </c>
      <c r="BT109" s="2">
        <v>1.0</v>
      </c>
      <c r="BU109" s="2">
        <v>1.0</v>
      </c>
      <c r="BV109" s="2">
        <v>1.0</v>
      </c>
      <c r="BW109" s="2">
        <v>1.0</v>
      </c>
      <c r="BX109" s="2">
        <v>1.0</v>
      </c>
      <c r="BY109" s="2">
        <v>1.0</v>
      </c>
      <c r="BZ109" s="2">
        <v>1.0</v>
      </c>
      <c r="CB109" s="2"/>
      <c r="CC109" s="2"/>
      <c r="CD109" s="2"/>
      <c r="CE109" s="2"/>
      <c r="CF109" s="2"/>
      <c r="CG109" s="2"/>
      <c r="CH109" s="2"/>
      <c r="CI109" s="2"/>
      <c r="CJ109" s="2"/>
      <c r="CK109" s="2"/>
      <c r="CL109" s="2"/>
      <c r="CM109" s="2"/>
      <c r="CN109" s="2"/>
      <c r="CO109" s="2"/>
      <c r="CP109" s="2"/>
      <c r="CQ109" s="2"/>
    </row>
    <row r="110">
      <c r="BI110" s="38" t="str">
        <f>IFERROR(__xludf.DUMMYFUNCTION("""COMPUTED_VALUE"""),"Hooded Lantern")</f>
        <v>Hooded Lantern</v>
      </c>
      <c r="BJ110" s="2">
        <v>1.5</v>
      </c>
      <c r="BK110" s="2">
        <v>1.0</v>
      </c>
      <c r="BL110" s="2">
        <v>1.0</v>
      </c>
      <c r="BM110" s="2">
        <v>1.0</v>
      </c>
      <c r="BN110" s="2">
        <v>1.0</v>
      </c>
      <c r="BO110" s="2">
        <v>1.0</v>
      </c>
      <c r="BP110" s="2">
        <v>1.0</v>
      </c>
      <c r="BQ110" s="2">
        <v>1.0</v>
      </c>
      <c r="BR110" s="2">
        <v>1.0</v>
      </c>
      <c r="BS110" s="2">
        <v>1.0</v>
      </c>
      <c r="BT110" s="2">
        <v>1.0</v>
      </c>
      <c r="BU110" s="2">
        <v>1.0</v>
      </c>
      <c r="BV110" s="2">
        <v>1.0</v>
      </c>
      <c r="BW110" s="2">
        <v>1.0</v>
      </c>
      <c r="BX110" s="2">
        <v>1.0</v>
      </c>
      <c r="BY110" s="2">
        <v>1.0</v>
      </c>
      <c r="BZ110" s="2">
        <v>1.0</v>
      </c>
      <c r="CB110" s="2"/>
      <c r="CC110" s="2"/>
      <c r="CD110" s="2"/>
      <c r="CE110" s="2"/>
      <c r="CF110" s="2"/>
      <c r="CG110" s="2"/>
      <c r="CH110" s="2"/>
      <c r="CI110" s="2"/>
      <c r="CJ110" s="2"/>
      <c r="CK110" s="2"/>
      <c r="CL110" s="2"/>
      <c r="CM110" s="2"/>
      <c r="CN110" s="2"/>
      <c r="CO110" s="2"/>
      <c r="CP110" s="2"/>
      <c r="CQ110" s="2"/>
    </row>
    <row r="111">
      <c r="BI111" s="38" t="str">
        <f>IFERROR(__xludf.DUMMYFUNCTION("""COMPUTED_VALUE"""),"Lamp")</f>
        <v>Lamp</v>
      </c>
      <c r="BJ111" s="2">
        <v>1.5</v>
      </c>
      <c r="BK111" s="2">
        <v>1.0</v>
      </c>
      <c r="BL111" s="2">
        <v>1.0</v>
      </c>
      <c r="BM111" s="2">
        <v>1.0</v>
      </c>
      <c r="BN111" s="2">
        <v>1.0</v>
      </c>
      <c r="BO111" s="2">
        <v>1.0</v>
      </c>
      <c r="BP111" s="2">
        <v>1.0</v>
      </c>
      <c r="BQ111" s="2">
        <v>1.0</v>
      </c>
      <c r="BR111" s="2">
        <v>1.0</v>
      </c>
      <c r="BS111" s="2">
        <v>1.0</v>
      </c>
      <c r="BT111" s="2">
        <v>1.0</v>
      </c>
      <c r="BU111" s="2">
        <v>1.0</v>
      </c>
      <c r="BV111" s="2">
        <v>1.0</v>
      </c>
      <c r="BW111" s="2">
        <v>1.0</v>
      </c>
      <c r="BX111" s="2">
        <v>1.0</v>
      </c>
      <c r="BY111" s="2">
        <v>1.0</v>
      </c>
      <c r="BZ111" s="2">
        <v>1.0</v>
      </c>
      <c r="CB111" s="2"/>
      <c r="CC111" s="2"/>
      <c r="CD111" s="2"/>
      <c r="CE111" s="2"/>
      <c r="CF111" s="2"/>
      <c r="CG111" s="2"/>
      <c r="CH111" s="2"/>
      <c r="CI111" s="2"/>
      <c r="CJ111" s="2"/>
      <c r="CK111" s="2"/>
      <c r="CL111" s="2"/>
      <c r="CM111" s="2"/>
      <c r="CN111" s="2"/>
      <c r="CO111" s="2"/>
      <c r="CP111" s="2"/>
      <c r="CQ111" s="2"/>
    </row>
    <row r="112">
      <c r="BI112" s="38" t="str">
        <f>IFERROR(__xludf.DUMMYFUNCTION("""COMPUTED_VALUE"""),"Torch")</f>
        <v>Torch</v>
      </c>
      <c r="BJ112" s="2">
        <v>1.5</v>
      </c>
      <c r="BK112" s="2">
        <v>1.0</v>
      </c>
      <c r="BL112" s="2">
        <v>1.0</v>
      </c>
      <c r="BM112" s="2">
        <v>1.0</v>
      </c>
      <c r="BN112" s="2">
        <v>1.0</v>
      </c>
      <c r="BO112" s="2">
        <v>1.0</v>
      </c>
      <c r="BP112" s="2">
        <v>1.0</v>
      </c>
      <c r="BQ112" s="2">
        <v>1.0</v>
      </c>
      <c r="BR112" s="2">
        <v>1.0</v>
      </c>
      <c r="BS112" s="2">
        <v>1.0</v>
      </c>
      <c r="BT112" s="2">
        <v>1.0</v>
      </c>
      <c r="BU112" s="2">
        <v>1.0</v>
      </c>
      <c r="BV112" s="2">
        <v>1.0</v>
      </c>
      <c r="BW112" s="2">
        <v>1.0</v>
      </c>
      <c r="BX112" s="2">
        <v>1.0</v>
      </c>
      <c r="BY112" s="2">
        <v>1.0</v>
      </c>
      <c r="BZ112" s="2">
        <v>1.0</v>
      </c>
      <c r="CB112" s="2"/>
      <c r="CC112" s="2"/>
      <c r="CD112" s="2"/>
      <c r="CE112" s="2"/>
      <c r="CF112" s="2"/>
      <c r="CG112" s="2"/>
      <c r="CH112" s="2"/>
      <c r="CI112" s="2"/>
      <c r="CJ112" s="2"/>
      <c r="CK112" s="2"/>
      <c r="CL112" s="2"/>
      <c r="CM112" s="2"/>
      <c r="CN112" s="2"/>
      <c r="CO112" s="2"/>
      <c r="CP112" s="2"/>
      <c r="CQ112" s="2"/>
    </row>
    <row r="113">
      <c r="BI113" s="38" t="str">
        <f>IFERROR(__xludf.DUMMYFUNCTION("""COMPUTED_VALUE"""),"Camel")</f>
        <v>Camel</v>
      </c>
      <c r="BJ113" s="2">
        <v>1.5</v>
      </c>
      <c r="BK113" s="2">
        <v>1.0</v>
      </c>
      <c r="BL113" s="2">
        <v>1.0</v>
      </c>
      <c r="BM113" s="2">
        <v>1.0</v>
      </c>
      <c r="BN113" s="2">
        <v>1.0</v>
      </c>
      <c r="BO113" s="2">
        <v>1.0</v>
      </c>
      <c r="BP113" s="2">
        <v>1.0</v>
      </c>
      <c r="BQ113" s="2">
        <v>1.0</v>
      </c>
      <c r="BR113" s="2">
        <v>1.0</v>
      </c>
      <c r="BS113" s="2">
        <v>1.0</v>
      </c>
      <c r="BT113" s="2">
        <v>1.0</v>
      </c>
      <c r="BU113" s="2">
        <v>1.0</v>
      </c>
      <c r="BV113" s="2">
        <v>1.0</v>
      </c>
      <c r="BW113" s="2">
        <v>1.0</v>
      </c>
      <c r="BX113" s="2">
        <v>1.0</v>
      </c>
      <c r="BY113" s="2">
        <v>1.0</v>
      </c>
      <c r="BZ113" s="2">
        <v>1.0</v>
      </c>
      <c r="CB113" s="2"/>
      <c r="CC113" s="2"/>
      <c r="CD113" s="2"/>
      <c r="CE113" s="2"/>
      <c r="CF113" s="2"/>
      <c r="CG113" s="2"/>
      <c r="CH113" s="2"/>
      <c r="CI113" s="2"/>
      <c r="CJ113" s="2"/>
      <c r="CK113" s="2"/>
      <c r="CL113" s="2"/>
      <c r="CM113" s="2"/>
      <c r="CN113" s="2"/>
      <c r="CO113" s="2"/>
      <c r="CP113" s="2"/>
      <c r="CQ113" s="2"/>
    </row>
    <row r="114">
      <c r="BI114" s="41" t="str">
        <f>IFERROR(__xludf.DUMMYFUNCTION("""COMPUTED_VALUE"""),"Chicken")</f>
        <v>Chicken</v>
      </c>
      <c r="BJ114" s="2">
        <v>1.5</v>
      </c>
      <c r="BK114" s="2">
        <v>1.0</v>
      </c>
      <c r="BL114" s="2">
        <v>1.0</v>
      </c>
      <c r="BM114" s="2">
        <v>1.0</v>
      </c>
      <c r="BN114" s="2">
        <v>1.0</v>
      </c>
      <c r="BO114" s="2">
        <v>1.0</v>
      </c>
      <c r="BP114" s="2">
        <v>1.0</v>
      </c>
      <c r="BQ114" s="2">
        <v>1.0</v>
      </c>
      <c r="BR114" s="2">
        <v>1.0</v>
      </c>
      <c r="BS114" s="2">
        <v>1.0</v>
      </c>
      <c r="BT114" s="2">
        <v>1.0</v>
      </c>
      <c r="BU114" s="2">
        <v>1.0</v>
      </c>
      <c r="BV114" s="2">
        <v>1.0</v>
      </c>
      <c r="BW114" s="2">
        <v>1.0</v>
      </c>
      <c r="BX114" s="2">
        <v>1.0</v>
      </c>
      <c r="BY114" s="2">
        <v>1.0</v>
      </c>
      <c r="BZ114" s="2">
        <v>1.0</v>
      </c>
      <c r="CB114" s="2"/>
      <c r="CC114" s="2"/>
      <c r="CD114" s="2"/>
      <c r="CE114" s="2"/>
      <c r="CF114" s="2"/>
      <c r="CG114" s="2"/>
      <c r="CH114" s="2"/>
      <c r="CI114" s="2"/>
      <c r="CJ114" s="2"/>
      <c r="CK114" s="2"/>
      <c r="CL114" s="2"/>
      <c r="CM114" s="2"/>
      <c r="CN114" s="2"/>
      <c r="CO114" s="2"/>
      <c r="CP114" s="2"/>
      <c r="CQ114" s="2"/>
    </row>
    <row r="115">
      <c r="BI115" s="41" t="str">
        <f>IFERROR(__xludf.DUMMYFUNCTION("""COMPUTED_VALUE"""),"Cow")</f>
        <v>Cow</v>
      </c>
      <c r="BJ115" s="2">
        <v>1.5</v>
      </c>
      <c r="BK115" s="2">
        <v>1.0</v>
      </c>
      <c r="BL115" s="2">
        <v>1.0</v>
      </c>
      <c r="BM115" s="2">
        <v>1.0</v>
      </c>
      <c r="BN115" s="2">
        <v>1.0</v>
      </c>
      <c r="BO115" s="2">
        <v>1.0</v>
      </c>
      <c r="BP115" s="2">
        <v>1.0</v>
      </c>
      <c r="BQ115" s="2">
        <v>1.0</v>
      </c>
      <c r="BR115" s="2">
        <v>1.0</v>
      </c>
      <c r="BS115" s="2">
        <v>1.0</v>
      </c>
      <c r="BT115" s="2">
        <v>1.0</v>
      </c>
      <c r="BU115" s="2">
        <v>1.0</v>
      </c>
      <c r="BV115" s="2">
        <v>1.0</v>
      </c>
      <c r="BW115" s="2">
        <v>1.0</v>
      </c>
      <c r="BX115" s="2">
        <v>1.0</v>
      </c>
      <c r="BY115" s="2">
        <v>1.0</v>
      </c>
      <c r="BZ115" s="2">
        <v>1.0</v>
      </c>
      <c r="CB115" s="2"/>
      <c r="CC115" s="2"/>
      <c r="CD115" s="2"/>
      <c r="CE115" s="2"/>
      <c r="CF115" s="2"/>
      <c r="CG115" s="2"/>
      <c r="CH115" s="2"/>
      <c r="CI115" s="2"/>
      <c r="CJ115" s="2"/>
      <c r="CK115" s="2"/>
      <c r="CL115" s="2"/>
      <c r="CM115" s="2"/>
      <c r="CN115" s="2"/>
      <c r="CO115" s="2"/>
      <c r="CP115" s="2"/>
      <c r="CQ115" s="2"/>
    </row>
    <row r="116">
      <c r="BI116" s="38" t="str">
        <f>IFERROR(__xludf.DUMMYFUNCTION("""COMPUTED_VALUE"""),"Donkey")</f>
        <v>Donkey</v>
      </c>
      <c r="BJ116" s="2">
        <v>1.5</v>
      </c>
      <c r="BK116" s="2">
        <v>1.0</v>
      </c>
      <c r="BL116" s="2">
        <v>1.0</v>
      </c>
      <c r="BM116" s="2">
        <v>1.0</v>
      </c>
      <c r="BN116" s="2">
        <v>1.0</v>
      </c>
      <c r="BO116" s="2">
        <v>1.0</v>
      </c>
      <c r="BP116" s="2">
        <v>1.0</v>
      </c>
      <c r="BQ116" s="2">
        <v>1.0</v>
      </c>
      <c r="BR116" s="2">
        <v>1.0</v>
      </c>
      <c r="BS116" s="2">
        <v>1.0</v>
      </c>
      <c r="BT116" s="2">
        <v>1.0</v>
      </c>
      <c r="BU116" s="2">
        <v>1.0</v>
      </c>
      <c r="BV116" s="2">
        <v>1.0</v>
      </c>
      <c r="BW116" s="2">
        <v>1.0</v>
      </c>
      <c r="BX116" s="2">
        <v>1.0</v>
      </c>
      <c r="BY116" s="2">
        <v>1.0</v>
      </c>
      <c r="BZ116" s="2">
        <v>1.0</v>
      </c>
      <c r="CB116" s="2"/>
      <c r="CC116" s="2"/>
      <c r="CD116" s="2"/>
      <c r="CE116" s="2"/>
      <c r="CF116" s="2"/>
      <c r="CG116" s="2"/>
      <c r="CH116" s="2"/>
      <c r="CI116" s="2"/>
      <c r="CJ116" s="2"/>
      <c r="CK116" s="2"/>
      <c r="CL116" s="2"/>
      <c r="CM116" s="2"/>
      <c r="CN116" s="2"/>
      <c r="CO116" s="2"/>
      <c r="CP116" s="2"/>
      <c r="CQ116" s="2"/>
    </row>
    <row r="117">
      <c r="BI117" s="41" t="str">
        <f>IFERROR(__xludf.DUMMYFUNCTION("""COMPUTED_VALUE"""),"Goat")</f>
        <v>Goat</v>
      </c>
      <c r="BJ117" s="2">
        <v>1.5</v>
      </c>
      <c r="BK117" s="2">
        <v>1.0</v>
      </c>
      <c r="BL117" s="2">
        <v>1.0</v>
      </c>
      <c r="BM117" s="2">
        <v>1.0</v>
      </c>
      <c r="BN117" s="2">
        <v>1.0</v>
      </c>
      <c r="BO117" s="2">
        <v>1.0</v>
      </c>
      <c r="BP117" s="2">
        <v>1.0</v>
      </c>
      <c r="BQ117" s="2">
        <v>1.0</v>
      </c>
      <c r="BR117" s="2">
        <v>1.0</v>
      </c>
      <c r="BS117" s="2">
        <v>1.0</v>
      </c>
      <c r="BT117" s="2">
        <v>1.0</v>
      </c>
      <c r="BU117" s="2">
        <v>1.0</v>
      </c>
      <c r="BV117" s="2">
        <v>1.0</v>
      </c>
      <c r="BW117" s="2">
        <v>1.0</v>
      </c>
      <c r="BX117" s="2">
        <v>1.0</v>
      </c>
      <c r="BY117" s="2">
        <v>1.0</v>
      </c>
      <c r="BZ117" s="2">
        <v>1.0</v>
      </c>
      <c r="CB117" s="2"/>
      <c r="CC117" s="2"/>
      <c r="CD117" s="2"/>
      <c r="CE117" s="2"/>
      <c r="CF117" s="2"/>
      <c r="CG117" s="2"/>
      <c r="CH117" s="2"/>
      <c r="CI117" s="2"/>
      <c r="CJ117" s="2"/>
      <c r="CK117" s="2"/>
      <c r="CL117" s="2"/>
      <c r="CM117" s="2"/>
      <c r="CN117" s="2"/>
      <c r="CO117" s="2"/>
      <c r="CP117" s="2"/>
      <c r="CQ117" s="2"/>
    </row>
    <row r="118">
      <c r="BI118" s="41" t="str">
        <f>IFERROR(__xludf.DUMMYFUNCTION("""COMPUTED_VALUE"""),"Ox")</f>
        <v>Ox</v>
      </c>
      <c r="BJ118" s="2">
        <v>1.5</v>
      </c>
      <c r="BK118" s="2">
        <v>1.0</v>
      </c>
      <c r="BL118" s="2">
        <v>1.0</v>
      </c>
      <c r="BM118" s="2">
        <v>1.0</v>
      </c>
      <c r="BN118" s="2">
        <v>1.0</v>
      </c>
      <c r="BO118" s="2">
        <v>1.0</v>
      </c>
      <c r="BP118" s="2">
        <v>1.0</v>
      </c>
      <c r="BQ118" s="2">
        <v>1.0</v>
      </c>
      <c r="BR118" s="2">
        <v>1.0</v>
      </c>
      <c r="BS118" s="2">
        <v>1.0</v>
      </c>
      <c r="BT118" s="2">
        <v>1.0</v>
      </c>
      <c r="BU118" s="2">
        <v>1.0</v>
      </c>
      <c r="BV118" s="2">
        <v>1.0</v>
      </c>
      <c r="BW118" s="2">
        <v>1.0</v>
      </c>
      <c r="BX118" s="2">
        <v>1.0</v>
      </c>
      <c r="BY118" s="2">
        <v>1.0</v>
      </c>
      <c r="BZ118" s="2">
        <v>1.0</v>
      </c>
      <c r="CB118" s="2"/>
      <c r="CC118" s="2"/>
      <c r="CD118" s="2"/>
      <c r="CE118" s="2"/>
      <c r="CF118" s="2"/>
      <c r="CG118" s="2"/>
      <c r="CH118" s="2"/>
      <c r="CI118" s="2"/>
      <c r="CJ118" s="2"/>
      <c r="CK118" s="2"/>
      <c r="CL118" s="2"/>
      <c r="CM118" s="2"/>
      <c r="CN118" s="2"/>
      <c r="CO118" s="2"/>
      <c r="CP118" s="2"/>
      <c r="CQ118" s="2"/>
    </row>
    <row r="119">
      <c r="BI119" s="41" t="str">
        <f>IFERROR(__xludf.DUMMYFUNCTION("""COMPUTED_VALUE"""),"Pig")</f>
        <v>Pig</v>
      </c>
      <c r="BJ119" s="2">
        <v>1.5</v>
      </c>
      <c r="BK119" s="2">
        <v>1.0</v>
      </c>
      <c r="BL119" s="2">
        <v>1.0</v>
      </c>
      <c r="BM119" s="2">
        <v>1.0</v>
      </c>
      <c r="BN119" s="2">
        <v>1.0</v>
      </c>
      <c r="BO119" s="2">
        <v>1.0</v>
      </c>
      <c r="BP119" s="2">
        <v>1.0</v>
      </c>
      <c r="BQ119" s="2">
        <v>1.0</v>
      </c>
      <c r="BR119" s="2">
        <v>1.0</v>
      </c>
      <c r="BS119" s="2">
        <v>1.0</v>
      </c>
      <c r="BT119" s="2">
        <v>1.0</v>
      </c>
      <c r="BU119" s="2">
        <v>1.0</v>
      </c>
      <c r="BV119" s="2">
        <v>1.0</v>
      </c>
      <c r="BW119" s="2">
        <v>1.0</v>
      </c>
      <c r="BX119" s="2">
        <v>1.0</v>
      </c>
      <c r="BY119" s="2">
        <v>1.0</v>
      </c>
      <c r="BZ119" s="2">
        <v>1.0</v>
      </c>
      <c r="CB119" s="2"/>
      <c r="CC119" s="2"/>
      <c r="CD119" s="2"/>
      <c r="CE119" s="2"/>
      <c r="CF119" s="2"/>
      <c r="CG119" s="2"/>
      <c r="CH119" s="2"/>
      <c r="CI119" s="2"/>
      <c r="CJ119" s="2"/>
      <c r="CK119" s="2"/>
      <c r="CL119" s="2"/>
      <c r="CM119" s="2"/>
      <c r="CN119" s="2"/>
      <c r="CO119" s="2"/>
      <c r="CP119" s="2"/>
      <c r="CQ119" s="2"/>
    </row>
    <row r="120">
      <c r="BI120" s="41" t="str">
        <f>IFERROR(__xludf.DUMMYFUNCTION("""COMPUTED_VALUE"""),"Sheep")</f>
        <v>Sheep</v>
      </c>
      <c r="BJ120" s="2">
        <v>1.5</v>
      </c>
      <c r="BK120" s="2">
        <v>1.0</v>
      </c>
      <c r="BL120" s="2">
        <v>1.0</v>
      </c>
      <c r="BM120" s="2">
        <v>1.0</v>
      </c>
      <c r="BN120" s="2">
        <v>1.0</v>
      </c>
      <c r="BO120" s="2">
        <v>1.0</v>
      </c>
      <c r="BP120" s="2">
        <v>1.0</v>
      </c>
      <c r="BQ120" s="2">
        <v>1.0</v>
      </c>
      <c r="BR120" s="2">
        <v>1.0</v>
      </c>
      <c r="BS120" s="2">
        <v>1.0</v>
      </c>
      <c r="BT120" s="2">
        <v>1.0</v>
      </c>
      <c r="BU120" s="2">
        <v>1.0</v>
      </c>
      <c r="BV120" s="2">
        <v>1.0</v>
      </c>
      <c r="BW120" s="2">
        <v>1.0</v>
      </c>
      <c r="BX120" s="2">
        <v>1.0</v>
      </c>
      <c r="BY120" s="2">
        <v>1.0</v>
      </c>
      <c r="BZ120" s="2">
        <v>1.0</v>
      </c>
      <c r="CB120" s="2"/>
      <c r="CC120" s="2"/>
      <c r="CD120" s="2"/>
      <c r="CE120" s="2"/>
      <c r="CF120" s="2"/>
      <c r="CG120" s="2"/>
      <c r="CH120" s="2"/>
      <c r="CI120" s="2"/>
      <c r="CJ120" s="2"/>
      <c r="CK120" s="2"/>
      <c r="CL120" s="2"/>
      <c r="CM120" s="2"/>
      <c r="CN120" s="2"/>
      <c r="CO120" s="2"/>
      <c r="CP120" s="2"/>
      <c r="CQ120" s="2"/>
    </row>
    <row r="121">
      <c r="BI121" s="38" t="str">
        <f>IFERROR(__xludf.DUMMYFUNCTION("""COMPUTED_VALUE"""),"Banquet")</f>
        <v>Banquet</v>
      </c>
      <c r="BJ121" s="2">
        <v>1.5</v>
      </c>
      <c r="BK121" s="2">
        <v>1.0</v>
      </c>
      <c r="BL121" s="2">
        <v>1.0</v>
      </c>
      <c r="BM121" s="2">
        <v>1.0</v>
      </c>
      <c r="BN121" s="2">
        <v>1.0</v>
      </c>
      <c r="BO121" s="2">
        <v>1.0</v>
      </c>
      <c r="BP121" s="2">
        <v>1.0</v>
      </c>
      <c r="BQ121" s="2">
        <v>1.0</v>
      </c>
      <c r="BR121" s="2">
        <v>1.0</v>
      </c>
      <c r="BS121" s="2">
        <v>1.0</v>
      </c>
      <c r="BT121" s="2">
        <v>1.0</v>
      </c>
      <c r="BU121" s="2">
        <v>1.0</v>
      </c>
      <c r="BV121" s="2">
        <v>1.0</v>
      </c>
      <c r="BW121" s="2">
        <v>1.0</v>
      </c>
      <c r="BX121" s="2">
        <v>1.0</v>
      </c>
      <c r="BY121" s="2">
        <v>1.0</v>
      </c>
      <c r="BZ121" s="2">
        <v>1.0</v>
      </c>
      <c r="CB121" s="2"/>
      <c r="CC121" s="2"/>
      <c r="CD121" s="2"/>
      <c r="CE121" s="2"/>
      <c r="CF121" s="2"/>
      <c r="CG121" s="2"/>
      <c r="CH121" s="2"/>
      <c r="CI121" s="2"/>
      <c r="CJ121" s="2"/>
      <c r="CK121" s="2"/>
      <c r="CL121" s="2"/>
      <c r="CM121" s="2"/>
      <c r="CN121" s="2"/>
      <c r="CO121" s="2"/>
      <c r="CP121" s="2"/>
      <c r="CQ121" s="2"/>
    </row>
    <row r="122">
      <c r="BI122" s="38" t="str">
        <f>IFERROR(__xludf.DUMMYFUNCTION("""COMPUTED_VALUE"""),"Meal (Aristocratic)")</f>
        <v>Meal (Aristocratic)</v>
      </c>
      <c r="BJ122" s="2">
        <v>1.5</v>
      </c>
      <c r="BK122" s="2">
        <v>1.0</v>
      </c>
      <c r="BL122" s="2">
        <v>1.0</v>
      </c>
      <c r="BM122" s="2">
        <v>1.0</v>
      </c>
      <c r="BN122" s="2">
        <v>1.0</v>
      </c>
      <c r="BO122" s="2">
        <v>1.0</v>
      </c>
      <c r="BP122" s="2">
        <v>1.0</v>
      </c>
      <c r="BQ122" s="2">
        <v>1.0</v>
      </c>
      <c r="BR122" s="2">
        <v>1.0</v>
      </c>
      <c r="BS122" s="2">
        <v>1.0</v>
      </c>
      <c r="BT122" s="2">
        <v>1.0</v>
      </c>
      <c r="BU122" s="2">
        <v>1.0</v>
      </c>
      <c r="BV122" s="2">
        <v>1.0</v>
      </c>
      <c r="BW122" s="2">
        <v>1.0</v>
      </c>
      <c r="BX122" s="2">
        <v>1.0</v>
      </c>
      <c r="BY122" s="2">
        <v>1.0</v>
      </c>
      <c r="BZ122" s="2">
        <v>1.0</v>
      </c>
      <c r="CB122" s="2"/>
      <c r="CC122" s="2"/>
      <c r="CD122" s="2"/>
      <c r="CE122" s="2"/>
      <c r="CF122" s="2"/>
      <c r="CG122" s="2"/>
      <c r="CH122" s="2"/>
      <c r="CI122" s="2"/>
      <c r="CJ122" s="2"/>
      <c r="CK122" s="2"/>
      <c r="CL122" s="2"/>
      <c r="CM122" s="2"/>
      <c r="CN122" s="2"/>
      <c r="CO122" s="2"/>
      <c r="CP122" s="2"/>
      <c r="CQ122" s="2"/>
    </row>
    <row r="123">
      <c r="BI123" s="38" t="str">
        <f>IFERROR(__xludf.DUMMYFUNCTION("""COMPUTED_VALUE"""),"Meal (Wealthy)")</f>
        <v>Meal (Wealthy)</v>
      </c>
      <c r="BJ123" s="2">
        <v>1.5</v>
      </c>
      <c r="BK123" s="2">
        <v>1.0</v>
      </c>
      <c r="BL123" s="2">
        <v>1.0</v>
      </c>
      <c r="BM123" s="2">
        <v>1.0</v>
      </c>
      <c r="BN123" s="2">
        <v>1.0</v>
      </c>
      <c r="BO123" s="2">
        <v>1.0</v>
      </c>
      <c r="BP123" s="2">
        <v>1.0</v>
      </c>
      <c r="BQ123" s="2">
        <v>1.0</v>
      </c>
      <c r="BR123" s="2">
        <v>1.0</v>
      </c>
      <c r="BS123" s="2">
        <v>1.0</v>
      </c>
      <c r="BT123" s="2">
        <v>1.0</v>
      </c>
      <c r="BU123" s="2">
        <v>1.0</v>
      </c>
      <c r="BV123" s="2">
        <v>1.0</v>
      </c>
      <c r="BW123" s="2">
        <v>1.0</v>
      </c>
      <c r="BX123" s="2">
        <v>1.0</v>
      </c>
      <c r="BY123" s="2">
        <v>1.0</v>
      </c>
      <c r="BZ123" s="2">
        <v>1.0</v>
      </c>
      <c r="CB123" s="2"/>
      <c r="CC123" s="2"/>
      <c r="CD123" s="2"/>
      <c r="CE123" s="2"/>
      <c r="CF123" s="2"/>
      <c r="CG123" s="2"/>
      <c r="CH123" s="2"/>
      <c r="CI123" s="2"/>
      <c r="CJ123" s="2"/>
      <c r="CK123" s="2"/>
      <c r="CL123" s="2"/>
      <c r="CM123" s="2"/>
      <c r="CN123" s="2"/>
      <c r="CO123" s="2"/>
      <c r="CP123" s="2"/>
      <c r="CQ123" s="2"/>
    </row>
    <row r="124">
      <c r="BI124" s="38" t="str">
        <f>IFERROR(__xludf.DUMMYFUNCTION("""COMPUTED_VALUE"""),"Perfume")</f>
        <v>Perfume</v>
      </c>
      <c r="BJ124" s="2">
        <v>0.5</v>
      </c>
      <c r="BK124" s="2">
        <v>1.0</v>
      </c>
      <c r="BL124" s="2">
        <v>1.0</v>
      </c>
      <c r="BM124" s="2">
        <v>1.0</v>
      </c>
      <c r="BN124" s="2">
        <v>1.0</v>
      </c>
      <c r="BO124" s="2">
        <v>1.0</v>
      </c>
      <c r="BP124" s="2">
        <v>1.0</v>
      </c>
      <c r="BQ124" s="2">
        <v>1.0</v>
      </c>
      <c r="BR124" s="2">
        <v>1.0</v>
      </c>
      <c r="BS124" s="2">
        <v>1.0</v>
      </c>
      <c r="BT124" s="2">
        <v>1.0</v>
      </c>
      <c r="BU124" s="2">
        <v>1.0</v>
      </c>
      <c r="BV124" s="2">
        <v>1.0</v>
      </c>
      <c r="BW124" s="2">
        <v>1.0</v>
      </c>
      <c r="BX124" s="2">
        <v>1.0</v>
      </c>
      <c r="BY124" s="2">
        <v>1.0</v>
      </c>
      <c r="BZ124" s="2">
        <v>1.0</v>
      </c>
      <c r="CB124" s="2"/>
      <c r="CC124" s="2"/>
      <c r="CD124" s="2"/>
      <c r="CE124" s="2"/>
      <c r="CF124" s="2"/>
      <c r="CG124" s="2"/>
      <c r="CH124" s="2"/>
      <c r="CI124" s="2"/>
      <c r="CJ124" s="2"/>
      <c r="CK124" s="2"/>
      <c r="CL124" s="2"/>
      <c r="CM124" s="2"/>
      <c r="CN124" s="2"/>
      <c r="CO124" s="2"/>
      <c r="CP124" s="2"/>
      <c r="CQ124" s="2"/>
    </row>
    <row r="125">
      <c r="BI125" s="38" t="str">
        <f>IFERROR(__xludf.DUMMYFUNCTION("""COMPUTED_VALUE"""),"Fine Wine")</f>
        <v>Fine Wine</v>
      </c>
      <c r="BJ125" s="2">
        <v>0.5</v>
      </c>
      <c r="BK125" s="2">
        <v>1.0</v>
      </c>
      <c r="BL125" s="2">
        <v>1.0</v>
      </c>
      <c r="BM125" s="2">
        <v>1.0</v>
      </c>
      <c r="BN125" s="2">
        <v>1.0</v>
      </c>
      <c r="BO125" s="2">
        <v>1.0</v>
      </c>
      <c r="BP125" s="2">
        <v>1.0</v>
      </c>
      <c r="BQ125" s="2">
        <v>1.0</v>
      </c>
      <c r="BR125" s="2">
        <v>1.0</v>
      </c>
      <c r="BS125" s="2">
        <v>1.0</v>
      </c>
      <c r="BT125" s="2">
        <v>1.0</v>
      </c>
      <c r="BU125" s="2">
        <v>1.0</v>
      </c>
      <c r="BV125" s="2">
        <v>1.0</v>
      </c>
      <c r="BW125" s="2">
        <v>1.0</v>
      </c>
      <c r="BX125" s="2">
        <v>1.0</v>
      </c>
      <c r="BY125" s="2">
        <v>1.0</v>
      </c>
      <c r="BZ125" s="2">
        <v>1.0</v>
      </c>
      <c r="CB125" s="2"/>
      <c r="CC125" s="2"/>
      <c r="CD125" s="2"/>
      <c r="CE125" s="2"/>
      <c r="CF125" s="2"/>
      <c r="CG125" s="2"/>
      <c r="CH125" s="2"/>
      <c r="CI125" s="2"/>
      <c r="CJ125" s="2"/>
      <c r="CK125" s="2"/>
      <c r="CL125" s="2"/>
      <c r="CM125" s="2"/>
      <c r="CN125" s="2"/>
      <c r="CO125" s="2"/>
      <c r="CP125" s="2"/>
      <c r="CQ125" s="2"/>
    </row>
    <row r="126">
      <c r="BI126" s="38" t="str">
        <f>IFERROR(__xludf.DUMMYFUNCTION("""COMPUTED_VALUE"""),"Aristocratic Room")</f>
        <v>Aristocratic Room</v>
      </c>
      <c r="BJ126" s="2">
        <v>1.5</v>
      </c>
      <c r="BK126" s="2">
        <v>1.0</v>
      </c>
      <c r="BL126" s="2">
        <v>1.0</v>
      </c>
      <c r="BM126" s="2">
        <v>1.0</v>
      </c>
      <c r="BN126" s="2">
        <v>1.0</v>
      </c>
      <c r="BO126" s="2">
        <v>1.0</v>
      </c>
      <c r="BP126" s="2">
        <v>1.0</v>
      </c>
      <c r="BQ126" s="2">
        <v>1.0</v>
      </c>
      <c r="BR126" s="2">
        <v>1.0</v>
      </c>
      <c r="BS126" s="2">
        <v>1.0</v>
      </c>
      <c r="BT126" s="2">
        <v>1.0</v>
      </c>
      <c r="BU126" s="2">
        <v>1.0</v>
      </c>
      <c r="BV126" s="2">
        <v>1.0</v>
      </c>
      <c r="BW126" s="2">
        <v>1.0</v>
      </c>
      <c r="BX126" s="2">
        <v>1.0</v>
      </c>
      <c r="BY126" s="2">
        <v>1.0</v>
      </c>
      <c r="BZ126" s="2">
        <v>1.0</v>
      </c>
      <c r="CB126" s="2"/>
      <c r="CC126" s="2"/>
      <c r="CD126" s="2"/>
      <c r="CE126" s="2"/>
      <c r="CF126" s="2"/>
      <c r="CG126" s="2"/>
      <c r="CH126" s="2"/>
      <c r="CI126" s="2"/>
      <c r="CJ126" s="2"/>
      <c r="CK126" s="2"/>
      <c r="CL126" s="2"/>
      <c r="CM126" s="2"/>
      <c r="CN126" s="2"/>
      <c r="CO126" s="2"/>
      <c r="CP126" s="2"/>
      <c r="CQ126" s="2"/>
    </row>
    <row r="127">
      <c r="BI127" s="38" t="str">
        <f>IFERROR(__xludf.DUMMYFUNCTION("""COMPUTED_VALUE"""),"Wealthy Room")</f>
        <v>Wealthy Room</v>
      </c>
      <c r="BJ127" s="2">
        <v>1.5</v>
      </c>
      <c r="BK127" s="2">
        <v>1.0</v>
      </c>
      <c r="BL127" s="2">
        <v>1.0</v>
      </c>
      <c r="BM127" s="2">
        <v>1.0</v>
      </c>
      <c r="BN127" s="2">
        <v>1.0</v>
      </c>
      <c r="BO127" s="2">
        <v>1.0</v>
      </c>
      <c r="BP127" s="2">
        <v>1.0</v>
      </c>
      <c r="BQ127" s="2">
        <v>1.0</v>
      </c>
      <c r="BR127" s="2">
        <v>1.0</v>
      </c>
      <c r="BS127" s="2">
        <v>1.0</v>
      </c>
      <c r="BT127" s="2">
        <v>1.0</v>
      </c>
      <c r="BU127" s="2">
        <v>1.0</v>
      </c>
      <c r="BV127" s="2">
        <v>1.0</v>
      </c>
      <c r="BW127" s="2">
        <v>1.0</v>
      </c>
      <c r="BX127" s="2">
        <v>1.0</v>
      </c>
      <c r="BY127" s="2">
        <v>1.0</v>
      </c>
      <c r="BZ127" s="2">
        <v>1.0</v>
      </c>
      <c r="CB127" s="2"/>
      <c r="CC127" s="2"/>
      <c r="CD127" s="2"/>
      <c r="CE127" s="2"/>
      <c r="CF127" s="2"/>
      <c r="CG127" s="2"/>
      <c r="CH127" s="2"/>
      <c r="CI127" s="2"/>
      <c r="CJ127" s="2"/>
      <c r="CK127" s="2"/>
      <c r="CL127" s="2"/>
      <c r="CM127" s="2"/>
      <c r="CN127" s="2"/>
      <c r="CO127" s="2"/>
      <c r="CP127" s="2"/>
      <c r="CQ127" s="2"/>
    </row>
    <row r="128">
      <c r="BI128" s="41" t="str">
        <f>IFERROR(__xludf.DUMMYFUNCTION("""COMPUTED_VALUE"""),"Copper")</f>
        <v>Copper</v>
      </c>
      <c r="BJ128" s="2">
        <v>1.5</v>
      </c>
      <c r="BK128" s="2">
        <v>1.0</v>
      </c>
      <c r="BL128" s="2">
        <v>1.0</v>
      </c>
      <c r="BM128" s="2">
        <v>1.0</v>
      </c>
      <c r="BN128" s="2">
        <v>1.0</v>
      </c>
      <c r="BO128" s="2">
        <v>1.0</v>
      </c>
      <c r="BP128" s="2">
        <v>1.0</v>
      </c>
      <c r="BQ128" s="2">
        <v>1.0</v>
      </c>
      <c r="BR128" s="2">
        <v>1.0</v>
      </c>
      <c r="BS128" s="2">
        <v>1.0</v>
      </c>
      <c r="BT128" s="2">
        <v>1.0</v>
      </c>
      <c r="BU128" s="2">
        <v>1.0</v>
      </c>
      <c r="BV128" s="2">
        <v>1.0</v>
      </c>
      <c r="BW128" s="2">
        <v>1.0</v>
      </c>
      <c r="BX128" s="2">
        <v>1.0</v>
      </c>
      <c r="BY128" s="2">
        <v>1.0</v>
      </c>
      <c r="BZ128" s="2">
        <v>1.0</v>
      </c>
      <c r="CB128" s="2"/>
      <c r="CC128" s="2"/>
      <c r="CD128" s="2"/>
      <c r="CE128" s="2"/>
      <c r="CF128" s="2"/>
      <c r="CG128" s="2"/>
      <c r="CH128" s="2"/>
      <c r="CI128" s="2"/>
      <c r="CJ128" s="2"/>
      <c r="CK128" s="2"/>
      <c r="CL128" s="2"/>
      <c r="CM128" s="2"/>
      <c r="CN128" s="2"/>
      <c r="CO128" s="2"/>
      <c r="CP128" s="2"/>
      <c r="CQ128" s="2"/>
    </row>
    <row r="129">
      <c r="BI129" s="41" t="str">
        <f>IFERROR(__xludf.DUMMYFUNCTION("""COMPUTED_VALUE"""),"Gold")</f>
        <v>Gold</v>
      </c>
      <c r="BJ129" s="2">
        <v>1.5</v>
      </c>
      <c r="BK129" s="2">
        <v>1.0</v>
      </c>
      <c r="BL129" s="2">
        <v>1.0</v>
      </c>
      <c r="BM129" s="2">
        <v>1.0</v>
      </c>
      <c r="BN129" s="2">
        <v>1.0</v>
      </c>
      <c r="BO129" s="2">
        <v>1.0</v>
      </c>
      <c r="BP129" s="2">
        <v>1.0</v>
      </c>
      <c r="BQ129" s="2">
        <v>1.0</v>
      </c>
      <c r="BR129" s="2">
        <v>1.0</v>
      </c>
      <c r="BS129" s="2">
        <v>1.0</v>
      </c>
      <c r="BT129" s="2">
        <v>1.0</v>
      </c>
      <c r="BU129" s="2">
        <v>1.0</v>
      </c>
      <c r="BV129" s="2">
        <v>1.0</v>
      </c>
      <c r="BW129" s="2">
        <v>1.0</v>
      </c>
      <c r="BX129" s="2">
        <v>1.0</v>
      </c>
      <c r="BY129" s="2">
        <v>1.0</v>
      </c>
      <c r="BZ129" s="2">
        <v>1.0</v>
      </c>
      <c r="CB129" s="2"/>
      <c r="CC129" s="2"/>
      <c r="CD129" s="2"/>
      <c r="CE129" s="2"/>
      <c r="CF129" s="2"/>
      <c r="CG129" s="2"/>
      <c r="CH129" s="2"/>
      <c r="CI129" s="2"/>
      <c r="CJ129" s="2"/>
      <c r="CK129" s="2"/>
      <c r="CL129" s="2"/>
      <c r="CM129" s="2"/>
      <c r="CN129" s="2"/>
      <c r="CO129" s="2"/>
      <c r="CP129" s="2"/>
      <c r="CQ129" s="2"/>
    </row>
    <row r="130">
      <c r="BI130" s="41" t="str">
        <f>IFERROR(__xludf.DUMMYFUNCTION("""COMPUTED_VALUE"""),"Iron")</f>
        <v>Iron</v>
      </c>
      <c r="BJ130" s="2">
        <v>1.5</v>
      </c>
      <c r="BK130" s="2">
        <v>1.0</v>
      </c>
      <c r="BL130" s="2">
        <v>1.0</v>
      </c>
      <c r="BM130" s="2">
        <v>1.0</v>
      </c>
      <c r="BN130" s="2">
        <v>1.0</v>
      </c>
      <c r="BO130" s="2">
        <v>1.0</v>
      </c>
      <c r="BP130" s="2">
        <v>1.0</v>
      </c>
      <c r="BQ130" s="2">
        <v>1.0</v>
      </c>
      <c r="BR130" s="2">
        <v>1.0</v>
      </c>
      <c r="BS130" s="2">
        <v>1.0</v>
      </c>
      <c r="BT130" s="2">
        <v>1.0</v>
      </c>
      <c r="BU130" s="2">
        <v>1.0</v>
      </c>
      <c r="BV130" s="2">
        <v>1.0</v>
      </c>
      <c r="BW130" s="2">
        <v>1.0</v>
      </c>
      <c r="BX130" s="2">
        <v>1.0</v>
      </c>
      <c r="BY130" s="2">
        <v>1.0</v>
      </c>
      <c r="BZ130" s="2">
        <v>1.0</v>
      </c>
      <c r="CB130" s="2"/>
      <c r="CC130" s="2"/>
      <c r="CD130" s="2"/>
      <c r="CE130" s="2"/>
      <c r="CF130" s="2"/>
      <c r="CG130" s="2"/>
      <c r="CH130" s="2"/>
      <c r="CI130" s="2"/>
      <c r="CJ130" s="2"/>
      <c r="CK130" s="2"/>
      <c r="CL130" s="2"/>
      <c r="CM130" s="2"/>
      <c r="CN130" s="2"/>
      <c r="CO130" s="2"/>
      <c r="CP130" s="2"/>
      <c r="CQ130" s="2"/>
    </row>
    <row r="131">
      <c r="BI131" s="41" t="str">
        <f>IFERROR(__xludf.DUMMYFUNCTION("""COMPUTED_VALUE"""),"Platinum")</f>
        <v>Platinum</v>
      </c>
      <c r="BJ131" s="2">
        <v>1.5</v>
      </c>
      <c r="BK131" s="2">
        <v>1.0</v>
      </c>
      <c r="BL131" s="2">
        <v>1.0</v>
      </c>
      <c r="BM131" s="2">
        <v>1.0</v>
      </c>
      <c r="BN131" s="2">
        <v>1.0</v>
      </c>
      <c r="BO131" s="2">
        <v>1.0</v>
      </c>
      <c r="BP131" s="2">
        <v>1.0</v>
      </c>
      <c r="BQ131" s="2">
        <v>1.0</v>
      </c>
      <c r="BR131" s="2">
        <v>1.0</v>
      </c>
      <c r="BS131" s="2">
        <v>1.0</v>
      </c>
      <c r="BT131" s="2">
        <v>1.0</v>
      </c>
      <c r="BU131" s="2">
        <v>1.0</v>
      </c>
      <c r="BV131" s="2">
        <v>1.0</v>
      </c>
      <c r="BW131" s="2">
        <v>1.0</v>
      </c>
      <c r="BX131" s="2">
        <v>1.0</v>
      </c>
      <c r="BY131" s="2">
        <v>1.0</v>
      </c>
      <c r="BZ131" s="2">
        <v>1.0</v>
      </c>
      <c r="CB131" s="2"/>
      <c r="CC131" s="2"/>
      <c r="CD131" s="2"/>
      <c r="CE131" s="2"/>
      <c r="CF131" s="2"/>
      <c r="CG131" s="2"/>
      <c r="CH131" s="2"/>
      <c r="CI131" s="2"/>
      <c r="CJ131" s="2"/>
      <c r="CK131" s="2"/>
      <c r="CL131" s="2"/>
      <c r="CM131" s="2"/>
      <c r="CN131" s="2"/>
      <c r="CO131" s="2"/>
      <c r="CP131" s="2"/>
      <c r="CQ131" s="2"/>
    </row>
    <row r="132">
      <c r="BI132" s="41" t="str">
        <f>IFERROR(__xludf.DUMMYFUNCTION("""COMPUTED_VALUE"""),"Silver")</f>
        <v>Silver</v>
      </c>
      <c r="BJ132" s="2">
        <v>1.5</v>
      </c>
      <c r="BK132" s="2">
        <v>1.0</v>
      </c>
      <c r="BL132" s="2">
        <v>1.0</v>
      </c>
      <c r="BM132" s="2">
        <v>1.0</v>
      </c>
      <c r="BN132" s="2">
        <v>1.0</v>
      </c>
      <c r="BO132" s="2">
        <v>1.0</v>
      </c>
      <c r="BP132" s="2">
        <v>1.0</v>
      </c>
      <c r="BQ132" s="2">
        <v>1.0</v>
      </c>
      <c r="BR132" s="2">
        <v>1.0</v>
      </c>
      <c r="BS132" s="2">
        <v>1.0</v>
      </c>
      <c r="BT132" s="2">
        <v>1.0</v>
      </c>
      <c r="BU132" s="2">
        <v>1.0</v>
      </c>
      <c r="BV132" s="2">
        <v>1.0</v>
      </c>
      <c r="BW132" s="2">
        <v>1.0</v>
      </c>
      <c r="BX132" s="2">
        <v>1.0</v>
      </c>
      <c r="BY132" s="2">
        <v>1.0</v>
      </c>
      <c r="BZ132" s="2">
        <v>1.0</v>
      </c>
      <c r="CB132" s="2"/>
      <c r="CC132" s="2"/>
      <c r="CD132" s="2"/>
      <c r="CE132" s="2"/>
      <c r="CF132" s="2"/>
      <c r="CG132" s="2"/>
      <c r="CH132" s="2"/>
      <c r="CI132" s="2"/>
      <c r="CJ132" s="2"/>
      <c r="CK132" s="2"/>
      <c r="CL132" s="2"/>
      <c r="CM132" s="2"/>
      <c r="CN132" s="2"/>
      <c r="CO132" s="2"/>
      <c r="CP132" s="2"/>
      <c r="CQ132" s="2"/>
    </row>
    <row r="133">
      <c r="BI133" s="38" t="str">
        <f>IFERROR(__xludf.DUMMYFUNCTION("""COMPUTED_VALUE"""),"Draught Horse")</f>
        <v>Draught Horse</v>
      </c>
      <c r="BJ133" s="2">
        <v>1.5</v>
      </c>
      <c r="BK133" s="2">
        <v>1.0</v>
      </c>
      <c r="BL133" s="2">
        <v>1.0</v>
      </c>
      <c r="BM133" s="2">
        <v>1.0</v>
      </c>
      <c r="BN133" s="2">
        <v>1.0</v>
      </c>
      <c r="BO133" s="2">
        <v>1.0</v>
      </c>
      <c r="BP133" s="2">
        <v>1.0</v>
      </c>
      <c r="BQ133" s="2">
        <v>1.0</v>
      </c>
      <c r="BR133" s="2">
        <v>1.0</v>
      </c>
      <c r="BS133" s="2">
        <v>1.0</v>
      </c>
      <c r="BT133" s="2">
        <v>1.0</v>
      </c>
      <c r="BU133" s="2">
        <v>1.0</v>
      </c>
      <c r="BV133" s="2">
        <v>1.0</v>
      </c>
      <c r="BW133" s="2">
        <v>1.0</v>
      </c>
      <c r="BX133" s="2">
        <v>1.0</v>
      </c>
      <c r="BY133" s="2">
        <v>1.0</v>
      </c>
      <c r="BZ133" s="2">
        <v>1.0</v>
      </c>
      <c r="CB133" s="2"/>
      <c r="CC133" s="2"/>
      <c r="CD133" s="2"/>
      <c r="CE133" s="2"/>
      <c r="CF133" s="2"/>
      <c r="CG133" s="2"/>
      <c r="CH133" s="2"/>
      <c r="CI133" s="2"/>
      <c r="CJ133" s="2"/>
      <c r="CK133" s="2"/>
      <c r="CL133" s="2"/>
      <c r="CM133" s="2"/>
      <c r="CN133" s="2"/>
      <c r="CO133" s="2"/>
      <c r="CP133" s="2"/>
      <c r="CQ133" s="2"/>
    </row>
    <row r="134">
      <c r="BI134" s="38" t="str">
        <f>IFERROR(__xludf.DUMMYFUNCTION("""COMPUTED_VALUE"""),"Elephant")</f>
        <v>Elephant</v>
      </c>
      <c r="BJ134" s="2">
        <v>1.5</v>
      </c>
      <c r="BK134" s="2">
        <v>1.0</v>
      </c>
      <c r="BL134" s="2">
        <v>1.0</v>
      </c>
      <c r="BM134" s="2">
        <v>1.0</v>
      </c>
      <c r="BN134" s="2">
        <v>1.0</v>
      </c>
      <c r="BO134" s="2">
        <v>1.0</v>
      </c>
      <c r="BP134" s="2">
        <v>1.0</v>
      </c>
      <c r="BQ134" s="2">
        <v>1.0</v>
      </c>
      <c r="BR134" s="2">
        <v>1.0</v>
      </c>
      <c r="BS134" s="2">
        <v>1.0</v>
      </c>
      <c r="BT134" s="2">
        <v>1.0</v>
      </c>
      <c r="BU134" s="2">
        <v>1.0</v>
      </c>
      <c r="BV134" s="2">
        <v>1.0</v>
      </c>
      <c r="BW134" s="2">
        <v>1.0</v>
      </c>
      <c r="BX134" s="2">
        <v>1.0</v>
      </c>
      <c r="BY134" s="2">
        <v>1.0</v>
      </c>
      <c r="BZ134" s="2">
        <v>1.0</v>
      </c>
      <c r="CB134" s="2"/>
      <c r="CC134" s="2"/>
      <c r="CD134" s="2"/>
      <c r="CE134" s="2"/>
      <c r="CF134" s="2"/>
      <c r="CG134" s="2"/>
      <c r="CH134" s="2"/>
      <c r="CI134" s="2"/>
      <c r="CJ134" s="2"/>
      <c r="CK134" s="2"/>
      <c r="CL134" s="2"/>
      <c r="CM134" s="2"/>
      <c r="CN134" s="2"/>
      <c r="CO134" s="2"/>
      <c r="CP134" s="2"/>
      <c r="CQ134" s="2"/>
    </row>
    <row r="135">
      <c r="BI135" s="38" t="str">
        <f>IFERROR(__xludf.DUMMYFUNCTION("""COMPUTED_VALUE"""),"Mastiff")</f>
        <v>Mastiff</v>
      </c>
      <c r="BJ135" s="2">
        <v>1.5</v>
      </c>
      <c r="BK135" s="2">
        <v>1.0</v>
      </c>
      <c r="BL135" s="2">
        <v>1.0</v>
      </c>
      <c r="BM135" s="2">
        <v>1.0</v>
      </c>
      <c r="BN135" s="2">
        <v>1.0</v>
      </c>
      <c r="BO135" s="2">
        <v>1.0</v>
      </c>
      <c r="BP135" s="2">
        <v>1.0</v>
      </c>
      <c r="BQ135" s="2">
        <v>1.0</v>
      </c>
      <c r="BR135" s="2">
        <v>1.0</v>
      </c>
      <c r="BS135" s="2">
        <v>1.0</v>
      </c>
      <c r="BT135" s="2">
        <v>1.0</v>
      </c>
      <c r="BU135" s="2">
        <v>1.0</v>
      </c>
      <c r="BV135" s="2">
        <v>1.0</v>
      </c>
      <c r="BW135" s="2">
        <v>1.0</v>
      </c>
      <c r="BX135" s="2">
        <v>1.0</v>
      </c>
      <c r="BY135" s="2">
        <v>1.0</v>
      </c>
      <c r="BZ135" s="2">
        <v>1.0</v>
      </c>
      <c r="CB135" s="2"/>
      <c r="CC135" s="2"/>
      <c r="CD135" s="2"/>
      <c r="CE135" s="2"/>
      <c r="CF135" s="2"/>
      <c r="CG135" s="2"/>
      <c r="CH135" s="2"/>
      <c r="CI135" s="2"/>
      <c r="CJ135" s="2"/>
      <c r="CK135" s="2"/>
      <c r="CL135" s="2"/>
      <c r="CM135" s="2"/>
      <c r="CN135" s="2"/>
      <c r="CO135" s="2"/>
      <c r="CP135" s="2"/>
      <c r="CQ135" s="2"/>
    </row>
    <row r="136">
      <c r="BI136" s="38" t="str">
        <f>IFERROR(__xludf.DUMMYFUNCTION("""COMPUTED_VALUE"""),"Mule")</f>
        <v>Mule</v>
      </c>
      <c r="BJ136" s="2">
        <v>1.5</v>
      </c>
      <c r="BK136" s="2">
        <v>1.0</v>
      </c>
      <c r="BL136" s="2">
        <v>1.0</v>
      </c>
      <c r="BM136" s="2">
        <v>1.0</v>
      </c>
      <c r="BN136" s="2">
        <v>1.0</v>
      </c>
      <c r="BO136" s="2">
        <v>1.0</v>
      </c>
      <c r="BP136" s="2">
        <v>1.0</v>
      </c>
      <c r="BQ136" s="2">
        <v>1.0</v>
      </c>
      <c r="BR136" s="2">
        <v>1.0</v>
      </c>
      <c r="BS136" s="2">
        <v>1.0</v>
      </c>
      <c r="BT136" s="2">
        <v>1.0</v>
      </c>
      <c r="BU136" s="2">
        <v>1.0</v>
      </c>
      <c r="BV136" s="2">
        <v>1.0</v>
      </c>
      <c r="BW136" s="2">
        <v>1.0</v>
      </c>
      <c r="BX136" s="2">
        <v>1.0</v>
      </c>
      <c r="BY136" s="2">
        <v>1.0</v>
      </c>
      <c r="BZ136" s="2">
        <v>1.0</v>
      </c>
      <c r="CB136" s="2"/>
      <c r="CC136" s="2"/>
      <c r="CD136" s="2"/>
      <c r="CE136" s="2"/>
      <c r="CF136" s="2"/>
      <c r="CG136" s="2"/>
      <c r="CH136" s="2"/>
      <c r="CI136" s="2"/>
      <c r="CJ136" s="2"/>
      <c r="CK136" s="2"/>
      <c r="CL136" s="2"/>
      <c r="CM136" s="2"/>
      <c r="CN136" s="2"/>
      <c r="CO136" s="2"/>
      <c r="CP136" s="2"/>
      <c r="CQ136" s="2"/>
    </row>
    <row r="137">
      <c r="BI137" s="38" t="str">
        <f>IFERROR(__xludf.DUMMYFUNCTION("""COMPUTED_VALUE"""),"Pony")</f>
        <v>Pony</v>
      </c>
      <c r="BJ137" s="2">
        <v>1.5</v>
      </c>
      <c r="BK137" s="2">
        <v>1.0</v>
      </c>
      <c r="BL137" s="2">
        <v>1.0</v>
      </c>
      <c r="BM137" s="2">
        <v>1.0</v>
      </c>
      <c r="BN137" s="2">
        <v>1.0</v>
      </c>
      <c r="BO137" s="2">
        <v>1.0</v>
      </c>
      <c r="BP137" s="2">
        <v>1.0</v>
      </c>
      <c r="BQ137" s="2">
        <v>1.0</v>
      </c>
      <c r="BR137" s="2">
        <v>1.0</v>
      </c>
      <c r="BS137" s="2">
        <v>1.0</v>
      </c>
      <c r="BT137" s="2">
        <v>1.0</v>
      </c>
      <c r="BU137" s="2">
        <v>1.0</v>
      </c>
      <c r="BV137" s="2">
        <v>1.0</v>
      </c>
      <c r="BW137" s="2">
        <v>1.0</v>
      </c>
      <c r="BX137" s="2">
        <v>1.0</v>
      </c>
      <c r="BY137" s="2">
        <v>1.0</v>
      </c>
      <c r="BZ137" s="2">
        <v>1.0</v>
      </c>
      <c r="CB137" s="2"/>
      <c r="CC137" s="2"/>
      <c r="CD137" s="2"/>
      <c r="CE137" s="2"/>
      <c r="CF137" s="2"/>
      <c r="CG137" s="2"/>
      <c r="CH137" s="2"/>
      <c r="CI137" s="2"/>
      <c r="CJ137" s="2"/>
      <c r="CK137" s="2"/>
      <c r="CL137" s="2"/>
      <c r="CM137" s="2"/>
      <c r="CN137" s="2"/>
      <c r="CO137" s="2"/>
      <c r="CP137" s="2"/>
      <c r="CQ137" s="2"/>
    </row>
    <row r="138">
      <c r="BI138" s="38" t="str">
        <f>IFERROR(__xludf.DUMMYFUNCTION("""COMPUTED_VALUE"""),"Riding Horse")</f>
        <v>Riding Horse</v>
      </c>
      <c r="BJ138" s="2">
        <v>1.5</v>
      </c>
      <c r="BK138" s="2">
        <v>1.0</v>
      </c>
      <c r="BL138" s="2">
        <v>1.0</v>
      </c>
      <c r="BM138" s="2">
        <v>1.0</v>
      </c>
      <c r="BN138" s="2">
        <v>1.0</v>
      </c>
      <c r="BO138" s="2">
        <v>1.0</v>
      </c>
      <c r="BP138" s="2">
        <v>1.0</v>
      </c>
      <c r="BQ138" s="2">
        <v>1.0</v>
      </c>
      <c r="BR138" s="2">
        <v>1.0</v>
      </c>
      <c r="BS138" s="2">
        <v>1.0</v>
      </c>
      <c r="BT138" s="2">
        <v>1.0</v>
      </c>
      <c r="BU138" s="2">
        <v>1.0</v>
      </c>
      <c r="BV138" s="2">
        <v>1.0</v>
      </c>
      <c r="BW138" s="2">
        <v>1.0</v>
      </c>
      <c r="BX138" s="2">
        <v>1.0</v>
      </c>
      <c r="BY138" s="2">
        <v>1.0</v>
      </c>
      <c r="BZ138" s="2">
        <v>1.0</v>
      </c>
      <c r="CB138" s="2"/>
      <c r="CC138" s="2"/>
      <c r="CD138" s="2"/>
      <c r="CE138" s="2"/>
      <c r="CF138" s="2"/>
      <c r="CG138" s="2"/>
      <c r="CH138" s="2"/>
      <c r="CI138" s="2"/>
      <c r="CJ138" s="2"/>
      <c r="CK138" s="2"/>
      <c r="CL138" s="2"/>
      <c r="CM138" s="2"/>
      <c r="CN138" s="2"/>
      <c r="CO138" s="2"/>
      <c r="CP138" s="2"/>
      <c r="CQ138" s="2"/>
    </row>
    <row r="139">
      <c r="BI139" s="38" t="str">
        <f>IFERROR(__xludf.DUMMYFUNCTION("""COMPUTED_VALUE"""),"Warhorse")</f>
        <v>Warhorse</v>
      </c>
      <c r="BJ139" s="2">
        <v>1.5</v>
      </c>
      <c r="BK139" s="2">
        <v>1.0</v>
      </c>
      <c r="BL139" s="2">
        <v>1.0</v>
      </c>
      <c r="BM139" s="2">
        <v>1.0</v>
      </c>
      <c r="BN139" s="2">
        <v>1.0</v>
      </c>
      <c r="BO139" s="2">
        <v>1.0</v>
      </c>
      <c r="BP139" s="2">
        <v>1.0</v>
      </c>
      <c r="BQ139" s="2">
        <v>1.0</v>
      </c>
      <c r="BR139" s="2">
        <v>1.0</v>
      </c>
      <c r="BS139" s="2">
        <v>1.0</v>
      </c>
      <c r="BT139" s="2">
        <v>1.0</v>
      </c>
      <c r="BU139" s="2">
        <v>1.0</v>
      </c>
      <c r="BV139" s="2">
        <v>1.0</v>
      </c>
      <c r="BW139" s="2">
        <v>1.0</v>
      </c>
      <c r="BX139" s="2">
        <v>1.0</v>
      </c>
      <c r="BY139" s="2">
        <v>1.0</v>
      </c>
      <c r="BZ139" s="2">
        <v>1.0</v>
      </c>
      <c r="CB139" s="2"/>
      <c r="CC139" s="2"/>
      <c r="CD139" s="2"/>
      <c r="CE139" s="2"/>
      <c r="CF139" s="2"/>
      <c r="CG139" s="2"/>
      <c r="CH139" s="2"/>
      <c r="CI139" s="2"/>
      <c r="CJ139" s="2"/>
      <c r="CK139" s="2"/>
      <c r="CL139" s="2"/>
      <c r="CM139" s="2"/>
      <c r="CN139" s="2"/>
      <c r="CO139" s="2"/>
      <c r="CP139" s="2"/>
      <c r="CQ139" s="2"/>
    </row>
    <row r="140">
      <c r="BI140" s="38" t="str">
        <f>IFERROR(__xludf.DUMMYFUNCTION("""COMPUTED_VALUE"""),"Antitoxin")</f>
        <v>Antitoxin</v>
      </c>
      <c r="BJ140" s="2">
        <v>1.5</v>
      </c>
      <c r="BK140" s="2">
        <v>1.0</v>
      </c>
      <c r="BL140" s="2">
        <v>1.0</v>
      </c>
      <c r="BM140" s="2">
        <v>1.0</v>
      </c>
      <c r="BN140" s="2">
        <v>1.0</v>
      </c>
      <c r="BO140" s="2">
        <v>1.0</v>
      </c>
      <c r="BP140" s="2">
        <v>1.0</v>
      </c>
      <c r="BQ140" s="2">
        <v>1.0</v>
      </c>
      <c r="BR140" s="2">
        <v>1.0</v>
      </c>
      <c r="BS140" s="2">
        <v>1.0</v>
      </c>
      <c r="BT140" s="2">
        <v>1.0</v>
      </c>
      <c r="BU140" s="2">
        <v>1.0</v>
      </c>
      <c r="BV140" s="2">
        <v>1.0</v>
      </c>
      <c r="BW140" s="2">
        <v>1.0</v>
      </c>
      <c r="BX140" s="2">
        <v>1.0</v>
      </c>
      <c r="BY140" s="2">
        <v>1.0</v>
      </c>
      <c r="BZ140" s="2">
        <v>1.0</v>
      </c>
      <c r="CB140" s="2"/>
      <c r="CC140" s="2"/>
      <c r="CD140" s="2"/>
      <c r="CE140" s="2"/>
      <c r="CF140" s="2"/>
      <c r="CG140" s="2"/>
      <c r="CH140" s="2"/>
      <c r="CI140" s="2"/>
      <c r="CJ140" s="2"/>
      <c r="CK140" s="2"/>
      <c r="CL140" s="2"/>
      <c r="CM140" s="2"/>
      <c r="CN140" s="2"/>
      <c r="CO140" s="2"/>
      <c r="CP140" s="2"/>
      <c r="CQ140" s="2"/>
    </row>
    <row r="141">
      <c r="BI141" s="38" t="str">
        <f>IFERROR(__xludf.DUMMYFUNCTION("""COMPUTED_VALUE"""),"Potion of Healing")</f>
        <v>Potion of Healing</v>
      </c>
      <c r="BJ141" s="2">
        <v>1.5</v>
      </c>
      <c r="BK141" s="2">
        <v>1.0</v>
      </c>
      <c r="BL141" s="2">
        <v>1.0</v>
      </c>
      <c r="BM141" s="2">
        <v>1.0</v>
      </c>
      <c r="BN141" s="2">
        <v>1.0</v>
      </c>
      <c r="BO141" s="2">
        <v>1.0</v>
      </c>
      <c r="BP141" s="2">
        <v>1.0</v>
      </c>
      <c r="BQ141" s="2">
        <v>1.0</v>
      </c>
      <c r="BR141" s="2">
        <v>1.0</v>
      </c>
      <c r="BS141" s="2">
        <v>1.0</v>
      </c>
      <c r="BT141" s="2">
        <v>1.0</v>
      </c>
      <c r="BU141" s="2">
        <v>1.0</v>
      </c>
      <c r="BV141" s="2">
        <v>1.0</v>
      </c>
      <c r="BW141" s="2">
        <v>1.0</v>
      </c>
      <c r="BX141" s="2">
        <v>1.0</v>
      </c>
      <c r="BY141" s="2">
        <v>1.0</v>
      </c>
      <c r="BZ141" s="2">
        <v>1.0</v>
      </c>
      <c r="CB141" s="2"/>
      <c r="CC141" s="2"/>
      <c r="CD141" s="2"/>
      <c r="CE141" s="2"/>
      <c r="CF141" s="2"/>
      <c r="CG141" s="2"/>
      <c r="CH141" s="2"/>
      <c r="CI141" s="2"/>
      <c r="CJ141" s="2"/>
      <c r="CK141" s="2"/>
      <c r="CL141" s="2"/>
      <c r="CM141" s="2"/>
      <c r="CN141" s="2"/>
      <c r="CO141" s="2"/>
      <c r="CP141" s="2"/>
      <c r="CQ141" s="2"/>
    </row>
    <row r="142">
      <c r="BI142" s="38" t="str">
        <f>IFERROR(__xludf.DUMMYFUNCTION("""COMPUTED_VALUE"""),"Gate Toll")</f>
        <v>Gate Toll</v>
      </c>
      <c r="BJ142" s="2">
        <v>0.5</v>
      </c>
      <c r="BK142" s="2">
        <v>1.0</v>
      </c>
      <c r="BL142" s="2">
        <v>1.0</v>
      </c>
      <c r="BM142" s="2">
        <v>1.0</v>
      </c>
      <c r="BN142" s="2">
        <v>1.0</v>
      </c>
      <c r="BO142" s="2">
        <v>1.0</v>
      </c>
      <c r="BP142" s="2">
        <v>1.0</v>
      </c>
      <c r="BQ142" s="2">
        <v>1.0</v>
      </c>
      <c r="BR142" s="2">
        <v>1.0</v>
      </c>
      <c r="BS142" s="2">
        <v>1.0</v>
      </c>
      <c r="BT142" s="2">
        <v>1.0</v>
      </c>
      <c r="BU142" s="2">
        <v>1.0</v>
      </c>
      <c r="BV142" s="2">
        <v>1.0</v>
      </c>
      <c r="BW142" s="2">
        <v>1.0</v>
      </c>
      <c r="BX142" s="2">
        <v>1.0</v>
      </c>
      <c r="BY142" s="2">
        <v>1.0</v>
      </c>
      <c r="BZ142" s="2">
        <v>1.0</v>
      </c>
      <c r="CB142" s="2"/>
      <c r="CC142" s="2"/>
      <c r="CD142" s="2"/>
      <c r="CE142" s="2"/>
      <c r="CF142" s="2"/>
      <c r="CG142" s="2"/>
      <c r="CH142" s="2"/>
      <c r="CI142" s="2"/>
      <c r="CJ142" s="2"/>
      <c r="CK142" s="2"/>
      <c r="CL142" s="2"/>
      <c r="CM142" s="2"/>
      <c r="CN142" s="2"/>
      <c r="CO142" s="2"/>
      <c r="CP142" s="2"/>
      <c r="CQ142" s="2"/>
    </row>
    <row r="143">
      <c r="BI143" s="38" t="str">
        <f>IFERROR(__xludf.DUMMYFUNCTION("""COMPUTED_VALUE"""),"Road Toll")</f>
        <v>Road Toll</v>
      </c>
      <c r="BJ143" s="2">
        <v>0.5</v>
      </c>
      <c r="BK143" s="2">
        <v>1.0</v>
      </c>
      <c r="BL143" s="2">
        <v>1.0</v>
      </c>
      <c r="BM143" s="2">
        <v>1.0</v>
      </c>
      <c r="BN143" s="2">
        <v>1.0</v>
      </c>
      <c r="BO143" s="2">
        <v>1.0</v>
      </c>
      <c r="BP143" s="2">
        <v>1.0</v>
      </c>
      <c r="BQ143" s="2">
        <v>1.0</v>
      </c>
      <c r="BR143" s="2">
        <v>1.0</v>
      </c>
      <c r="BS143" s="2">
        <v>1.0</v>
      </c>
      <c r="BT143" s="2">
        <v>1.0</v>
      </c>
      <c r="BU143" s="2">
        <v>1.0</v>
      </c>
      <c r="BV143" s="2">
        <v>1.0</v>
      </c>
      <c r="BW143" s="2">
        <v>1.0</v>
      </c>
      <c r="BX143" s="2">
        <v>1.0</v>
      </c>
      <c r="BY143" s="2">
        <v>1.0</v>
      </c>
      <c r="BZ143" s="2">
        <v>1.0</v>
      </c>
      <c r="CB143" s="2"/>
      <c r="CC143" s="2"/>
      <c r="CD143" s="2"/>
      <c r="CE143" s="2"/>
      <c r="CF143" s="2"/>
      <c r="CG143" s="2"/>
      <c r="CH143" s="2"/>
      <c r="CI143" s="2"/>
      <c r="CJ143" s="2"/>
      <c r="CK143" s="2"/>
      <c r="CL143" s="2"/>
      <c r="CM143" s="2"/>
      <c r="CN143" s="2"/>
      <c r="CO143" s="2"/>
      <c r="CP143" s="2"/>
      <c r="CQ143" s="2"/>
    </row>
    <row r="144">
      <c r="BI144" s="38" t="str">
        <f>IFERROR(__xludf.DUMMYFUNCTION("""COMPUTED_VALUE"""),"Ship's Passage")</f>
        <v>Ship's Passage</v>
      </c>
      <c r="BJ144" s="2">
        <v>0.5</v>
      </c>
      <c r="BK144" s="2">
        <v>1.0</v>
      </c>
      <c r="BL144" s="2">
        <v>1.0</v>
      </c>
      <c r="BM144" s="2">
        <v>1.0</v>
      </c>
      <c r="BN144" s="2">
        <v>1.0</v>
      </c>
      <c r="BO144" s="2">
        <v>1.0</v>
      </c>
      <c r="BP144" s="2">
        <v>1.0</v>
      </c>
      <c r="BQ144" s="2">
        <v>1.0</v>
      </c>
      <c r="BR144" s="2">
        <v>1.0</v>
      </c>
      <c r="BS144" s="2">
        <v>1.0</v>
      </c>
      <c r="BT144" s="2">
        <v>1.0</v>
      </c>
      <c r="BU144" s="2">
        <v>1.0</v>
      </c>
      <c r="BV144" s="2">
        <v>1.0</v>
      </c>
      <c r="BW144" s="2">
        <v>1.0</v>
      </c>
      <c r="BX144" s="2">
        <v>1.0</v>
      </c>
      <c r="BY144" s="2">
        <v>1.0</v>
      </c>
      <c r="BZ144" s="2">
        <v>1.0</v>
      </c>
      <c r="CB144" s="2"/>
      <c r="CC144" s="2"/>
      <c r="CD144" s="2"/>
      <c r="CE144" s="2"/>
      <c r="CF144" s="2"/>
      <c r="CG144" s="2"/>
      <c r="CH144" s="2"/>
      <c r="CI144" s="2"/>
      <c r="CJ144" s="2"/>
      <c r="CK144" s="2"/>
      <c r="CL144" s="2"/>
      <c r="CM144" s="2"/>
      <c r="CN144" s="2"/>
      <c r="CO144" s="2"/>
      <c r="CP144" s="2"/>
      <c r="CQ144" s="2"/>
    </row>
    <row r="145">
      <c r="BI145" s="38" t="str">
        <f>IFERROR(__xludf.DUMMYFUNCTION("""COMPUTED_VALUE"""),"Abacus")</f>
        <v>Abacus</v>
      </c>
      <c r="BJ145" s="2">
        <v>1.5</v>
      </c>
      <c r="BK145" s="2">
        <v>1.0</v>
      </c>
      <c r="BL145" s="2">
        <v>1.0</v>
      </c>
      <c r="BM145" s="2">
        <v>1.0</v>
      </c>
      <c r="BN145" s="2">
        <v>1.0</v>
      </c>
      <c r="BO145" s="2">
        <v>1.0</v>
      </c>
      <c r="BP145" s="2">
        <v>1.0</v>
      </c>
      <c r="BQ145" s="2">
        <v>1.0</v>
      </c>
      <c r="BR145" s="2">
        <v>1.0</v>
      </c>
      <c r="BS145" s="2">
        <v>1.0</v>
      </c>
      <c r="BT145" s="2">
        <v>1.0</v>
      </c>
      <c r="BU145" s="2">
        <v>1.0</v>
      </c>
      <c r="BV145" s="2">
        <v>1.0</v>
      </c>
      <c r="BW145" s="2">
        <v>1.0</v>
      </c>
      <c r="BX145" s="2">
        <v>1.0</v>
      </c>
      <c r="BY145" s="2">
        <v>1.0</v>
      </c>
      <c r="BZ145" s="2">
        <v>1.0</v>
      </c>
      <c r="CB145" s="2"/>
      <c r="CC145" s="2"/>
      <c r="CD145" s="2"/>
      <c r="CE145" s="2"/>
      <c r="CF145" s="2"/>
      <c r="CG145" s="2"/>
      <c r="CH145" s="2"/>
      <c r="CI145" s="2"/>
      <c r="CJ145" s="2"/>
      <c r="CK145" s="2"/>
      <c r="CL145" s="2"/>
      <c r="CM145" s="2"/>
      <c r="CN145" s="2"/>
      <c r="CO145" s="2"/>
      <c r="CP145" s="2"/>
      <c r="CQ145" s="2"/>
    </row>
    <row r="146">
      <c r="BI146" s="38" t="str">
        <f>IFERROR(__xludf.DUMMYFUNCTION("""COMPUTED_VALUE"""),"Ball Bearings")</f>
        <v>Ball Bearings</v>
      </c>
      <c r="BJ146" s="2">
        <v>1.5</v>
      </c>
      <c r="BK146" s="2">
        <v>1.0</v>
      </c>
      <c r="BL146" s="2">
        <v>1.0</v>
      </c>
      <c r="BM146" s="2">
        <v>1.0</v>
      </c>
      <c r="BN146" s="2">
        <v>1.0</v>
      </c>
      <c r="BO146" s="2">
        <v>1.0</v>
      </c>
      <c r="BP146" s="2">
        <v>1.0</v>
      </c>
      <c r="BQ146" s="2">
        <v>1.0</v>
      </c>
      <c r="BR146" s="2">
        <v>1.0</v>
      </c>
      <c r="BS146" s="2">
        <v>1.0</v>
      </c>
      <c r="BT146" s="2">
        <v>1.0</v>
      </c>
      <c r="BU146" s="2">
        <v>1.0</v>
      </c>
      <c r="BV146" s="2">
        <v>1.0</v>
      </c>
      <c r="BW146" s="2">
        <v>1.0</v>
      </c>
      <c r="BX146" s="2">
        <v>1.0</v>
      </c>
      <c r="BY146" s="2">
        <v>1.0</v>
      </c>
      <c r="BZ146" s="2">
        <v>1.0</v>
      </c>
      <c r="CB146" s="2"/>
      <c r="CC146" s="2"/>
      <c r="CD146" s="2"/>
      <c r="CE146" s="2"/>
      <c r="CF146" s="2"/>
      <c r="CG146" s="2"/>
      <c r="CH146" s="2"/>
      <c r="CI146" s="2"/>
      <c r="CJ146" s="2"/>
      <c r="CK146" s="2"/>
      <c r="CL146" s="2"/>
      <c r="CM146" s="2"/>
      <c r="CN146" s="2"/>
      <c r="CO146" s="2"/>
      <c r="CP146" s="2"/>
      <c r="CQ146" s="2"/>
    </row>
    <row r="147">
      <c r="BI147" s="38" t="str">
        <f>IFERROR(__xludf.DUMMYFUNCTION("""COMPUTED_VALUE"""),"Crowbar")</f>
        <v>Crowbar</v>
      </c>
      <c r="BJ147" s="2">
        <v>0.5</v>
      </c>
      <c r="BK147" s="2">
        <v>1.0</v>
      </c>
      <c r="BL147" s="2">
        <v>1.0</v>
      </c>
      <c r="BM147" s="2">
        <v>1.0</v>
      </c>
      <c r="BN147" s="2">
        <v>1.0</v>
      </c>
      <c r="BO147" s="2">
        <v>1.0</v>
      </c>
      <c r="BP147" s="2">
        <v>1.0</v>
      </c>
      <c r="BQ147" s="2">
        <v>1.0</v>
      </c>
      <c r="BR147" s="2">
        <v>1.0</v>
      </c>
      <c r="BS147" s="2">
        <v>1.0</v>
      </c>
      <c r="BT147" s="2">
        <v>1.0</v>
      </c>
      <c r="BU147" s="2">
        <v>1.0</v>
      </c>
      <c r="BV147" s="2">
        <v>1.0</v>
      </c>
      <c r="BW147" s="2">
        <v>1.0</v>
      </c>
      <c r="BX147" s="2">
        <v>1.0</v>
      </c>
      <c r="BY147" s="2">
        <v>1.0</v>
      </c>
      <c r="BZ147" s="2">
        <v>1.0</v>
      </c>
      <c r="CB147" s="2"/>
      <c r="CC147" s="2"/>
      <c r="CD147" s="2"/>
      <c r="CE147" s="2"/>
      <c r="CF147" s="2"/>
      <c r="CG147" s="2"/>
      <c r="CH147" s="2"/>
      <c r="CI147" s="2"/>
      <c r="CJ147" s="2"/>
      <c r="CK147" s="2"/>
      <c r="CL147" s="2"/>
      <c r="CM147" s="2"/>
      <c r="CN147" s="2"/>
      <c r="CO147" s="2"/>
      <c r="CP147" s="2"/>
      <c r="CQ147" s="2"/>
    </row>
    <row r="148">
      <c r="BI148" s="38" t="str">
        <f>IFERROR(__xludf.DUMMYFUNCTION("""COMPUTED_VALUE"""),"Fishing Tackle")</f>
        <v>Fishing Tackle</v>
      </c>
      <c r="BJ148" s="2">
        <v>1.5</v>
      </c>
      <c r="BK148" s="2">
        <v>1.0</v>
      </c>
      <c r="BL148" s="2">
        <v>1.0</v>
      </c>
      <c r="BM148" s="2">
        <v>1.0</v>
      </c>
      <c r="BN148" s="2">
        <v>1.0</v>
      </c>
      <c r="BO148" s="2">
        <v>1.0</v>
      </c>
      <c r="BP148" s="2">
        <v>1.0</v>
      </c>
      <c r="BQ148" s="2">
        <v>1.0</v>
      </c>
      <c r="BR148" s="2">
        <v>1.0</v>
      </c>
      <c r="BS148" s="2">
        <v>1.0</v>
      </c>
      <c r="BT148" s="2">
        <v>1.0</v>
      </c>
      <c r="BU148" s="2">
        <v>1.0</v>
      </c>
      <c r="BV148" s="2">
        <v>1.0</v>
      </c>
      <c r="BW148" s="2">
        <v>1.0</v>
      </c>
      <c r="BX148" s="2">
        <v>1.0</v>
      </c>
      <c r="BY148" s="2">
        <v>1.0</v>
      </c>
      <c r="BZ148" s="2">
        <v>1.0</v>
      </c>
      <c r="CB148" s="2"/>
      <c r="CC148" s="2"/>
      <c r="CD148" s="2"/>
      <c r="CE148" s="2"/>
      <c r="CF148" s="2"/>
      <c r="CG148" s="2"/>
      <c r="CH148" s="2"/>
      <c r="CI148" s="2"/>
      <c r="CJ148" s="2"/>
      <c r="CK148" s="2"/>
      <c r="CL148" s="2"/>
      <c r="CM148" s="2"/>
      <c r="CN148" s="2"/>
      <c r="CO148" s="2"/>
      <c r="CP148" s="2"/>
      <c r="CQ148" s="2"/>
    </row>
    <row r="149">
      <c r="BI149" s="38" t="str">
        <f>IFERROR(__xludf.DUMMYFUNCTION("""COMPUTED_VALUE"""),"Hammer")</f>
        <v>Hammer</v>
      </c>
      <c r="BJ149" s="2">
        <v>1.5</v>
      </c>
      <c r="BK149" s="2">
        <v>1.0</v>
      </c>
      <c r="BL149" s="2">
        <v>1.0</v>
      </c>
      <c r="BM149" s="2">
        <v>1.0</v>
      </c>
      <c r="BN149" s="2">
        <v>1.0</v>
      </c>
      <c r="BO149" s="2">
        <v>1.0</v>
      </c>
      <c r="BP149" s="2">
        <v>1.0</v>
      </c>
      <c r="BQ149" s="2">
        <v>1.0</v>
      </c>
      <c r="BR149" s="2">
        <v>1.0</v>
      </c>
      <c r="BS149" s="2">
        <v>1.0</v>
      </c>
      <c r="BT149" s="2">
        <v>1.0</v>
      </c>
      <c r="BU149" s="2">
        <v>1.0</v>
      </c>
      <c r="BV149" s="2">
        <v>1.0</v>
      </c>
      <c r="BW149" s="2">
        <v>1.0</v>
      </c>
      <c r="BX149" s="2">
        <v>1.0</v>
      </c>
      <c r="BY149" s="2">
        <v>1.0</v>
      </c>
      <c r="BZ149" s="2">
        <v>1.0</v>
      </c>
      <c r="CB149" s="2"/>
      <c r="CC149" s="2"/>
      <c r="CD149" s="2"/>
      <c r="CE149" s="2"/>
      <c r="CF149" s="2"/>
      <c r="CG149" s="2"/>
      <c r="CH149" s="2"/>
      <c r="CI149" s="2"/>
      <c r="CJ149" s="2"/>
      <c r="CK149" s="2"/>
      <c r="CL149" s="2"/>
      <c r="CM149" s="2"/>
      <c r="CN149" s="2"/>
      <c r="CO149" s="2"/>
      <c r="CP149" s="2"/>
      <c r="CQ149" s="2"/>
    </row>
    <row r="150">
      <c r="BI150" s="38" t="str">
        <f>IFERROR(__xludf.DUMMYFUNCTION("""COMPUTED_VALUE"""),"Ink")</f>
        <v>Ink</v>
      </c>
      <c r="BJ150" s="2">
        <v>1.5</v>
      </c>
      <c r="BK150" s="2">
        <v>1.0</v>
      </c>
      <c r="BL150" s="2">
        <v>1.0</v>
      </c>
      <c r="BM150" s="2">
        <v>1.0</v>
      </c>
      <c r="BN150" s="2">
        <v>1.0</v>
      </c>
      <c r="BO150" s="2">
        <v>1.0</v>
      </c>
      <c r="BP150" s="2">
        <v>1.0</v>
      </c>
      <c r="BQ150" s="2">
        <v>1.0</v>
      </c>
      <c r="BR150" s="2">
        <v>1.0</v>
      </c>
      <c r="BS150" s="2">
        <v>1.0</v>
      </c>
      <c r="BT150" s="2">
        <v>1.0</v>
      </c>
      <c r="BU150" s="2">
        <v>1.0</v>
      </c>
      <c r="BV150" s="2">
        <v>1.0</v>
      </c>
      <c r="BW150" s="2">
        <v>1.0</v>
      </c>
      <c r="BX150" s="2">
        <v>1.0</v>
      </c>
      <c r="BY150" s="2">
        <v>1.0</v>
      </c>
      <c r="BZ150" s="2">
        <v>1.0</v>
      </c>
      <c r="CB150" s="2"/>
      <c r="CC150" s="2"/>
      <c r="CD150" s="2"/>
      <c r="CE150" s="2"/>
      <c r="CF150" s="2"/>
      <c r="CG150" s="2"/>
      <c r="CH150" s="2"/>
      <c r="CI150" s="2"/>
      <c r="CJ150" s="2"/>
      <c r="CK150" s="2"/>
      <c r="CL150" s="2"/>
      <c r="CM150" s="2"/>
      <c r="CN150" s="2"/>
      <c r="CO150" s="2"/>
      <c r="CP150" s="2"/>
      <c r="CQ150" s="2"/>
    </row>
    <row r="151">
      <c r="BI151" s="38" t="str">
        <f>IFERROR(__xludf.DUMMYFUNCTION("""COMPUTED_VALUE"""),"Ink Pen")</f>
        <v>Ink Pen</v>
      </c>
      <c r="BJ151" s="2">
        <v>1.5</v>
      </c>
      <c r="BK151" s="2">
        <v>1.0</v>
      </c>
      <c r="BL151" s="2">
        <v>1.0</v>
      </c>
      <c r="BM151" s="2">
        <v>1.0</v>
      </c>
      <c r="BN151" s="2">
        <v>1.0</v>
      </c>
      <c r="BO151" s="2">
        <v>1.0</v>
      </c>
      <c r="BP151" s="2">
        <v>1.0</v>
      </c>
      <c r="BQ151" s="2">
        <v>1.0</v>
      </c>
      <c r="BR151" s="2">
        <v>1.0</v>
      </c>
      <c r="BS151" s="2">
        <v>1.0</v>
      </c>
      <c r="BT151" s="2">
        <v>1.0</v>
      </c>
      <c r="BU151" s="2">
        <v>1.0</v>
      </c>
      <c r="BV151" s="2">
        <v>1.0</v>
      </c>
      <c r="BW151" s="2">
        <v>1.0</v>
      </c>
      <c r="BX151" s="2">
        <v>1.0</v>
      </c>
      <c r="BY151" s="2">
        <v>1.0</v>
      </c>
      <c r="BZ151" s="2">
        <v>1.0</v>
      </c>
      <c r="CB151" s="2"/>
      <c r="CC151" s="2"/>
      <c r="CD151" s="2"/>
      <c r="CE151" s="2"/>
      <c r="CF151" s="2"/>
      <c r="CG151" s="2"/>
      <c r="CH151" s="2"/>
      <c r="CI151" s="2"/>
      <c r="CJ151" s="2"/>
      <c r="CK151" s="2"/>
      <c r="CL151" s="2"/>
      <c r="CM151" s="2"/>
      <c r="CN151" s="2"/>
      <c r="CO151" s="2"/>
      <c r="CP151" s="2"/>
      <c r="CQ151" s="2"/>
    </row>
    <row r="152">
      <c r="BI152" s="38" t="str">
        <f>IFERROR(__xludf.DUMMYFUNCTION("""COMPUTED_VALUE"""),"Iron Spikes")</f>
        <v>Iron Spikes</v>
      </c>
      <c r="BJ152" s="2">
        <v>1.5</v>
      </c>
      <c r="BK152" s="2">
        <v>1.0</v>
      </c>
      <c r="BL152" s="2">
        <v>1.0</v>
      </c>
      <c r="BM152" s="2">
        <v>1.0</v>
      </c>
      <c r="BN152" s="2">
        <v>1.0</v>
      </c>
      <c r="BO152" s="2">
        <v>1.0</v>
      </c>
      <c r="BP152" s="2">
        <v>1.0</v>
      </c>
      <c r="BQ152" s="2">
        <v>1.0</v>
      </c>
      <c r="BR152" s="2">
        <v>1.0</v>
      </c>
      <c r="BS152" s="2">
        <v>1.0</v>
      </c>
      <c r="BT152" s="2">
        <v>1.0</v>
      </c>
      <c r="BU152" s="2">
        <v>1.0</v>
      </c>
      <c r="BV152" s="2">
        <v>1.0</v>
      </c>
      <c r="BW152" s="2">
        <v>1.0</v>
      </c>
      <c r="BX152" s="2">
        <v>1.0</v>
      </c>
      <c r="BY152" s="2">
        <v>1.0</v>
      </c>
      <c r="BZ152" s="2">
        <v>1.0</v>
      </c>
      <c r="CB152" s="2"/>
      <c r="CC152" s="2"/>
      <c r="CD152" s="2"/>
      <c r="CE152" s="2"/>
      <c r="CF152" s="2"/>
      <c r="CG152" s="2"/>
      <c r="CH152" s="2"/>
      <c r="CI152" s="2"/>
      <c r="CJ152" s="2"/>
      <c r="CK152" s="2"/>
      <c r="CL152" s="2"/>
      <c r="CM152" s="2"/>
      <c r="CN152" s="2"/>
      <c r="CO152" s="2"/>
      <c r="CP152" s="2"/>
      <c r="CQ152" s="2"/>
    </row>
    <row r="153">
      <c r="BI153" s="38" t="str">
        <f>IFERROR(__xludf.DUMMYFUNCTION("""COMPUTED_VALUE"""),"Lock")</f>
        <v>Lock</v>
      </c>
      <c r="BJ153" s="2">
        <v>1.5</v>
      </c>
      <c r="BK153" s="2">
        <v>1.0</v>
      </c>
      <c r="BL153" s="2">
        <v>1.0</v>
      </c>
      <c r="BM153" s="2">
        <v>1.0</v>
      </c>
      <c r="BN153" s="2">
        <v>1.0</v>
      </c>
      <c r="BO153" s="2">
        <v>1.0</v>
      </c>
      <c r="BP153" s="2">
        <v>1.0</v>
      </c>
      <c r="BQ153" s="2">
        <v>1.0</v>
      </c>
      <c r="BR153" s="2">
        <v>1.0</v>
      </c>
      <c r="BS153" s="2">
        <v>1.0</v>
      </c>
      <c r="BT153" s="2">
        <v>1.0</v>
      </c>
      <c r="BU153" s="2">
        <v>1.0</v>
      </c>
      <c r="BV153" s="2">
        <v>1.0</v>
      </c>
      <c r="BW153" s="2">
        <v>1.0</v>
      </c>
      <c r="BX153" s="2">
        <v>1.0</v>
      </c>
      <c r="BY153" s="2">
        <v>1.0</v>
      </c>
      <c r="BZ153" s="2">
        <v>1.0</v>
      </c>
      <c r="CB153" s="2"/>
      <c r="CC153" s="2"/>
      <c r="CD153" s="2"/>
      <c r="CE153" s="2"/>
      <c r="CF153" s="2"/>
      <c r="CG153" s="2"/>
      <c r="CH153" s="2"/>
      <c r="CI153" s="2"/>
      <c r="CJ153" s="2"/>
      <c r="CK153" s="2"/>
      <c r="CL153" s="2"/>
      <c r="CM153" s="2"/>
      <c r="CN153" s="2"/>
      <c r="CO153" s="2"/>
      <c r="CP153" s="2"/>
      <c r="CQ153" s="2"/>
    </row>
    <row r="154">
      <c r="BI154" s="38" t="str">
        <f>IFERROR(__xludf.DUMMYFUNCTION("""COMPUTED_VALUE"""),"Merchant's Scale")</f>
        <v>Merchant's Scale</v>
      </c>
      <c r="BJ154" s="2">
        <v>1.5</v>
      </c>
      <c r="BK154" s="2">
        <v>1.0</v>
      </c>
      <c r="BL154" s="2">
        <v>1.0</v>
      </c>
      <c r="BM154" s="2">
        <v>1.0</v>
      </c>
      <c r="BN154" s="2">
        <v>1.0</v>
      </c>
      <c r="BO154" s="2">
        <v>1.0</v>
      </c>
      <c r="BP154" s="2">
        <v>1.0</v>
      </c>
      <c r="BQ154" s="2">
        <v>1.0</v>
      </c>
      <c r="BR154" s="2">
        <v>1.0</v>
      </c>
      <c r="BS154" s="2">
        <v>1.0</v>
      </c>
      <c r="BT154" s="2">
        <v>1.0</v>
      </c>
      <c r="BU154" s="2">
        <v>1.0</v>
      </c>
      <c r="BV154" s="2">
        <v>1.0</v>
      </c>
      <c r="BW154" s="2">
        <v>1.0</v>
      </c>
      <c r="BX154" s="2">
        <v>1.0</v>
      </c>
      <c r="BY154" s="2">
        <v>1.0</v>
      </c>
      <c r="BZ154" s="2">
        <v>1.0</v>
      </c>
      <c r="CB154" s="2"/>
      <c r="CC154" s="2"/>
      <c r="CD154" s="2"/>
      <c r="CE154" s="2"/>
      <c r="CF154" s="2"/>
      <c r="CG154" s="2"/>
      <c r="CH154" s="2"/>
      <c r="CI154" s="2"/>
      <c r="CJ154" s="2"/>
      <c r="CK154" s="2"/>
      <c r="CL154" s="2"/>
      <c r="CM154" s="2"/>
      <c r="CN154" s="2"/>
      <c r="CO154" s="2"/>
      <c r="CP154" s="2"/>
      <c r="CQ154" s="2"/>
    </row>
    <row r="155">
      <c r="BI155" s="38" t="str">
        <f>IFERROR(__xludf.DUMMYFUNCTION("""COMPUTED_VALUE"""),"Portable Ram")</f>
        <v>Portable Ram</v>
      </c>
      <c r="BJ155" s="2">
        <v>0.5</v>
      </c>
      <c r="BK155" s="2">
        <v>1.0</v>
      </c>
      <c r="BL155" s="2">
        <v>1.0</v>
      </c>
      <c r="BM155" s="2">
        <v>1.0</v>
      </c>
      <c r="BN155" s="2">
        <v>1.0</v>
      </c>
      <c r="BO155" s="2">
        <v>1.0</v>
      </c>
      <c r="BP155" s="2">
        <v>1.0</v>
      </c>
      <c r="BQ155" s="2">
        <v>1.0</v>
      </c>
      <c r="BR155" s="2">
        <v>1.0</v>
      </c>
      <c r="BS155" s="2">
        <v>1.0</v>
      </c>
      <c r="BT155" s="2">
        <v>1.0</v>
      </c>
      <c r="BU155" s="2">
        <v>1.0</v>
      </c>
      <c r="BV155" s="2">
        <v>1.0</v>
      </c>
      <c r="BW155" s="2">
        <v>1.0</v>
      </c>
      <c r="BX155" s="2">
        <v>1.0</v>
      </c>
      <c r="BY155" s="2">
        <v>1.0</v>
      </c>
      <c r="BZ155" s="2">
        <v>1.0</v>
      </c>
      <c r="CB155" s="2"/>
      <c r="CC155" s="2"/>
      <c r="CD155" s="2"/>
      <c r="CE155" s="2"/>
      <c r="CF155" s="2"/>
      <c r="CG155" s="2"/>
      <c r="CH155" s="2"/>
      <c r="CI155" s="2"/>
      <c r="CJ155" s="2"/>
      <c r="CK155" s="2"/>
      <c r="CL155" s="2"/>
      <c r="CM155" s="2"/>
      <c r="CN155" s="2"/>
      <c r="CO155" s="2"/>
      <c r="CP155" s="2"/>
      <c r="CQ155" s="2"/>
    </row>
    <row r="156">
      <c r="BI156" s="38" t="str">
        <f>IFERROR(__xludf.DUMMYFUNCTION("""COMPUTED_VALUE"""),"Shovel")</f>
        <v>Shovel</v>
      </c>
      <c r="BJ156" s="2">
        <v>1.5</v>
      </c>
      <c r="BK156" s="2">
        <v>1.0</v>
      </c>
      <c r="BL156" s="2">
        <v>1.0</v>
      </c>
      <c r="BM156" s="2">
        <v>1.0</v>
      </c>
      <c r="BN156" s="2">
        <v>1.0</v>
      </c>
      <c r="BO156" s="2">
        <v>1.0</v>
      </c>
      <c r="BP156" s="2">
        <v>1.0</v>
      </c>
      <c r="BQ156" s="2">
        <v>1.0</v>
      </c>
      <c r="BR156" s="2">
        <v>1.0</v>
      </c>
      <c r="BS156" s="2">
        <v>1.0</v>
      </c>
      <c r="BT156" s="2">
        <v>1.0</v>
      </c>
      <c r="BU156" s="2">
        <v>1.0</v>
      </c>
      <c r="BV156" s="2">
        <v>1.0</v>
      </c>
      <c r="BW156" s="2">
        <v>1.0</v>
      </c>
      <c r="BX156" s="2">
        <v>1.0</v>
      </c>
      <c r="BY156" s="2">
        <v>1.0</v>
      </c>
      <c r="BZ156" s="2">
        <v>1.0</v>
      </c>
      <c r="CB156" s="2"/>
      <c r="CC156" s="2"/>
      <c r="CD156" s="2"/>
      <c r="CE156" s="2"/>
      <c r="CF156" s="2"/>
      <c r="CG156" s="2"/>
      <c r="CH156" s="2"/>
      <c r="CI156" s="2"/>
      <c r="CJ156" s="2"/>
      <c r="CK156" s="2"/>
      <c r="CL156" s="2"/>
      <c r="CM156" s="2"/>
      <c r="CN156" s="2"/>
      <c r="CO156" s="2"/>
      <c r="CP156" s="2"/>
      <c r="CQ156" s="2"/>
    </row>
    <row r="157">
      <c r="BI157" s="38" t="str">
        <f>IFERROR(__xludf.DUMMYFUNCTION("""COMPUTED_VALUE"""),"Sledgehammer")</f>
        <v>Sledgehammer</v>
      </c>
      <c r="BJ157" s="2">
        <v>1.5</v>
      </c>
      <c r="BK157" s="2">
        <v>1.0</v>
      </c>
      <c r="BL157" s="2">
        <v>1.0</v>
      </c>
      <c r="BM157" s="2">
        <v>1.0</v>
      </c>
      <c r="BN157" s="2">
        <v>1.0</v>
      </c>
      <c r="BO157" s="2">
        <v>1.0</v>
      </c>
      <c r="BP157" s="2">
        <v>1.0</v>
      </c>
      <c r="BQ157" s="2">
        <v>1.0</v>
      </c>
      <c r="BR157" s="2">
        <v>1.0</v>
      </c>
      <c r="BS157" s="2">
        <v>1.0</v>
      </c>
      <c r="BT157" s="2">
        <v>1.0</v>
      </c>
      <c r="BU157" s="2">
        <v>1.0</v>
      </c>
      <c r="BV157" s="2">
        <v>1.0</v>
      </c>
      <c r="BW157" s="2">
        <v>1.0</v>
      </c>
      <c r="BX157" s="2">
        <v>1.0</v>
      </c>
      <c r="BY157" s="2">
        <v>1.0</v>
      </c>
      <c r="BZ157" s="2">
        <v>1.0</v>
      </c>
      <c r="CB157" s="2"/>
      <c r="CC157" s="2"/>
      <c r="CD157" s="2"/>
      <c r="CE157" s="2"/>
      <c r="CF157" s="2"/>
      <c r="CG157" s="2"/>
      <c r="CH157" s="2"/>
      <c r="CI157" s="2"/>
      <c r="CJ157" s="2"/>
      <c r="CK157" s="2"/>
      <c r="CL157" s="2"/>
      <c r="CM157" s="2"/>
      <c r="CN157" s="2"/>
      <c r="CO157" s="2"/>
      <c r="CP157" s="2"/>
      <c r="CQ157" s="2"/>
    </row>
    <row r="158">
      <c r="BI158" s="38" t="str">
        <f>IFERROR(__xludf.DUMMYFUNCTION("""COMPUTED_VALUE"""),"Whetstone")</f>
        <v>Whetstone</v>
      </c>
      <c r="BJ158" s="2">
        <v>1.5</v>
      </c>
      <c r="BK158" s="2">
        <v>1.0</v>
      </c>
      <c r="BL158" s="2">
        <v>1.0</v>
      </c>
      <c r="BM158" s="2">
        <v>1.0</v>
      </c>
      <c r="BN158" s="2">
        <v>1.0</v>
      </c>
      <c r="BO158" s="2">
        <v>1.0</v>
      </c>
      <c r="BP158" s="2">
        <v>1.0</v>
      </c>
      <c r="BQ158" s="2">
        <v>1.0</v>
      </c>
      <c r="BR158" s="2">
        <v>1.0</v>
      </c>
      <c r="BS158" s="2">
        <v>1.0</v>
      </c>
      <c r="BT158" s="2">
        <v>1.0</v>
      </c>
      <c r="BU158" s="2">
        <v>1.0</v>
      </c>
      <c r="BV158" s="2">
        <v>1.0</v>
      </c>
      <c r="BW158" s="2">
        <v>1.0</v>
      </c>
      <c r="BX158" s="2">
        <v>1.0</v>
      </c>
      <c r="BY158" s="2">
        <v>1.0</v>
      </c>
      <c r="BZ158" s="2">
        <v>1.0</v>
      </c>
      <c r="CB158" s="2"/>
      <c r="CC158" s="2"/>
      <c r="CD158" s="2"/>
      <c r="CE158" s="2"/>
      <c r="CF158" s="2"/>
      <c r="CG158" s="2"/>
      <c r="CH158" s="2"/>
      <c r="CI158" s="2"/>
      <c r="CJ158" s="2"/>
      <c r="CK158" s="2"/>
      <c r="CL158" s="2"/>
      <c r="CM158" s="2"/>
      <c r="CN158" s="2"/>
      <c r="CO158" s="2"/>
      <c r="CP158" s="2"/>
      <c r="CQ158" s="2"/>
    </row>
    <row r="159">
      <c r="BI159" s="38" t="str">
        <f>IFERROR(__xludf.DUMMYFUNCTION("""COMPUTED_VALUE"""),"Hansom (Intercity)")</f>
        <v>Hansom (Intercity)</v>
      </c>
      <c r="BJ159" s="2">
        <v>100.0</v>
      </c>
      <c r="BK159" s="2">
        <v>1.0</v>
      </c>
      <c r="BL159" s="2">
        <v>1.0</v>
      </c>
      <c r="BM159" s="2">
        <v>1.0</v>
      </c>
      <c r="BN159" s="2">
        <v>1.0</v>
      </c>
      <c r="BO159" s="2">
        <v>1.0</v>
      </c>
      <c r="BP159" s="2">
        <v>1.0</v>
      </c>
      <c r="BQ159" s="2">
        <v>1.0</v>
      </c>
      <c r="BR159" s="2">
        <v>1.0</v>
      </c>
      <c r="BS159" s="2">
        <v>1.0</v>
      </c>
      <c r="BT159" s="2">
        <v>1.0</v>
      </c>
      <c r="BU159" s="2">
        <v>1.0</v>
      </c>
      <c r="BV159" s="2">
        <v>1.0</v>
      </c>
      <c r="BW159" s="2">
        <v>1.0</v>
      </c>
      <c r="BX159" s="2">
        <v>1.0</v>
      </c>
      <c r="BY159" s="2">
        <v>1.0</v>
      </c>
      <c r="BZ159" s="2">
        <v>1.0</v>
      </c>
      <c r="CB159" s="2"/>
      <c r="CC159" s="2"/>
      <c r="CD159" s="2"/>
      <c r="CE159" s="2"/>
      <c r="CF159" s="2"/>
      <c r="CG159" s="2"/>
      <c r="CH159" s="2"/>
      <c r="CI159" s="2"/>
      <c r="CJ159" s="2"/>
      <c r="CK159" s="2"/>
      <c r="CL159" s="2"/>
      <c r="CM159" s="2"/>
      <c r="CN159" s="2"/>
      <c r="CO159" s="2"/>
      <c r="CP159" s="2"/>
      <c r="CQ159" s="2"/>
    </row>
    <row r="160">
      <c r="BI160" s="38" t="str">
        <f>IFERROR(__xludf.DUMMYFUNCTION("""COMPUTED_VALUE"""),"Hansom (Local)")</f>
        <v>Hansom (Local)</v>
      </c>
      <c r="BJ160" s="2">
        <v>100.0</v>
      </c>
      <c r="BK160" s="2">
        <v>1.0</v>
      </c>
      <c r="BL160" s="2">
        <v>1.0</v>
      </c>
      <c r="BM160" s="2">
        <v>1.0</v>
      </c>
      <c r="BN160" s="2">
        <v>1.0</v>
      </c>
      <c r="BO160" s="2">
        <v>1.0</v>
      </c>
      <c r="BP160" s="2">
        <v>1.0</v>
      </c>
      <c r="BQ160" s="2">
        <v>1.0</v>
      </c>
      <c r="BR160" s="2">
        <v>1.0</v>
      </c>
      <c r="BS160" s="2">
        <v>1.0</v>
      </c>
      <c r="BT160" s="2">
        <v>1.0</v>
      </c>
      <c r="BU160" s="2">
        <v>1.0</v>
      </c>
      <c r="BV160" s="2">
        <v>1.0</v>
      </c>
      <c r="BW160" s="2">
        <v>1.0</v>
      </c>
      <c r="BX160" s="2">
        <v>1.0</v>
      </c>
      <c r="BY160" s="2">
        <v>1.0</v>
      </c>
      <c r="BZ160" s="2">
        <v>1.0</v>
      </c>
      <c r="CB160" s="2"/>
      <c r="CC160" s="2"/>
      <c r="CD160" s="2"/>
      <c r="CE160" s="2"/>
      <c r="CF160" s="2"/>
      <c r="CG160" s="2"/>
      <c r="CH160" s="2"/>
      <c r="CI160" s="2"/>
      <c r="CJ160" s="2"/>
      <c r="CK160" s="2"/>
      <c r="CL160" s="2"/>
      <c r="CM160" s="2"/>
      <c r="CN160" s="2"/>
      <c r="CO160" s="2"/>
      <c r="CP160" s="2"/>
      <c r="CQ160" s="2"/>
    </row>
    <row r="161">
      <c r="BI161" s="38" t="str">
        <f>IFERROR(__xludf.DUMMYFUNCTION("""COMPUTED_VALUE"""),"Carriage")</f>
        <v>Carriage</v>
      </c>
      <c r="BJ161" s="2">
        <v>1.5</v>
      </c>
      <c r="BK161" s="2">
        <v>1.0</v>
      </c>
      <c r="BL161" s="2">
        <v>1.0</v>
      </c>
      <c r="BM161" s="2">
        <v>1.0</v>
      </c>
      <c r="BN161" s="2">
        <v>1.0</v>
      </c>
      <c r="BO161" s="2">
        <v>1.0</v>
      </c>
      <c r="BP161" s="2">
        <v>1.0</v>
      </c>
      <c r="BQ161" s="2">
        <v>1.0</v>
      </c>
      <c r="BR161" s="2">
        <v>1.0</v>
      </c>
      <c r="BS161" s="2">
        <v>1.0</v>
      </c>
      <c r="BT161" s="2">
        <v>1.0</v>
      </c>
      <c r="BU161" s="2">
        <v>1.0</v>
      </c>
      <c r="BV161" s="2">
        <v>1.0</v>
      </c>
      <c r="BW161" s="2">
        <v>1.0</v>
      </c>
      <c r="BX161" s="2">
        <v>1.0</v>
      </c>
      <c r="BY161" s="2">
        <v>1.0</v>
      </c>
      <c r="BZ161" s="2">
        <v>1.0</v>
      </c>
      <c r="CB161" s="2"/>
      <c r="CC161" s="2"/>
      <c r="CD161" s="2"/>
      <c r="CE161" s="2"/>
      <c r="CF161" s="2"/>
      <c r="CG161" s="2"/>
      <c r="CH161" s="2"/>
      <c r="CI161" s="2"/>
      <c r="CJ161" s="2"/>
      <c r="CK161" s="2"/>
      <c r="CL161" s="2"/>
      <c r="CM161" s="2"/>
      <c r="CN161" s="2"/>
      <c r="CO161" s="2"/>
      <c r="CP161" s="2"/>
      <c r="CQ161" s="2"/>
    </row>
    <row r="162">
      <c r="BI162" s="38" t="str">
        <f>IFERROR(__xludf.DUMMYFUNCTION("""COMPUTED_VALUE"""),"Cart")</f>
        <v>Cart</v>
      </c>
      <c r="BJ162" s="2">
        <v>1.5</v>
      </c>
      <c r="BK162" s="2">
        <v>1.0</v>
      </c>
      <c r="BL162" s="2">
        <v>1.0</v>
      </c>
      <c r="BM162" s="2">
        <v>1.0</v>
      </c>
      <c r="BN162" s="2">
        <v>1.0</v>
      </c>
      <c r="BO162" s="2">
        <v>1.0</v>
      </c>
      <c r="BP162" s="2">
        <v>1.0</v>
      </c>
      <c r="BQ162" s="2">
        <v>1.0</v>
      </c>
      <c r="BR162" s="2">
        <v>1.0</v>
      </c>
      <c r="BS162" s="2">
        <v>1.0</v>
      </c>
      <c r="BT162" s="2">
        <v>1.0</v>
      </c>
      <c r="BU162" s="2">
        <v>1.0</v>
      </c>
      <c r="BV162" s="2">
        <v>1.0</v>
      </c>
      <c r="BW162" s="2">
        <v>1.0</v>
      </c>
      <c r="BX162" s="2">
        <v>1.0</v>
      </c>
      <c r="BY162" s="2">
        <v>1.0</v>
      </c>
      <c r="BZ162" s="2">
        <v>1.0</v>
      </c>
      <c r="CB162" s="2"/>
      <c r="CC162" s="2"/>
      <c r="CD162" s="2"/>
      <c r="CE162" s="2"/>
      <c r="CF162" s="2"/>
      <c r="CG162" s="2"/>
      <c r="CH162" s="2"/>
      <c r="CI162" s="2"/>
      <c r="CJ162" s="2"/>
      <c r="CK162" s="2"/>
      <c r="CL162" s="2"/>
      <c r="CM162" s="2"/>
      <c r="CN162" s="2"/>
      <c r="CO162" s="2"/>
      <c r="CP162" s="2"/>
      <c r="CQ162" s="2"/>
    </row>
    <row r="163">
      <c r="BI163" s="38" t="str">
        <f>IFERROR(__xludf.DUMMYFUNCTION("""COMPUTED_VALUE"""),"Chariot")</f>
        <v>Chariot</v>
      </c>
      <c r="BJ163" s="2">
        <v>1.5</v>
      </c>
      <c r="BK163" s="2">
        <v>1.0</v>
      </c>
      <c r="BL163" s="2">
        <v>1.0</v>
      </c>
      <c r="BM163" s="2">
        <v>1.0</v>
      </c>
      <c r="BN163" s="2">
        <v>1.0</v>
      </c>
      <c r="BO163" s="2">
        <v>1.0</v>
      </c>
      <c r="BP163" s="2">
        <v>1.0</v>
      </c>
      <c r="BQ163" s="2">
        <v>1.0</v>
      </c>
      <c r="BR163" s="2">
        <v>1.0</v>
      </c>
      <c r="BS163" s="2">
        <v>1.0</v>
      </c>
      <c r="BT163" s="2">
        <v>1.0</v>
      </c>
      <c r="BU163" s="2">
        <v>1.0</v>
      </c>
      <c r="BV163" s="2">
        <v>1.0</v>
      </c>
      <c r="BW163" s="2">
        <v>1.0</v>
      </c>
      <c r="BX163" s="2">
        <v>1.0</v>
      </c>
      <c r="BY163" s="2">
        <v>1.0</v>
      </c>
      <c r="BZ163" s="2">
        <v>1.0</v>
      </c>
      <c r="CB163" s="2"/>
      <c r="CC163" s="2"/>
      <c r="CD163" s="2"/>
      <c r="CE163" s="2"/>
      <c r="CF163" s="2"/>
      <c r="CG163" s="2"/>
      <c r="CH163" s="2"/>
      <c r="CI163" s="2"/>
      <c r="CJ163" s="2"/>
      <c r="CK163" s="2"/>
      <c r="CL163" s="2"/>
      <c r="CM163" s="2"/>
      <c r="CN163" s="2"/>
      <c r="CO163" s="2"/>
      <c r="CP163" s="2"/>
      <c r="CQ163" s="2"/>
    </row>
    <row r="164">
      <c r="BI164" s="38" t="str">
        <f>IFERROR(__xludf.DUMMYFUNCTION("""COMPUTED_VALUE"""),"Sled")</f>
        <v>Sled</v>
      </c>
      <c r="BJ164" s="2">
        <v>1.5</v>
      </c>
      <c r="BK164" s="2">
        <v>1.0</v>
      </c>
      <c r="BL164" s="2">
        <v>1.0</v>
      </c>
      <c r="BM164" s="2">
        <v>1.0</v>
      </c>
      <c r="BN164" s="2">
        <v>1.0</v>
      </c>
      <c r="BO164" s="2">
        <v>1.0</v>
      </c>
      <c r="BP164" s="2">
        <v>1.0</v>
      </c>
      <c r="BQ164" s="2">
        <v>1.0</v>
      </c>
      <c r="BR164" s="2">
        <v>1.0</v>
      </c>
      <c r="BS164" s="2">
        <v>1.0</v>
      </c>
      <c r="BT164" s="2">
        <v>1.0</v>
      </c>
      <c r="BU164" s="2">
        <v>1.0</v>
      </c>
      <c r="BV164" s="2">
        <v>1.0</v>
      </c>
      <c r="BW164" s="2">
        <v>1.0</v>
      </c>
      <c r="BX164" s="2">
        <v>1.0</v>
      </c>
      <c r="BY164" s="2">
        <v>1.0</v>
      </c>
      <c r="BZ164" s="2">
        <v>1.0</v>
      </c>
      <c r="CB164" s="2"/>
      <c r="CC164" s="2"/>
      <c r="CD164" s="2"/>
      <c r="CE164" s="2"/>
      <c r="CF164" s="2"/>
      <c r="CG164" s="2"/>
      <c r="CH164" s="2"/>
      <c r="CI164" s="2"/>
      <c r="CJ164" s="2"/>
      <c r="CK164" s="2"/>
      <c r="CL164" s="2"/>
      <c r="CM164" s="2"/>
      <c r="CN164" s="2"/>
      <c r="CO164" s="2"/>
      <c r="CP164" s="2"/>
      <c r="CQ164" s="2"/>
    </row>
    <row r="165">
      <c r="BI165" s="38" t="str">
        <f>IFERROR(__xludf.DUMMYFUNCTION("""COMPUTED_VALUE"""),"Wagon")</f>
        <v>Wagon</v>
      </c>
      <c r="BJ165" s="2">
        <v>1.5</v>
      </c>
      <c r="BK165" s="2">
        <v>1.0</v>
      </c>
      <c r="BL165" s="2">
        <v>1.0</v>
      </c>
      <c r="BM165" s="2">
        <v>1.0</v>
      </c>
      <c r="BN165" s="2">
        <v>1.0</v>
      </c>
      <c r="BO165" s="2">
        <v>1.0</v>
      </c>
      <c r="BP165" s="2">
        <v>1.0</v>
      </c>
      <c r="BQ165" s="2">
        <v>1.0</v>
      </c>
      <c r="BR165" s="2">
        <v>1.0</v>
      </c>
      <c r="BS165" s="2">
        <v>1.0</v>
      </c>
      <c r="BT165" s="2">
        <v>1.0</v>
      </c>
      <c r="BU165" s="2">
        <v>1.0</v>
      </c>
      <c r="BV165" s="2">
        <v>1.0</v>
      </c>
      <c r="BW165" s="2">
        <v>1.0</v>
      </c>
      <c r="BX165" s="2">
        <v>1.0</v>
      </c>
      <c r="BY165" s="2">
        <v>1.0</v>
      </c>
      <c r="BZ165" s="2">
        <v>1.0</v>
      </c>
      <c r="CB165" s="2"/>
      <c r="CC165" s="2"/>
      <c r="CD165" s="2"/>
      <c r="CE165" s="2"/>
      <c r="CF165" s="2"/>
      <c r="CG165" s="2"/>
      <c r="CH165" s="2"/>
      <c r="CI165" s="2"/>
      <c r="CJ165" s="2"/>
      <c r="CK165" s="2"/>
      <c r="CL165" s="2"/>
      <c r="CM165" s="2"/>
      <c r="CN165" s="2"/>
      <c r="CO165" s="2"/>
      <c r="CP165" s="2"/>
      <c r="CQ165" s="2"/>
    </row>
    <row r="166">
      <c r="BI166" s="38" t="str">
        <f>IFERROR(__xludf.DUMMYFUNCTION("""COMPUTED_VALUE"""),"Acid")</f>
        <v>Acid</v>
      </c>
      <c r="BJ166" s="2">
        <v>1.5</v>
      </c>
      <c r="BK166" s="2">
        <v>1.0</v>
      </c>
      <c r="BL166" s="2">
        <v>1.0</v>
      </c>
      <c r="BM166" s="2">
        <v>1.0</v>
      </c>
      <c r="BN166" s="2">
        <v>1.0</v>
      </c>
      <c r="BO166" s="2">
        <v>1.0</v>
      </c>
      <c r="BP166" s="2">
        <v>1.0</v>
      </c>
      <c r="BQ166" s="2">
        <v>1.0</v>
      </c>
      <c r="BR166" s="2">
        <v>1.0</v>
      </c>
      <c r="BS166" s="2">
        <v>1.0</v>
      </c>
      <c r="BT166" s="2">
        <v>1.0</v>
      </c>
      <c r="BU166" s="2">
        <v>1.0</v>
      </c>
      <c r="BV166" s="2">
        <v>1.0</v>
      </c>
      <c r="BW166" s="2">
        <v>1.0</v>
      </c>
      <c r="BX166" s="2">
        <v>1.0</v>
      </c>
      <c r="BY166" s="2">
        <v>1.0</v>
      </c>
      <c r="BZ166" s="2">
        <v>1.0</v>
      </c>
      <c r="CB166" s="2"/>
      <c r="CC166" s="2"/>
      <c r="CD166" s="2"/>
      <c r="CE166" s="2"/>
      <c r="CF166" s="2"/>
      <c r="CG166" s="2"/>
      <c r="CH166" s="2"/>
      <c r="CI166" s="2"/>
      <c r="CJ166" s="2"/>
      <c r="CK166" s="2"/>
      <c r="CL166" s="2"/>
      <c r="CM166" s="2"/>
      <c r="CN166" s="2"/>
      <c r="CO166" s="2"/>
      <c r="CP166" s="2"/>
      <c r="CQ166" s="2"/>
    </row>
    <row r="167">
      <c r="BI167" s="38" t="str">
        <f>IFERROR(__xludf.DUMMYFUNCTION("""COMPUTED_VALUE"""),"Alchemist’s Fire")</f>
        <v>Alchemist’s Fire</v>
      </c>
      <c r="BJ167" s="2">
        <v>1.5</v>
      </c>
      <c r="BK167" s="2">
        <v>1.0</v>
      </c>
      <c r="BL167" s="2">
        <v>1.0</v>
      </c>
      <c r="BM167" s="2">
        <v>1.0</v>
      </c>
      <c r="BN167" s="2">
        <v>1.0</v>
      </c>
      <c r="BO167" s="2">
        <v>1.0</v>
      </c>
      <c r="BP167" s="2">
        <v>1.0</v>
      </c>
      <c r="BQ167" s="2">
        <v>1.0</v>
      </c>
      <c r="BR167" s="2">
        <v>1.0</v>
      </c>
      <c r="BS167" s="2">
        <v>1.0</v>
      </c>
      <c r="BT167" s="2">
        <v>1.0</v>
      </c>
      <c r="BU167" s="2">
        <v>1.0</v>
      </c>
      <c r="BV167" s="2">
        <v>1.0</v>
      </c>
      <c r="BW167" s="2">
        <v>1.0</v>
      </c>
      <c r="BX167" s="2">
        <v>1.0</v>
      </c>
      <c r="BY167" s="2">
        <v>1.0</v>
      </c>
      <c r="BZ167" s="2">
        <v>1.0</v>
      </c>
      <c r="CB167" s="2"/>
      <c r="CC167" s="2"/>
      <c r="CD167" s="2"/>
      <c r="CE167" s="2"/>
      <c r="CF167" s="2"/>
      <c r="CG167" s="2"/>
      <c r="CH167" s="2"/>
      <c r="CI167" s="2"/>
      <c r="CJ167" s="2"/>
      <c r="CK167" s="2"/>
      <c r="CL167" s="2"/>
      <c r="CM167" s="2"/>
      <c r="CN167" s="2"/>
      <c r="CO167" s="2"/>
      <c r="CP167" s="2"/>
      <c r="CQ167" s="2"/>
    </row>
    <row r="168">
      <c r="BI168" s="38" t="str">
        <f>IFERROR(__xludf.DUMMYFUNCTION("""COMPUTED_VALUE"""),"Arcane Focus (Crystal)")</f>
        <v>Arcane Focus (Crystal)</v>
      </c>
      <c r="BJ168" s="2">
        <v>1.5</v>
      </c>
      <c r="BK168" s="2">
        <v>1.0</v>
      </c>
      <c r="BL168" s="2">
        <v>1.0</v>
      </c>
      <c r="BM168" s="2">
        <v>1.0</v>
      </c>
      <c r="BN168" s="2">
        <v>1.0</v>
      </c>
      <c r="BO168" s="2">
        <v>1.0</v>
      </c>
      <c r="BP168" s="2">
        <v>1.0</v>
      </c>
      <c r="BQ168" s="2">
        <v>1.0</v>
      </c>
      <c r="BR168" s="2">
        <v>1.0</v>
      </c>
      <c r="BS168" s="2">
        <v>1.0</v>
      </c>
      <c r="BT168" s="2">
        <v>1.0</v>
      </c>
      <c r="BU168" s="2">
        <v>1.0</v>
      </c>
      <c r="BV168" s="2">
        <v>1.0</v>
      </c>
      <c r="BW168" s="2">
        <v>1.0</v>
      </c>
      <c r="BX168" s="2">
        <v>1.0</v>
      </c>
      <c r="BY168" s="2">
        <v>1.0</v>
      </c>
      <c r="BZ168" s="2">
        <v>1.0</v>
      </c>
      <c r="CB168" s="2"/>
      <c r="CC168" s="2"/>
      <c r="CD168" s="2"/>
      <c r="CE168" s="2"/>
      <c r="CF168" s="2"/>
      <c r="CG168" s="2"/>
      <c r="CH168" s="2"/>
      <c r="CI168" s="2"/>
      <c r="CJ168" s="2"/>
      <c r="CK168" s="2"/>
      <c r="CL168" s="2"/>
      <c r="CM168" s="2"/>
      <c r="CN168" s="2"/>
      <c r="CO168" s="2"/>
      <c r="CP168" s="2"/>
      <c r="CQ168" s="2"/>
    </row>
    <row r="169">
      <c r="BI169" s="38" t="str">
        <f>IFERROR(__xludf.DUMMYFUNCTION("""COMPUTED_VALUE"""),"Arcane Focus (Orb)")</f>
        <v>Arcane Focus (Orb)</v>
      </c>
      <c r="BJ169" s="2">
        <v>1.5</v>
      </c>
      <c r="BK169" s="2">
        <v>1.0</v>
      </c>
      <c r="BL169" s="2">
        <v>1.0</v>
      </c>
      <c r="BM169" s="2">
        <v>1.0</v>
      </c>
      <c r="BN169" s="2">
        <v>1.0</v>
      </c>
      <c r="BO169" s="2">
        <v>1.0</v>
      </c>
      <c r="BP169" s="2">
        <v>1.0</v>
      </c>
      <c r="BQ169" s="2">
        <v>1.0</v>
      </c>
      <c r="BR169" s="2">
        <v>1.0</v>
      </c>
      <c r="BS169" s="2">
        <v>1.0</v>
      </c>
      <c r="BT169" s="2">
        <v>1.0</v>
      </c>
      <c r="BU169" s="2">
        <v>1.0</v>
      </c>
      <c r="BV169" s="2">
        <v>1.0</v>
      </c>
      <c r="BW169" s="2">
        <v>1.0</v>
      </c>
      <c r="BX169" s="2">
        <v>1.0</v>
      </c>
      <c r="BY169" s="2">
        <v>1.0</v>
      </c>
      <c r="BZ169" s="2">
        <v>1.0</v>
      </c>
      <c r="CB169" s="2"/>
      <c r="CC169" s="2"/>
      <c r="CD169" s="2"/>
      <c r="CE169" s="2"/>
      <c r="CF169" s="2"/>
      <c r="CG169" s="2"/>
      <c r="CH169" s="2"/>
      <c r="CI169" s="2"/>
      <c r="CJ169" s="2"/>
      <c r="CK169" s="2"/>
      <c r="CL169" s="2"/>
      <c r="CM169" s="2"/>
      <c r="CN169" s="2"/>
      <c r="CO169" s="2"/>
      <c r="CP169" s="2"/>
      <c r="CQ169" s="2"/>
    </row>
    <row r="170">
      <c r="BI170" s="38" t="str">
        <f>IFERROR(__xludf.DUMMYFUNCTION("""COMPUTED_VALUE"""),"Arcane Focus (Rod)")</f>
        <v>Arcane Focus (Rod)</v>
      </c>
      <c r="BJ170" s="2">
        <v>1.5</v>
      </c>
      <c r="BK170" s="2">
        <v>1.0</v>
      </c>
      <c r="BL170" s="2">
        <v>1.0</v>
      </c>
      <c r="BM170" s="2">
        <v>1.0</v>
      </c>
      <c r="BN170" s="2">
        <v>1.0</v>
      </c>
      <c r="BO170" s="2">
        <v>1.0</v>
      </c>
      <c r="BP170" s="2">
        <v>1.0</v>
      </c>
      <c r="BQ170" s="2">
        <v>1.0</v>
      </c>
      <c r="BR170" s="2">
        <v>1.0</v>
      </c>
      <c r="BS170" s="2">
        <v>1.0</v>
      </c>
      <c r="BT170" s="2">
        <v>1.0</v>
      </c>
      <c r="BU170" s="2">
        <v>1.0</v>
      </c>
      <c r="BV170" s="2">
        <v>1.0</v>
      </c>
      <c r="BW170" s="2">
        <v>1.0</v>
      </c>
      <c r="BX170" s="2">
        <v>1.0</v>
      </c>
      <c r="BY170" s="2">
        <v>1.0</v>
      </c>
      <c r="BZ170" s="2">
        <v>1.0</v>
      </c>
      <c r="CB170" s="2"/>
      <c r="CC170" s="2"/>
      <c r="CD170" s="2"/>
      <c r="CE170" s="2"/>
      <c r="CF170" s="2"/>
      <c r="CG170" s="2"/>
      <c r="CH170" s="2"/>
      <c r="CI170" s="2"/>
      <c r="CJ170" s="2"/>
      <c r="CK170" s="2"/>
      <c r="CL170" s="2"/>
      <c r="CM170" s="2"/>
      <c r="CN170" s="2"/>
      <c r="CO170" s="2"/>
      <c r="CP170" s="2"/>
      <c r="CQ170" s="2"/>
    </row>
    <row r="171">
      <c r="BI171" s="38" t="str">
        <f>IFERROR(__xludf.DUMMYFUNCTION("""COMPUTED_VALUE"""),"Arcane Focus (Staff)")</f>
        <v>Arcane Focus (Staff)</v>
      </c>
      <c r="BJ171" s="2">
        <v>1.5</v>
      </c>
      <c r="BK171" s="2">
        <v>1.0</v>
      </c>
      <c r="BL171" s="2">
        <v>1.0</v>
      </c>
      <c r="BM171" s="2">
        <v>1.0</v>
      </c>
      <c r="BN171" s="2">
        <v>1.0</v>
      </c>
      <c r="BO171" s="2">
        <v>1.0</v>
      </c>
      <c r="BP171" s="2">
        <v>1.0</v>
      </c>
      <c r="BQ171" s="2">
        <v>1.0</v>
      </c>
      <c r="BR171" s="2">
        <v>1.0</v>
      </c>
      <c r="BS171" s="2">
        <v>1.0</v>
      </c>
      <c r="BT171" s="2">
        <v>1.0</v>
      </c>
      <c r="BU171" s="2">
        <v>1.0</v>
      </c>
      <c r="BV171" s="2">
        <v>1.0</v>
      </c>
      <c r="BW171" s="2">
        <v>1.0</v>
      </c>
      <c r="BX171" s="2">
        <v>1.0</v>
      </c>
      <c r="BY171" s="2">
        <v>1.0</v>
      </c>
      <c r="BZ171" s="2">
        <v>1.0</v>
      </c>
      <c r="CB171" s="2"/>
      <c r="CC171" s="2"/>
      <c r="CD171" s="2"/>
      <c r="CE171" s="2"/>
      <c r="CF171" s="2"/>
      <c r="CG171" s="2"/>
      <c r="CH171" s="2"/>
      <c r="CI171" s="2"/>
      <c r="CJ171" s="2"/>
      <c r="CK171" s="2"/>
      <c r="CL171" s="2"/>
      <c r="CM171" s="2"/>
      <c r="CN171" s="2"/>
      <c r="CO171" s="2"/>
      <c r="CP171" s="2"/>
      <c r="CQ171" s="2"/>
    </row>
    <row r="172">
      <c r="BI172" s="38" t="str">
        <f>IFERROR(__xludf.DUMMYFUNCTION("""COMPUTED_VALUE"""),"Arcane Focus (Wand)")</f>
        <v>Arcane Focus (Wand)</v>
      </c>
      <c r="BJ172" s="2">
        <v>1.5</v>
      </c>
      <c r="BK172" s="2">
        <v>1.0</v>
      </c>
      <c r="BL172" s="2">
        <v>1.0</v>
      </c>
      <c r="BM172" s="2">
        <v>1.0</v>
      </c>
      <c r="BN172" s="2">
        <v>1.0</v>
      </c>
      <c r="BO172" s="2">
        <v>1.0</v>
      </c>
      <c r="BP172" s="2">
        <v>1.0</v>
      </c>
      <c r="BQ172" s="2">
        <v>1.0</v>
      </c>
      <c r="BR172" s="2">
        <v>1.0</v>
      </c>
      <c r="BS172" s="2">
        <v>1.0</v>
      </c>
      <c r="BT172" s="2">
        <v>1.0</v>
      </c>
      <c r="BU172" s="2">
        <v>1.0</v>
      </c>
      <c r="BV172" s="2">
        <v>1.0</v>
      </c>
      <c r="BW172" s="2">
        <v>1.0</v>
      </c>
      <c r="BX172" s="2">
        <v>1.0</v>
      </c>
      <c r="BY172" s="2">
        <v>1.0</v>
      </c>
      <c r="BZ172" s="2">
        <v>1.0</v>
      </c>
      <c r="CB172" s="2"/>
      <c r="CC172" s="2"/>
      <c r="CD172" s="2"/>
      <c r="CE172" s="2"/>
      <c r="CF172" s="2"/>
      <c r="CG172" s="2"/>
      <c r="CH172" s="2"/>
      <c r="CI172" s="2"/>
      <c r="CJ172" s="2"/>
      <c r="CK172" s="2"/>
      <c r="CL172" s="2"/>
      <c r="CM172" s="2"/>
      <c r="CN172" s="2"/>
      <c r="CO172" s="2"/>
      <c r="CP172" s="2"/>
      <c r="CQ172" s="2"/>
    </row>
    <row r="173">
      <c r="BI173" s="38" t="str">
        <f>IFERROR(__xludf.DUMMYFUNCTION("""COMPUTED_VALUE"""),"Battleaxe")</f>
        <v>Battleaxe</v>
      </c>
      <c r="BJ173" s="2">
        <v>1.5</v>
      </c>
      <c r="BK173" s="2">
        <v>1.0</v>
      </c>
      <c r="BL173" s="2">
        <v>1.0</v>
      </c>
      <c r="BM173" s="2">
        <v>1.0</v>
      </c>
      <c r="BN173" s="2">
        <v>1.0</v>
      </c>
      <c r="BO173" s="2">
        <v>1.0</v>
      </c>
      <c r="BP173" s="2">
        <v>1.0</v>
      </c>
      <c r="BQ173" s="2">
        <v>1.0</v>
      </c>
      <c r="BR173" s="2">
        <v>1.0</v>
      </c>
      <c r="BS173" s="2">
        <v>1.0</v>
      </c>
      <c r="BT173" s="2">
        <v>1.0</v>
      </c>
      <c r="BU173" s="2">
        <v>1.0</v>
      </c>
      <c r="BV173" s="2">
        <v>1.0</v>
      </c>
      <c r="BW173" s="2">
        <v>1.0</v>
      </c>
      <c r="BX173" s="2">
        <v>1.0</v>
      </c>
      <c r="BY173" s="2">
        <v>1.0</v>
      </c>
      <c r="BZ173" s="2">
        <v>1.0</v>
      </c>
      <c r="CB173" s="2"/>
      <c r="CC173" s="2"/>
      <c r="CD173" s="2"/>
      <c r="CE173" s="2"/>
      <c r="CF173" s="2"/>
      <c r="CG173" s="2"/>
      <c r="CH173" s="2"/>
      <c r="CI173" s="2"/>
      <c r="CJ173" s="2"/>
      <c r="CK173" s="2"/>
      <c r="CL173" s="2"/>
      <c r="CM173" s="2"/>
      <c r="CN173" s="2"/>
      <c r="CO173" s="2"/>
      <c r="CP173" s="2"/>
      <c r="CQ173" s="2"/>
    </row>
    <row r="174">
      <c r="BI174" s="38" t="str">
        <f>IFERROR(__xludf.DUMMYFUNCTION("""COMPUTED_VALUE"""),"Blowgun")</f>
        <v>Blowgun</v>
      </c>
      <c r="BJ174" s="2">
        <v>1.5</v>
      </c>
      <c r="BK174" s="2">
        <v>1.0</v>
      </c>
      <c r="BL174" s="2">
        <v>1.0</v>
      </c>
      <c r="BM174" s="2">
        <v>1.0</v>
      </c>
      <c r="BN174" s="2">
        <v>1.0</v>
      </c>
      <c r="BO174" s="2">
        <v>1.0</v>
      </c>
      <c r="BP174" s="2">
        <v>1.0</v>
      </c>
      <c r="BQ174" s="2">
        <v>1.0</v>
      </c>
      <c r="BR174" s="2">
        <v>1.0</v>
      </c>
      <c r="BS174" s="2">
        <v>1.0</v>
      </c>
      <c r="BT174" s="2">
        <v>1.0</v>
      </c>
      <c r="BU174" s="2">
        <v>1.0</v>
      </c>
      <c r="BV174" s="2">
        <v>1.0</v>
      </c>
      <c r="BW174" s="2">
        <v>1.0</v>
      </c>
      <c r="BX174" s="2">
        <v>1.0</v>
      </c>
      <c r="BY174" s="2">
        <v>1.0</v>
      </c>
      <c r="BZ174" s="2">
        <v>1.0</v>
      </c>
      <c r="CB174" s="2"/>
      <c r="CC174" s="2"/>
      <c r="CD174" s="2"/>
      <c r="CE174" s="2"/>
      <c r="CF174" s="2"/>
      <c r="CG174" s="2"/>
      <c r="CH174" s="2"/>
      <c r="CI174" s="2"/>
      <c r="CJ174" s="2"/>
      <c r="CK174" s="2"/>
      <c r="CL174" s="2"/>
      <c r="CM174" s="2"/>
      <c r="CN174" s="2"/>
      <c r="CO174" s="2"/>
      <c r="CP174" s="2"/>
      <c r="CQ174" s="2"/>
    </row>
    <row r="175">
      <c r="BI175" s="38" t="str">
        <f>IFERROR(__xludf.DUMMYFUNCTION("""COMPUTED_VALUE"""),"Caltrops")</f>
        <v>Caltrops</v>
      </c>
      <c r="BJ175" s="2">
        <v>1.5</v>
      </c>
      <c r="BK175" s="2">
        <v>1.0</v>
      </c>
      <c r="BL175" s="2">
        <v>1.0</v>
      </c>
      <c r="BM175" s="2">
        <v>1.0</v>
      </c>
      <c r="BN175" s="2">
        <v>1.0</v>
      </c>
      <c r="BO175" s="2">
        <v>1.0</v>
      </c>
      <c r="BP175" s="2">
        <v>1.0</v>
      </c>
      <c r="BQ175" s="2">
        <v>1.0</v>
      </c>
      <c r="BR175" s="2">
        <v>1.0</v>
      </c>
      <c r="BS175" s="2">
        <v>1.0</v>
      </c>
      <c r="BT175" s="2">
        <v>1.0</v>
      </c>
      <c r="BU175" s="2">
        <v>1.0</v>
      </c>
      <c r="BV175" s="2">
        <v>1.0</v>
      </c>
      <c r="BW175" s="2">
        <v>1.0</v>
      </c>
      <c r="BX175" s="2">
        <v>1.0</v>
      </c>
      <c r="BY175" s="2">
        <v>1.0</v>
      </c>
      <c r="BZ175" s="2">
        <v>1.0</v>
      </c>
      <c r="CB175" s="2"/>
      <c r="CC175" s="2"/>
      <c r="CD175" s="2"/>
      <c r="CE175" s="2"/>
      <c r="CF175" s="2"/>
      <c r="CG175" s="2"/>
      <c r="CH175" s="2"/>
      <c r="CI175" s="2"/>
      <c r="CJ175" s="2"/>
      <c r="CK175" s="2"/>
      <c r="CL175" s="2"/>
      <c r="CM175" s="2"/>
      <c r="CN175" s="2"/>
      <c r="CO175" s="2"/>
      <c r="CP175" s="2"/>
      <c r="CQ175" s="2"/>
    </row>
    <row r="176">
      <c r="BI176" s="38" t="str">
        <f>IFERROR(__xludf.DUMMYFUNCTION("""COMPUTED_VALUE"""),"Club")</f>
        <v>Club</v>
      </c>
      <c r="BJ176" s="2">
        <v>1.5</v>
      </c>
      <c r="BK176" s="2">
        <v>1.0</v>
      </c>
      <c r="BL176" s="2">
        <v>1.0</v>
      </c>
      <c r="BM176" s="2">
        <v>1.0</v>
      </c>
      <c r="BN176" s="2">
        <v>1.0</v>
      </c>
      <c r="BO176" s="2">
        <v>1.0</v>
      </c>
      <c r="BP176" s="2">
        <v>1.0</v>
      </c>
      <c r="BQ176" s="2">
        <v>1.0</v>
      </c>
      <c r="BR176" s="2">
        <v>1.0</v>
      </c>
      <c r="BS176" s="2">
        <v>1.0</v>
      </c>
      <c r="BT176" s="2">
        <v>1.0</v>
      </c>
      <c r="BU176" s="2">
        <v>1.0</v>
      </c>
      <c r="BV176" s="2">
        <v>1.0</v>
      </c>
      <c r="BW176" s="2">
        <v>1.0</v>
      </c>
      <c r="BX176" s="2">
        <v>1.0</v>
      </c>
      <c r="BY176" s="2">
        <v>1.0</v>
      </c>
      <c r="BZ176" s="2">
        <v>1.0</v>
      </c>
      <c r="CB176" s="2"/>
      <c r="CC176" s="2"/>
      <c r="CD176" s="2"/>
      <c r="CE176" s="2"/>
      <c r="CF176" s="2"/>
      <c r="CG176" s="2"/>
      <c r="CH176" s="2"/>
      <c r="CI176" s="2"/>
      <c r="CJ176" s="2"/>
      <c r="CK176" s="2"/>
      <c r="CL176" s="2"/>
      <c r="CM176" s="2"/>
      <c r="CN176" s="2"/>
      <c r="CO176" s="2"/>
      <c r="CP176" s="2"/>
      <c r="CQ176" s="2"/>
    </row>
    <row r="177">
      <c r="BI177" s="38" t="str">
        <f>IFERROR(__xludf.DUMMYFUNCTION("""COMPUTED_VALUE"""),"Dagger")</f>
        <v>Dagger</v>
      </c>
      <c r="BJ177" s="2">
        <v>1.5</v>
      </c>
      <c r="BK177" s="2">
        <v>1.0</v>
      </c>
      <c r="BL177" s="2">
        <v>1.0</v>
      </c>
      <c r="BM177" s="2">
        <v>1.0</v>
      </c>
      <c r="BN177" s="2">
        <v>1.0</v>
      </c>
      <c r="BO177" s="2">
        <v>1.0</v>
      </c>
      <c r="BP177" s="2">
        <v>1.0</v>
      </c>
      <c r="BQ177" s="2">
        <v>1.0</v>
      </c>
      <c r="BR177" s="2">
        <v>1.0</v>
      </c>
      <c r="BS177" s="2">
        <v>1.0</v>
      </c>
      <c r="BT177" s="2">
        <v>1.0</v>
      </c>
      <c r="BU177" s="2">
        <v>1.0</v>
      </c>
      <c r="BV177" s="2">
        <v>1.0</v>
      </c>
      <c r="BW177" s="2">
        <v>1.0</v>
      </c>
      <c r="BX177" s="2">
        <v>1.0</v>
      </c>
      <c r="BY177" s="2">
        <v>1.0</v>
      </c>
      <c r="BZ177" s="2">
        <v>1.0</v>
      </c>
      <c r="CB177" s="2"/>
      <c r="CC177" s="2"/>
      <c r="CD177" s="2"/>
      <c r="CE177" s="2"/>
      <c r="CF177" s="2"/>
      <c r="CG177" s="2"/>
      <c r="CH177" s="2"/>
      <c r="CI177" s="2"/>
      <c r="CJ177" s="2"/>
      <c r="CK177" s="2"/>
      <c r="CL177" s="2"/>
      <c r="CM177" s="2"/>
      <c r="CN177" s="2"/>
      <c r="CO177" s="2"/>
      <c r="CP177" s="2"/>
      <c r="CQ177" s="2"/>
    </row>
    <row r="178">
      <c r="BI178" s="38" t="str">
        <f>IFERROR(__xludf.DUMMYFUNCTION("""COMPUTED_VALUE"""),"Dart")</f>
        <v>Dart</v>
      </c>
      <c r="BJ178" s="2">
        <v>1.5</v>
      </c>
      <c r="BK178" s="2">
        <v>1.0</v>
      </c>
      <c r="BL178" s="2">
        <v>1.0</v>
      </c>
      <c r="BM178" s="2">
        <v>1.0</v>
      </c>
      <c r="BN178" s="2">
        <v>1.0</v>
      </c>
      <c r="BO178" s="2">
        <v>1.0</v>
      </c>
      <c r="BP178" s="2">
        <v>1.0</v>
      </c>
      <c r="BQ178" s="2">
        <v>1.0</v>
      </c>
      <c r="BR178" s="2">
        <v>1.0</v>
      </c>
      <c r="BS178" s="2">
        <v>1.0</v>
      </c>
      <c r="BT178" s="2">
        <v>1.0</v>
      </c>
      <c r="BU178" s="2">
        <v>1.0</v>
      </c>
      <c r="BV178" s="2">
        <v>1.0</v>
      </c>
      <c r="BW178" s="2">
        <v>1.0</v>
      </c>
      <c r="BX178" s="2">
        <v>1.0</v>
      </c>
      <c r="BY178" s="2">
        <v>1.0</v>
      </c>
      <c r="BZ178" s="2">
        <v>1.0</v>
      </c>
      <c r="CB178" s="2"/>
      <c r="CC178" s="2"/>
      <c r="CD178" s="2"/>
      <c r="CE178" s="2"/>
      <c r="CF178" s="2"/>
      <c r="CG178" s="2"/>
      <c r="CH178" s="2"/>
      <c r="CI178" s="2"/>
      <c r="CJ178" s="2"/>
      <c r="CK178" s="2"/>
      <c r="CL178" s="2"/>
      <c r="CM178" s="2"/>
      <c r="CN178" s="2"/>
      <c r="CO178" s="2"/>
      <c r="CP178" s="2"/>
      <c r="CQ178" s="2"/>
    </row>
    <row r="179">
      <c r="BI179" s="38" t="str">
        <f>IFERROR(__xludf.DUMMYFUNCTION("""COMPUTED_VALUE"""),"Druidic Focus (Sprig of Mistletoe)")</f>
        <v>Druidic Focus (Sprig of Mistletoe)</v>
      </c>
      <c r="BJ179" s="2">
        <v>1.5</v>
      </c>
      <c r="BK179" s="2">
        <v>1.0</v>
      </c>
      <c r="BL179" s="2">
        <v>1.0</v>
      </c>
      <c r="BM179" s="2">
        <v>1.0</v>
      </c>
      <c r="BN179" s="2">
        <v>1.0</v>
      </c>
      <c r="BO179" s="2">
        <v>1.0</v>
      </c>
      <c r="BP179" s="2">
        <v>1.0</v>
      </c>
      <c r="BQ179" s="2">
        <v>1.0</v>
      </c>
      <c r="BR179" s="2">
        <v>1.0</v>
      </c>
      <c r="BS179" s="2">
        <v>1.0</v>
      </c>
      <c r="BT179" s="2">
        <v>1.0</v>
      </c>
      <c r="BU179" s="2">
        <v>1.0</v>
      </c>
      <c r="BV179" s="2">
        <v>1.0</v>
      </c>
      <c r="BW179" s="2">
        <v>1.0</v>
      </c>
      <c r="BX179" s="2">
        <v>1.0</v>
      </c>
      <c r="BY179" s="2">
        <v>1.0</v>
      </c>
      <c r="BZ179" s="2">
        <v>1.0</v>
      </c>
      <c r="CB179" s="2"/>
      <c r="CC179" s="2"/>
      <c r="CD179" s="2"/>
      <c r="CE179" s="2"/>
      <c r="CF179" s="2"/>
      <c r="CG179" s="2"/>
      <c r="CH179" s="2"/>
      <c r="CI179" s="2"/>
      <c r="CJ179" s="2"/>
      <c r="CK179" s="2"/>
      <c r="CL179" s="2"/>
      <c r="CM179" s="2"/>
      <c r="CN179" s="2"/>
      <c r="CO179" s="2"/>
      <c r="CP179" s="2"/>
      <c r="CQ179" s="2"/>
    </row>
    <row r="180">
      <c r="BI180" s="38" t="str">
        <f>IFERROR(__xludf.DUMMYFUNCTION("""COMPUTED_VALUE"""),"Druidic Focus (Totem)")</f>
        <v>Druidic Focus (Totem)</v>
      </c>
      <c r="BJ180" s="2">
        <v>1.5</v>
      </c>
      <c r="BK180" s="2">
        <v>1.0</v>
      </c>
      <c r="BL180" s="2">
        <v>1.0</v>
      </c>
      <c r="BM180" s="2">
        <v>1.0</v>
      </c>
      <c r="BN180" s="2">
        <v>1.0</v>
      </c>
      <c r="BO180" s="2">
        <v>1.0</v>
      </c>
      <c r="BP180" s="2">
        <v>1.0</v>
      </c>
      <c r="BQ180" s="2">
        <v>1.0</v>
      </c>
      <c r="BR180" s="2">
        <v>1.0</v>
      </c>
      <c r="BS180" s="2">
        <v>1.0</v>
      </c>
      <c r="BT180" s="2">
        <v>1.0</v>
      </c>
      <c r="BU180" s="2">
        <v>1.0</v>
      </c>
      <c r="BV180" s="2">
        <v>1.0</v>
      </c>
      <c r="BW180" s="2">
        <v>1.0</v>
      </c>
      <c r="BX180" s="2">
        <v>1.0</v>
      </c>
      <c r="BY180" s="2">
        <v>1.0</v>
      </c>
      <c r="BZ180" s="2">
        <v>1.0</v>
      </c>
      <c r="CB180" s="2"/>
      <c r="CC180" s="2"/>
      <c r="CD180" s="2"/>
      <c r="CE180" s="2"/>
      <c r="CF180" s="2"/>
      <c r="CG180" s="2"/>
      <c r="CH180" s="2"/>
      <c r="CI180" s="2"/>
      <c r="CJ180" s="2"/>
      <c r="CK180" s="2"/>
      <c r="CL180" s="2"/>
      <c r="CM180" s="2"/>
      <c r="CN180" s="2"/>
      <c r="CO180" s="2"/>
      <c r="CP180" s="2"/>
      <c r="CQ180" s="2"/>
    </row>
    <row r="181">
      <c r="BI181" s="38" t="str">
        <f>IFERROR(__xludf.DUMMYFUNCTION("""COMPUTED_VALUE"""),"Druidic Focus (Wooden Staff)")</f>
        <v>Druidic Focus (Wooden Staff)</v>
      </c>
      <c r="BJ181" s="2">
        <v>1.5</v>
      </c>
      <c r="BK181" s="2">
        <v>1.0</v>
      </c>
      <c r="BL181" s="2">
        <v>1.0</v>
      </c>
      <c r="BM181" s="2">
        <v>1.0</v>
      </c>
      <c r="BN181" s="2">
        <v>1.0</v>
      </c>
      <c r="BO181" s="2">
        <v>1.0</v>
      </c>
      <c r="BP181" s="2">
        <v>1.0</v>
      </c>
      <c r="BQ181" s="2">
        <v>1.0</v>
      </c>
      <c r="BR181" s="2">
        <v>1.0</v>
      </c>
      <c r="BS181" s="2">
        <v>1.0</v>
      </c>
      <c r="BT181" s="2">
        <v>1.0</v>
      </c>
      <c r="BU181" s="2">
        <v>1.0</v>
      </c>
      <c r="BV181" s="2">
        <v>1.0</v>
      </c>
      <c r="BW181" s="2">
        <v>1.0</v>
      </c>
      <c r="BX181" s="2">
        <v>1.0</v>
      </c>
      <c r="BY181" s="2">
        <v>1.0</v>
      </c>
      <c r="BZ181" s="2">
        <v>1.0</v>
      </c>
      <c r="CB181" s="2"/>
      <c r="CC181" s="2"/>
      <c r="CD181" s="2"/>
      <c r="CE181" s="2"/>
      <c r="CF181" s="2"/>
      <c r="CG181" s="2"/>
      <c r="CH181" s="2"/>
      <c r="CI181" s="2"/>
      <c r="CJ181" s="2"/>
      <c r="CK181" s="2"/>
      <c r="CL181" s="2"/>
      <c r="CM181" s="2"/>
      <c r="CN181" s="2"/>
      <c r="CO181" s="2"/>
      <c r="CP181" s="2"/>
      <c r="CQ181" s="2"/>
    </row>
    <row r="182">
      <c r="BI182" s="38" t="str">
        <f>IFERROR(__xludf.DUMMYFUNCTION("""COMPUTED_VALUE"""),"Druidic Focus (Yew Wand)")</f>
        <v>Druidic Focus (Yew Wand)</v>
      </c>
      <c r="BJ182" s="2">
        <v>1.5</v>
      </c>
      <c r="BK182" s="2">
        <v>1.0</v>
      </c>
      <c r="BL182" s="2">
        <v>1.0</v>
      </c>
      <c r="BM182" s="2">
        <v>1.0</v>
      </c>
      <c r="BN182" s="2">
        <v>1.0</v>
      </c>
      <c r="BO182" s="2">
        <v>1.0</v>
      </c>
      <c r="BP182" s="2">
        <v>1.0</v>
      </c>
      <c r="BQ182" s="2">
        <v>1.0</v>
      </c>
      <c r="BR182" s="2">
        <v>1.0</v>
      </c>
      <c r="BS182" s="2">
        <v>1.0</v>
      </c>
      <c r="BT182" s="2">
        <v>1.0</v>
      </c>
      <c r="BU182" s="2">
        <v>1.0</v>
      </c>
      <c r="BV182" s="2">
        <v>1.0</v>
      </c>
      <c r="BW182" s="2">
        <v>1.0</v>
      </c>
      <c r="BX182" s="2">
        <v>1.0</v>
      </c>
      <c r="BY182" s="2">
        <v>1.0</v>
      </c>
      <c r="BZ182" s="2">
        <v>1.0</v>
      </c>
      <c r="CB182" s="2"/>
      <c r="CC182" s="2"/>
      <c r="CD182" s="2"/>
      <c r="CE182" s="2"/>
      <c r="CF182" s="2"/>
      <c r="CG182" s="2"/>
      <c r="CH182" s="2"/>
      <c r="CI182" s="2"/>
      <c r="CJ182" s="2"/>
      <c r="CK182" s="2"/>
      <c r="CL182" s="2"/>
      <c r="CM182" s="2"/>
      <c r="CN182" s="2"/>
      <c r="CO182" s="2"/>
      <c r="CP182" s="2"/>
      <c r="CQ182" s="2"/>
    </row>
    <row r="183">
      <c r="BI183" s="38" t="str">
        <f>IFERROR(__xludf.DUMMYFUNCTION("""COMPUTED_VALUE"""),"Flail")</f>
        <v>Flail</v>
      </c>
      <c r="BJ183" s="2">
        <v>1.5</v>
      </c>
      <c r="BK183" s="2">
        <v>1.0</v>
      </c>
      <c r="BL183" s="2">
        <v>1.0</v>
      </c>
      <c r="BM183" s="2">
        <v>1.0</v>
      </c>
      <c r="BN183" s="2">
        <v>1.0</v>
      </c>
      <c r="BO183" s="2">
        <v>1.0</v>
      </c>
      <c r="BP183" s="2">
        <v>1.0</v>
      </c>
      <c r="BQ183" s="2">
        <v>1.0</v>
      </c>
      <c r="BR183" s="2">
        <v>1.0</v>
      </c>
      <c r="BS183" s="2">
        <v>1.0</v>
      </c>
      <c r="BT183" s="2">
        <v>1.0</v>
      </c>
      <c r="BU183" s="2">
        <v>1.0</v>
      </c>
      <c r="BV183" s="2">
        <v>1.0</v>
      </c>
      <c r="BW183" s="2">
        <v>1.0</v>
      </c>
      <c r="BX183" s="2">
        <v>1.0</v>
      </c>
      <c r="BY183" s="2">
        <v>1.0</v>
      </c>
      <c r="BZ183" s="2">
        <v>1.0</v>
      </c>
      <c r="CB183" s="2"/>
      <c r="CC183" s="2"/>
      <c r="CD183" s="2"/>
      <c r="CE183" s="2"/>
      <c r="CF183" s="2"/>
      <c r="CG183" s="2"/>
      <c r="CH183" s="2"/>
      <c r="CI183" s="2"/>
      <c r="CJ183" s="2"/>
      <c r="CK183" s="2"/>
      <c r="CL183" s="2"/>
      <c r="CM183" s="2"/>
      <c r="CN183" s="2"/>
      <c r="CO183" s="2"/>
      <c r="CP183" s="2"/>
      <c r="CQ183" s="2"/>
    </row>
    <row r="184">
      <c r="BI184" s="38" t="str">
        <f>IFERROR(__xludf.DUMMYFUNCTION("""COMPUTED_VALUE"""),"Glaive")</f>
        <v>Glaive</v>
      </c>
      <c r="BJ184" s="2">
        <v>1.5</v>
      </c>
      <c r="BK184" s="2">
        <v>1.0</v>
      </c>
      <c r="BL184" s="2">
        <v>1.0</v>
      </c>
      <c r="BM184" s="2">
        <v>1.0</v>
      </c>
      <c r="BN184" s="2">
        <v>1.0</v>
      </c>
      <c r="BO184" s="2">
        <v>1.0</v>
      </c>
      <c r="BP184" s="2">
        <v>1.0</v>
      </c>
      <c r="BQ184" s="2">
        <v>1.0</v>
      </c>
      <c r="BR184" s="2">
        <v>1.0</v>
      </c>
      <c r="BS184" s="2">
        <v>1.0</v>
      </c>
      <c r="BT184" s="2">
        <v>1.0</v>
      </c>
      <c r="BU184" s="2">
        <v>1.0</v>
      </c>
      <c r="BV184" s="2">
        <v>1.0</v>
      </c>
      <c r="BW184" s="2">
        <v>1.0</v>
      </c>
      <c r="BX184" s="2">
        <v>1.0</v>
      </c>
      <c r="BY184" s="2">
        <v>1.0</v>
      </c>
      <c r="BZ184" s="2">
        <v>1.0</v>
      </c>
      <c r="CB184" s="2"/>
      <c r="CC184" s="2"/>
      <c r="CD184" s="2"/>
      <c r="CE184" s="2"/>
      <c r="CF184" s="2"/>
      <c r="CG184" s="2"/>
      <c r="CH184" s="2"/>
      <c r="CI184" s="2"/>
      <c r="CJ184" s="2"/>
      <c r="CK184" s="2"/>
      <c r="CL184" s="2"/>
      <c r="CM184" s="2"/>
      <c r="CN184" s="2"/>
      <c r="CO184" s="2"/>
      <c r="CP184" s="2"/>
      <c r="CQ184" s="2"/>
    </row>
    <row r="185">
      <c r="BI185" s="38" t="str">
        <f>IFERROR(__xludf.DUMMYFUNCTION("""COMPUTED_VALUE"""),"Greataxe")</f>
        <v>Greataxe</v>
      </c>
      <c r="BJ185" s="2">
        <v>1.5</v>
      </c>
      <c r="BK185" s="2">
        <v>1.0</v>
      </c>
      <c r="BL185" s="2">
        <v>1.0</v>
      </c>
      <c r="BM185" s="2">
        <v>1.0</v>
      </c>
      <c r="BN185" s="2">
        <v>1.0</v>
      </c>
      <c r="BO185" s="2">
        <v>1.0</v>
      </c>
      <c r="BP185" s="2">
        <v>1.0</v>
      </c>
      <c r="BQ185" s="2">
        <v>1.0</v>
      </c>
      <c r="BR185" s="2">
        <v>1.0</v>
      </c>
      <c r="BS185" s="2">
        <v>1.0</v>
      </c>
      <c r="BT185" s="2">
        <v>1.0</v>
      </c>
      <c r="BU185" s="2">
        <v>1.0</v>
      </c>
      <c r="BV185" s="2">
        <v>1.0</v>
      </c>
      <c r="BW185" s="2">
        <v>1.0</v>
      </c>
      <c r="BX185" s="2">
        <v>1.0</v>
      </c>
      <c r="BY185" s="2">
        <v>1.0</v>
      </c>
      <c r="BZ185" s="2">
        <v>1.0</v>
      </c>
      <c r="CB185" s="2"/>
      <c r="CC185" s="2"/>
      <c r="CD185" s="2"/>
      <c r="CE185" s="2"/>
      <c r="CF185" s="2"/>
      <c r="CG185" s="2"/>
      <c r="CH185" s="2"/>
      <c r="CI185" s="2"/>
      <c r="CJ185" s="2"/>
      <c r="CK185" s="2"/>
      <c r="CL185" s="2"/>
      <c r="CM185" s="2"/>
      <c r="CN185" s="2"/>
      <c r="CO185" s="2"/>
      <c r="CP185" s="2"/>
      <c r="CQ185" s="2"/>
    </row>
    <row r="186">
      <c r="BI186" s="38" t="str">
        <f>IFERROR(__xludf.DUMMYFUNCTION("""COMPUTED_VALUE"""),"Greatclub")</f>
        <v>Greatclub</v>
      </c>
      <c r="BJ186" s="2">
        <v>1.5</v>
      </c>
      <c r="BK186" s="2">
        <v>1.0</v>
      </c>
      <c r="BL186" s="2">
        <v>1.0</v>
      </c>
      <c r="BM186" s="2">
        <v>1.0</v>
      </c>
      <c r="BN186" s="2">
        <v>1.0</v>
      </c>
      <c r="BO186" s="2">
        <v>1.0</v>
      </c>
      <c r="BP186" s="2">
        <v>1.0</v>
      </c>
      <c r="BQ186" s="2">
        <v>1.0</v>
      </c>
      <c r="BR186" s="2">
        <v>1.0</v>
      </c>
      <c r="BS186" s="2">
        <v>1.0</v>
      </c>
      <c r="BT186" s="2">
        <v>1.0</v>
      </c>
      <c r="BU186" s="2">
        <v>1.0</v>
      </c>
      <c r="BV186" s="2">
        <v>1.0</v>
      </c>
      <c r="BW186" s="2">
        <v>1.0</v>
      </c>
      <c r="BX186" s="2">
        <v>1.0</v>
      </c>
      <c r="BY186" s="2">
        <v>1.0</v>
      </c>
      <c r="BZ186" s="2">
        <v>1.0</v>
      </c>
      <c r="CB186" s="2"/>
      <c r="CC186" s="2"/>
      <c r="CD186" s="2"/>
      <c r="CE186" s="2"/>
      <c r="CF186" s="2"/>
      <c r="CG186" s="2"/>
      <c r="CH186" s="2"/>
      <c r="CI186" s="2"/>
      <c r="CJ186" s="2"/>
      <c r="CK186" s="2"/>
      <c r="CL186" s="2"/>
      <c r="CM186" s="2"/>
      <c r="CN186" s="2"/>
      <c r="CO186" s="2"/>
      <c r="CP186" s="2"/>
      <c r="CQ186" s="2"/>
    </row>
    <row r="187">
      <c r="BI187" s="38" t="str">
        <f>IFERROR(__xludf.DUMMYFUNCTION("""COMPUTED_VALUE"""),"Greatsword")</f>
        <v>Greatsword</v>
      </c>
      <c r="BJ187" s="2">
        <v>1.5</v>
      </c>
      <c r="BK187" s="2">
        <v>1.0</v>
      </c>
      <c r="BL187" s="2">
        <v>1.0</v>
      </c>
      <c r="BM187" s="2">
        <v>1.0</v>
      </c>
      <c r="BN187" s="2">
        <v>1.0</v>
      </c>
      <c r="BO187" s="2">
        <v>1.0</v>
      </c>
      <c r="BP187" s="2">
        <v>1.0</v>
      </c>
      <c r="BQ187" s="2">
        <v>1.0</v>
      </c>
      <c r="BR187" s="2">
        <v>1.0</v>
      </c>
      <c r="BS187" s="2">
        <v>1.0</v>
      </c>
      <c r="BT187" s="2">
        <v>1.0</v>
      </c>
      <c r="BU187" s="2">
        <v>1.0</v>
      </c>
      <c r="BV187" s="2">
        <v>1.0</v>
      </c>
      <c r="BW187" s="2">
        <v>1.0</v>
      </c>
      <c r="BX187" s="2">
        <v>1.0</v>
      </c>
      <c r="BY187" s="2">
        <v>1.0</v>
      </c>
      <c r="BZ187" s="2">
        <v>1.0</v>
      </c>
      <c r="CB187" s="2"/>
      <c r="CC187" s="2"/>
      <c r="CD187" s="2"/>
      <c r="CE187" s="2"/>
      <c r="CF187" s="2"/>
      <c r="CG187" s="2"/>
      <c r="CH187" s="2"/>
      <c r="CI187" s="2"/>
      <c r="CJ187" s="2"/>
      <c r="CK187" s="2"/>
      <c r="CL187" s="2"/>
      <c r="CM187" s="2"/>
      <c r="CN187" s="2"/>
      <c r="CO187" s="2"/>
      <c r="CP187" s="2"/>
      <c r="CQ187" s="2"/>
    </row>
    <row r="188">
      <c r="BI188" s="38" t="str">
        <f>IFERROR(__xludf.DUMMYFUNCTION("""COMPUTED_VALUE"""),"Halberd")</f>
        <v>Halberd</v>
      </c>
      <c r="BJ188" s="2">
        <v>1.5</v>
      </c>
      <c r="BK188" s="2">
        <v>1.0</v>
      </c>
      <c r="BL188" s="2">
        <v>1.0</v>
      </c>
      <c r="BM188" s="2">
        <v>1.0</v>
      </c>
      <c r="BN188" s="2">
        <v>1.0</v>
      </c>
      <c r="BO188" s="2">
        <v>1.0</v>
      </c>
      <c r="BP188" s="2">
        <v>1.0</v>
      </c>
      <c r="BQ188" s="2">
        <v>1.0</v>
      </c>
      <c r="BR188" s="2">
        <v>1.0</v>
      </c>
      <c r="BS188" s="2">
        <v>1.0</v>
      </c>
      <c r="BT188" s="2">
        <v>1.0</v>
      </c>
      <c r="BU188" s="2">
        <v>1.0</v>
      </c>
      <c r="BV188" s="2">
        <v>1.0</v>
      </c>
      <c r="BW188" s="2">
        <v>1.0</v>
      </c>
      <c r="BX188" s="2">
        <v>1.0</v>
      </c>
      <c r="BY188" s="2">
        <v>1.0</v>
      </c>
      <c r="BZ188" s="2">
        <v>1.0</v>
      </c>
      <c r="CB188" s="2"/>
      <c r="CC188" s="2"/>
      <c r="CD188" s="2"/>
      <c r="CE188" s="2"/>
      <c r="CF188" s="2"/>
      <c r="CG188" s="2"/>
      <c r="CH188" s="2"/>
      <c r="CI188" s="2"/>
      <c r="CJ188" s="2"/>
      <c r="CK188" s="2"/>
      <c r="CL188" s="2"/>
      <c r="CM188" s="2"/>
      <c r="CN188" s="2"/>
      <c r="CO188" s="2"/>
      <c r="CP188" s="2"/>
      <c r="CQ188" s="2"/>
    </row>
    <row r="189">
      <c r="BI189" s="38" t="str">
        <f>IFERROR(__xludf.DUMMYFUNCTION("""COMPUTED_VALUE"""),"Hand Crossbow")</f>
        <v>Hand Crossbow</v>
      </c>
      <c r="BJ189" s="2">
        <v>1.5</v>
      </c>
      <c r="BK189" s="2">
        <v>1.0</v>
      </c>
      <c r="BL189" s="2">
        <v>1.0</v>
      </c>
      <c r="BM189" s="2">
        <v>1.0</v>
      </c>
      <c r="BN189" s="2">
        <v>1.0</v>
      </c>
      <c r="BO189" s="2">
        <v>1.0</v>
      </c>
      <c r="BP189" s="2">
        <v>1.0</v>
      </c>
      <c r="BQ189" s="2">
        <v>1.0</v>
      </c>
      <c r="BR189" s="2">
        <v>1.0</v>
      </c>
      <c r="BS189" s="2">
        <v>1.0</v>
      </c>
      <c r="BT189" s="2">
        <v>1.0</v>
      </c>
      <c r="BU189" s="2">
        <v>1.0</v>
      </c>
      <c r="BV189" s="2">
        <v>1.0</v>
      </c>
      <c r="BW189" s="2">
        <v>1.0</v>
      </c>
      <c r="BX189" s="2">
        <v>1.0</v>
      </c>
      <c r="BY189" s="2">
        <v>1.0</v>
      </c>
      <c r="BZ189" s="2">
        <v>1.0</v>
      </c>
      <c r="CB189" s="2"/>
      <c r="CC189" s="2"/>
      <c r="CD189" s="2"/>
      <c r="CE189" s="2"/>
      <c r="CF189" s="2"/>
      <c r="CG189" s="2"/>
      <c r="CH189" s="2"/>
      <c r="CI189" s="2"/>
      <c r="CJ189" s="2"/>
      <c r="CK189" s="2"/>
      <c r="CL189" s="2"/>
      <c r="CM189" s="2"/>
      <c r="CN189" s="2"/>
      <c r="CO189" s="2"/>
      <c r="CP189" s="2"/>
      <c r="CQ189" s="2"/>
    </row>
    <row r="190">
      <c r="BI190" s="38" t="str">
        <f>IFERROR(__xludf.DUMMYFUNCTION("""COMPUTED_VALUE"""),"Handaxe")</f>
        <v>Handaxe</v>
      </c>
      <c r="BJ190" s="2">
        <v>1.5</v>
      </c>
      <c r="BK190" s="2">
        <v>1.0</v>
      </c>
      <c r="BL190" s="2">
        <v>1.0</v>
      </c>
      <c r="BM190" s="2">
        <v>1.0</v>
      </c>
      <c r="BN190" s="2">
        <v>1.0</v>
      </c>
      <c r="BO190" s="2">
        <v>1.0</v>
      </c>
      <c r="BP190" s="2">
        <v>1.0</v>
      </c>
      <c r="BQ190" s="2">
        <v>1.0</v>
      </c>
      <c r="BR190" s="2">
        <v>1.0</v>
      </c>
      <c r="BS190" s="2">
        <v>1.0</v>
      </c>
      <c r="BT190" s="2">
        <v>1.0</v>
      </c>
      <c r="BU190" s="2">
        <v>1.0</v>
      </c>
      <c r="BV190" s="2">
        <v>1.0</v>
      </c>
      <c r="BW190" s="2">
        <v>1.0</v>
      </c>
      <c r="BX190" s="2">
        <v>1.0</v>
      </c>
      <c r="BY190" s="2">
        <v>1.0</v>
      </c>
      <c r="BZ190" s="2">
        <v>1.0</v>
      </c>
      <c r="CB190" s="2"/>
      <c r="CC190" s="2"/>
      <c r="CD190" s="2"/>
      <c r="CE190" s="2"/>
      <c r="CF190" s="2"/>
      <c r="CG190" s="2"/>
      <c r="CH190" s="2"/>
      <c r="CI190" s="2"/>
      <c r="CJ190" s="2"/>
      <c r="CK190" s="2"/>
      <c r="CL190" s="2"/>
      <c r="CM190" s="2"/>
      <c r="CN190" s="2"/>
      <c r="CO190" s="2"/>
      <c r="CP190" s="2"/>
      <c r="CQ190" s="2"/>
    </row>
    <row r="191">
      <c r="BI191" s="38" t="str">
        <f>IFERROR(__xludf.DUMMYFUNCTION("""COMPUTED_VALUE"""),"Heavy Crossbow")</f>
        <v>Heavy Crossbow</v>
      </c>
      <c r="BJ191" s="2">
        <v>1.5</v>
      </c>
      <c r="BK191" s="2">
        <v>1.0</v>
      </c>
      <c r="BL191" s="2">
        <v>1.0</v>
      </c>
      <c r="BM191" s="2">
        <v>1.0</v>
      </c>
      <c r="BN191" s="2">
        <v>1.0</v>
      </c>
      <c r="BO191" s="2">
        <v>1.0</v>
      </c>
      <c r="BP191" s="2">
        <v>1.0</v>
      </c>
      <c r="BQ191" s="2">
        <v>1.0</v>
      </c>
      <c r="BR191" s="2">
        <v>1.0</v>
      </c>
      <c r="BS191" s="2">
        <v>1.0</v>
      </c>
      <c r="BT191" s="2">
        <v>1.0</v>
      </c>
      <c r="BU191" s="2">
        <v>1.0</v>
      </c>
      <c r="BV191" s="2">
        <v>1.0</v>
      </c>
      <c r="BW191" s="2">
        <v>1.0</v>
      </c>
      <c r="BX191" s="2">
        <v>1.0</v>
      </c>
      <c r="BY191" s="2">
        <v>1.0</v>
      </c>
      <c r="BZ191" s="2">
        <v>1.0</v>
      </c>
      <c r="CB191" s="2"/>
      <c r="CC191" s="2"/>
      <c r="CD191" s="2"/>
      <c r="CE191" s="2"/>
      <c r="CF191" s="2"/>
      <c r="CG191" s="2"/>
      <c r="CH191" s="2"/>
      <c r="CI191" s="2"/>
      <c r="CJ191" s="2"/>
      <c r="CK191" s="2"/>
      <c r="CL191" s="2"/>
      <c r="CM191" s="2"/>
      <c r="CN191" s="2"/>
      <c r="CO191" s="2"/>
      <c r="CP191" s="2"/>
      <c r="CQ191" s="2"/>
    </row>
    <row r="192">
      <c r="BI192" s="38" t="str">
        <f>IFERROR(__xludf.DUMMYFUNCTION("""COMPUTED_VALUE"""),"Holy Symbol (Amulet)")</f>
        <v>Holy Symbol (Amulet)</v>
      </c>
      <c r="BJ192" s="2">
        <v>1.5</v>
      </c>
      <c r="BK192" s="2">
        <v>1.0</v>
      </c>
      <c r="BL192" s="2">
        <v>1.0</v>
      </c>
      <c r="BM192" s="2">
        <v>1.0</v>
      </c>
      <c r="BN192" s="2">
        <v>1.0</v>
      </c>
      <c r="BO192" s="2">
        <v>1.0</v>
      </c>
      <c r="BP192" s="2">
        <v>1.0</v>
      </c>
      <c r="BQ192" s="2">
        <v>1.0</v>
      </c>
      <c r="BR192" s="2">
        <v>1.0</v>
      </c>
      <c r="BS192" s="2">
        <v>1.0</v>
      </c>
      <c r="BT192" s="2">
        <v>1.0</v>
      </c>
      <c r="BU192" s="2">
        <v>1.0</v>
      </c>
      <c r="BV192" s="2">
        <v>1.0</v>
      </c>
      <c r="BW192" s="2">
        <v>1.0</v>
      </c>
      <c r="BX192" s="2">
        <v>1.0</v>
      </c>
      <c r="BY192" s="2">
        <v>1.0</v>
      </c>
      <c r="BZ192" s="2">
        <v>1.0</v>
      </c>
      <c r="CB192" s="2"/>
      <c r="CC192" s="2"/>
      <c r="CD192" s="2"/>
      <c r="CE192" s="2"/>
      <c r="CF192" s="2"/>
      <c r="CG192" s="2"/>
      <c r="CH192" s="2"/>
      <c r="CI192" s="2"/>
      <c r="CJ192" s="2"/>
      <c r="CK192" s="2"/>
      <c r="CL192" s="2"/>
      <c r="CM192" s="2"/>
      <c r="CN192" s="2"/>
      <c r="CO192" s="2"/>
      <c r="CP192" s="2"/>
      <c r="CQ192" s="2"/>
    </row>
    <row r="193">
      <c r="BI193" s="38" t="str">
        <f>IFERROR(__xludf.DUMMYFUNCTION("""COMPUTED_VALUE"""),"Holy Symbol (Emblem)")</f>
        <v>Holy Symbol (Emblem)</v>
      </c>
      <c r="BJ193" s="2">
        <v>1.5</v>
      </c>
      <c r="BK193" s="2">
        <v>1.0</v>
      </c>
      <c r="BL193" s="2">
        <v>1.0</v>
      </c>
      <c r="BM193" s="2">
        <v>1.0</v>
      </c>
      <c r="BN193" s="2">
        <v>1.0</v>
      </c>
      <c r="BO193" s="2">
        <v>1.0</v>
      </c>
      <c r="BP193" s="2">
        <v>1.0</v>
      </c>
      <c r="BQ193" s="2">
        <v>1.0</v>
      </c>
      <c r="BR193" s="2">
        <v>1.0</v>
      </c>
      <c r="BS193" s="2">
        <v>1.0</v>
      </c>
      <c r="BT193" s="2">
        <v>1.0</v>
      </c>
      <c r="BU193" s="2">
        <v>1.0</v>
      </c>
      <c r="BV193" s="2">
        <v>1.0</v>
      </c>
      <c r="BW193" s="2">
        <v>1.0</v>
      </c>
      <c r="BX193" s="2">
        <v>1.0</v>
      </c>
      <c r="BY193" s="2">
        <v>1.0</v>
      </c>
      <c r="BZ193" s="2">
        <v>1.0</v>
      </c>
      <c r="CB193" s="2"/>
      <c r="CC193" s="2"/>
      <c r="CD193" s="2"/>
      <c r="CE193" s="2"/>
      <c r="CF193" s="2"/>
      <c r="CG193" s="2"/>
      <c r="CH193" s="2"/>
      <c r="CI193" s="2"/>
      <c r="CJ193" s="2"/>
      <c r="CK193" s="2"/>
      <c r="CL193" s="2"/>
      <c r="CM193" s="2"/>
      <c r="CN193" s="2"/>
      <c r="CO193" s="2"/>
      <c r="CP193" s="2"/>
      <c r="CQ193" s="2"/>
    </row>
    <row r="194">
      <c r="BI194" s="38" t="str">
        <f>IFERROR(__xludf.DUMMYFUNCTION("""COMPUTED_VALUE"""),"Holy Symbol (Reliquary)")</f>
        <v>Holy Symbol (Reliquary)</v>
      </c>
      <c r="BJ194" s="2">
        <v>1.5</v>
      </c>
      <c r="BK194" s="2">
        <v>1.0</v>
      </c>
      <c r="BL194" s="2">
        <v>1.0</v>
      </c>
      <c r="BM194" s="2">
        <v>1.0</v>
      </c>
      <c r="BN194" s="2">
        <v>1.0</v>
      </c>
      <c r="BO194" s="2">
        <v>1.0</v>
      </c>
      <c r="BP194" s="2">
        <v>1.0</v>
      </c>
      <c r="BQ194" s="2">
        <v>1.0</v>
      </c>
      <c r="BR194" s="2">
        <v>1.0</v>
      </c>
      <c r="BS194" s="2">
        <v>1.0</v>
      </c>
      <c r="BT194" s="2">
        <v>1.0</v>
      </c>
      <c r="BU194" s="2">
        <v>1.0</v>
      </c>
      <c r="BV194" s="2">
        <v>1.0</v>
      </c>
      <c r="BW194" s="2">
        <v>1.0</v>
      </c>
      <c r="BX194" s="2">
        <v>1.0</v>
      </c>
      <c r="BY194" s="2">
        <v>1.0</v>
      </c>
      <c r="BZ194" s="2">
        <v>1.0</v>
      </c>
      <c r="CB194" s="2"/>
      <c r="CC194" s="2"/>
      <c r="CD194" s="2"/>
      <c r="CE194" s="2"/>
      <c r="CF194" s="2"/>
      <c r="CG194" s="2"/>
      <c r="CH194" s="2"/>
      <c r="CI194" s="2"/>
      <c r="CJ194" s="2"/>
      <c r="CK194" s="2"/>
      <c r="CL194" s="2"/>
      <c r="CM194" s="2"/>
      <c r="CN194" s="2"/>
      <c r="CO194" s="2"/>
      <c r="CP194" s="2"/>
      <c r="CQ194" s="2"/>
    </row>
    <row r="195">
      <c r="BI195" s="38" t="str">
        <f>IFERROR(__xludf.DUMMYFUNCTION("""COMPUTED_VALUE"""),"Holy Water")</f>
        <v>Holy Water</v>
      </c>
      <c r="BJ195" s="2">
        <v>1.5</v>
      </c>
      <c r="BK195" s="2">
        <v>1.0</v>
      </c>
      <c r="BL195" s="2">
        <v>1.0</v>
      </c>
      <c r="BM195" s="2">
        <v>1.0</v>
      </c>
      <c r="BN195" s="2">
        <v>1.0</v>
      </c>
      <c r="BO195" s="2">
        <v>1.0</v>
      </c>
      <c r="BP195" s="2">
        <v>1.0</v>
      </c>
      <c r="BQ195" s="2">
        <v>1.0</v>
      </c>
      <c r="BR195" s="2">
        <v>1.0</v>
      </c>
      <c r="BS195" s="2">
        <v>1.0</v>
      </c>
      <c r="BT195" s="2">
        <v>1.0</v>
      </c>
      <c r="BU195" s="2">
        <v>1.0</v>
      </c>
      <c r="BV195" s="2">
        <v>1.0</v>
      </c>
      <c r="BW195" s="2">
        <v>1.0</v>
      </c>
      <c r="BX195" s="2">
        <v>1.0</v>
      </c>
      <c r="BY195" s="2">
        <v>1.0</v>
      </c>
      <c r="BZ195" s="2">
        <v>1.0</v>
      </c>
      <c r="CB195" s="2"/>
      <c r="CC195" s="2"/>
      <c r="CD195" s="2"/>
      <c r="CE195" s="2"/>
      <c r="CF195" s="2"/>
      <c r="CG195" s="2"/>
      <c r="CH195" s="2"/>
      <c r="CI195" s="2"/>
      <c r="CJ195" s="2"/>
      <c r="CK195" s="2"/>
      <c r="CL195" s="2"/>
      <c r="CM195" s="2"/>
      <c r="CN195" s="2"/>
      <c r="CO195" s="2"/>
      <c r="CP195" s="2"/>
      <c r="CQ195" s="2"/>
    </row>
    <row r="196">
      <c r="BI196" s="38" t="str">
        <f>IFERROR(__xludf.DUMMYFUNCTION("""COMPUTED_VALUE"""),"Javelin")</f>
        <v>Javelin</v>
      </c>
      <c r="BJ196" s="2">
        <v>1.5</v>
      </c>
      <c r="BK196" s="2">
        <v>1.0</v>
      </c>
      <c r="BL196" s="2">
        <v>1.0</v>
      </c>
      <c r="BM196" s="2">
        <v>1.0</v>
      </c>
      <c r="BN196" s="2">
        <v>1.0</v>
      </c>
      <c r="BO196" s="2">
        <v>1.0</v>
      </c>
      <c r="BP196" s="2">
        <v>1.0</v>
      </c>
      <c r="BQ196" s="2">
        <v>1.0</v>
      </c>
      <c r="BR196" s="2">
        <v>1.0</v>
      </c>
      <c r="BS196" s="2">
        <v>1.0</v>
      </c>
      <c r="BT196" s="2">
        <v>1.0</v>
      </c>
      <c r="BU196" s="2">
        <v>1.0</v>
      </c>
      <c r="BV196" s="2">
        <v>1.0</v>
      </c>
      <c r="BW196" s="2">
        <v>1.0</v>
      </c>
      <c r="BX196" s="2">
        <v>1.0</v>
      </c>
      <c r="BY196" s="2">
        <v>1.0</v>
      </c>
      <c r="BZ196" s="2">
        <v>1.0</v>
      </c>
      <c r="CB196" s="2"/>
      <c r="CC196" s="2"/>
      <c r="CD196" s="2"/>
      <c r="CE196" s="2"/>
      <c r="CF196" s="2"/>
      <c r="CG196" s="2"/>
      <c r="CH196" s="2"/>
      <c r="CI196" s="2"/>
      <c r="CJ196" s="2"/>
      <c r="CK196" s="2"/>
      <c r="CL196" s="2"/>
      <c r="CM196" s="2"/>
      <c r="CN196" s="2"/>
      <c r="CO196" s="2"/>
      <c r="CP196" s="2"/>
      <c r="CQ196" s="2"/>
    </row>
    <row r="197">
      <c r="BI197" s="38" t="str">
        <f>IFERROR(__xludf.DUMMYFUNCTION("""COMPUTED_VALUE"""),"Lance")</f>
        <v>Lance</v>
      </c>
      <c r="BJ197" s="2">
        <v>1.5</v>
      </c>
      <c r="BK197" s="2">
        <v>1.0</v>
      </c>
      <c r="BL197" s="2">
        <v>1.0</v>
      </c>
      <c r="BM197" s="2">
        <v>1.0</v>
      </c>
      <c r="BN197" s="2">
        <v>1.0</v>
      </c>
      <c r="BO197" s="2">
        <v>1.0</v>
      </c>
      <c r="BP197" s="2">
        <v>1.0</v>
      </c>
      <c r="BQ197" s="2">
        <v>1.0</v>
      </c>
      <c r="BR197" s="2">
        <v>1.0</v>
      </c>
      <c r="BS197" s="2">
        <v>1.0</v>
      </c>
      <c r="BT197" s="2">
        <v>1.0</v>
      </c>
      <c r="BU197" s="2">
        <v>1.0</v>
      </c>
      <c r="BV197" s="2">
        <v>1.0</v>
      </c>
      <c r="BW197" s="2">
        <v>1.0</v>
      </c>
      <c r="BX197" s="2">
        <v>1.0</v>
      </c>
      <c r="BY197" s="2">
        <v>1.0</v>
      </c>
      <c r="BZ197" s="2">
        <v>1.0</v>
      </c>
      <c r="CB197" s="2"/>
      <c r="CC197" s="2"/>
      <c r="CD197" s="2"/>
      <c r="CE197" s="2"/>
      <c r="CF197" s="2"/>
      <c r="CG197" s="2"/>
      <c r="CH197" s="2"/>
      <c r="CI197" s="2"/>
      <c r="CJ197" s="2"/>
      <c r="CK197" s="2"/>
      <c r="CL197" s="2"/>
      <c r="CM197" s="2"/>
      <c r="CN197" s="2"/>
      <c r="CO197" s="2"/>
      <c r="CP197" s="2"/>
      <c r="CQ197" s="2"/>
    </row>
    <row r="198">
      <c r="BI198" s="38" t="str">
        <f>IFERROR(__xludf.DUMMYFUNCTION("""COMPUTED_VALUE"""),"Light Crossbow")</f>
        <v>Light Crossbow</v>
      </c>
      <c r="BJ198" s="2">
        <v>1.5</v>
      </c>
      <c r="BK198" s="2">
        <v>1.0</v>
      </c>
      <c r="BL198" s="2">
        <v>1.0</v>
      </c>
      <c r="BM198" s="2">
        <v>1.0</v>
      </c>
      <c r="BN198" s="2">
        <v>1.0</v>
      </c>
      <c r="BO198" s="2">
        <v>1.0</v>
      </c>
      <c r="BP198" s="2">
        <v>1.0</v>
      </c>
      <c r="BQ198" s="2">
        <v>1.0</v>
      </c>
      <c r="BR198" s="2">
        <v>1.0</v>
      </c>
      <c r="BS198" s="2">
        <v>1.0</v>
      </c>
      <c r="BT198" s="2">
        <v>1.0</v>
      </c>
      <c r="BU198" s="2">
        <v>1.0</v>
      </c>
      <c r="BV198" s="2">
        <v>1.0</v>
      </c>
      <c r="BW198" s="2">
        <v>1.0</v>
      </c>
      <c r="BX198" s="2">
        <v>1.0</v>
      </c>
      <c r="BY198" s="2">
        <v>1.0</v>
      </c>
      <c r="BZ198" s="2">
        <v>1.0</v>
      </c>
      <c r="CB198" s="2"/>
      <c r="CC198" s="2"/>
      <c r="CD198" s="2"/>
      <c r="CE198" s="2"/>
      <c r="CF198" s="2"/>
      <c r="CG198" s="2"/>
      <c r="CH198" s="2"/>
      <c r="CI198" s="2"/>
      <c r="CJ198" s="2"/>
      <c r="CK198" s="2"/>
      <c r="CL198" s="2"/>
      <c r="CM198" s="2"/>
      <c r="CN198" s="2"/>
      <c r="CO198" s="2"/>
      <c r="CP198" s="2"/>
      <c r="CQ198" s="2"/>
    </row>
    <row r="199">
      <c r="BI199" s="38" t="str">
        <f>IFERROR(__xludf.DUMMYFUNCTION("""COMPUTED_VALUE"""),"Light Hammer")</f>
        <v>Light Hammer</v>
      </c>
      <c r="BJ199" s="2">
        <v>1.5</v>
      </c>
      <c r="BK199" s="2">
        <v>1.0</v>
      </c>
      <c r="BL199" s="2">
        <v>1.0</v>
      </c>
      <c r="BM199" s="2">
        <v>1.0</v>
      </c>
      <c r="BN199" s="2">
        <v>1.0</v>
      </c>
      <c r="BO199" s="2">
        <v>1.0</v>
      </c>
      <c r="BP199" s="2">
        <v>1.0</v>
      </c>
      <c r="BQ199" s="2">
        <v>1.0</v>
      </c>
      <c r="BR199" s="2">
        <v>1.0</v>
      </c>
      <c r="BS199" s="2">
        <v>1.0</v>
      </c>
      <c r="BT199" s="2">
        <v>1.0</v>
      </c>
      <c r="BU199" s="2">
        <v>1.0</v>
      </c>
      <c r="BV199" s="2">
        <v>1.0</v>
      </c>
      <c r="BW199" s="2">
        <v>1.0</v>
      </c>
      <c r="BX199" s="2">
        <v>1.0</v>
      </c>
      <c r="BY199" s="2">
        <v>1.0</v>
      </c>
      <c r="BZ199" s="2">
        <v>1.0</v>
      </c>
      <c r="CB199" s="2"/>
      <c r="CC199" s="2"/>
      <c r="CD199" s="2"/>
      <c r="CE199" s="2"/>
      <c r="CF199" s="2"/>
      <c r="CG199" s="2"/>
      <c r="CH199" s="2"/>
      <c r="CI199" s="2"/>
      <c r="CJ199" s="2"/>
      <c r="CK199" s="2"/>
      <c r="CL199" s="2"/>
      <c r="CM199" s="2"/>
      <c r="CN199" s="2"/>
      <c r="CO199" s="2"/>
      <c r="CP199" s="2"/>
      <c r="CQ199" s="2"/>
    </row>
    <row r="200">
      <c r="BI200" s="38" t="str">
        <f>IFERROR(__xludf.DUMMYFUNCTION("""COMPUTED_VALUE"""),"Longbow")</f>
        <v>Longbow</v>
      </c>
      <c r="BJ200" s="2">
        <v>1.5</v>
      </c>
      <c r="BK200" s="2">
        <v>1.0</v>
      </c>
      <c r="BL200" s="2">
        <v>1.0</v>
      </c>
      <c r="BM200" s="2">
        <v>1.0</v>
      </c>
      <c r="BN200" s="2">
        <v>1.0</v>
      </c>
      <c r="BO200" s="2">
        <v>1.0</v>
      </c>
      <c r="BP200" s="2">
        <v>1.0</v>
      </c>
      <c r="BQ200" s="2">
        <v>1.0</v>
      </c>
      <c r="BR200" s="2">
        <v>1.0</v>
      </c>
      <c r="BS200" s="2">
        <v>1.0</v>
      </c>
      <c r="BT200" s="2">
        <v>1.0</v>
      </c>
      <c r="BU200" s="2">
        <v>1.0</v>
      </c>
      <c r="BV200" s="2">
        <v>1.0</v>
      </c>
      <c r="BW200" s="2">
        <v>1.0</v>
      </c>
      <c r="BX200" s="2">
        <v>1.0</v>
      </c>
      <c r="BY200" s="2">
        <v>1.0</v>
      </c>
      <c r="BZ200" s="2">
        <v>1.0</v>
      </c>
      <c r="CB200" s="2"/>
      <c r="CC200" s="2"/>
      <c r="CD200" s="2"/>
      <c r="CE200" s="2"/>
      <c r="CF200" s="2"/>
      <c r="CG200" s="2"/>
      <c r="CH200" s="2"/>
      <c r="CI200" s="2"/>
      <c r="CJ200" s="2"/>
      <c r="CK200" s="2"/>
      <c r="CL200" s="2"/>
      <c r="CM200" s="2"/>
      <c r="CN200" s="2"/>
      <c r="CO200" s="2"/>
      <c r="CP200" s="2"/>
      <c r="CQ200" s="2"/>
    </row>
    <row r="201">
      <c r="BI201" s="38" t="str">
        <f>IFERROR(__xludf.DUMMYFUNCTION("""COMPUTED_VALUE"""),"Longsword")</f>
        <v>Longsword</v>
      </c>
      <c r="BJ201" s="2">
        <v>1.5</v>
      </c>
      <c r="BK201" s="2">
        <v>1.0</v>
      </c>
      <c r="BL201" s="2">
        <v>1.0</v>
      </c>
      <c r="BM201" s="2">
        <v>1.0</v>
      </c>
      <c r="BN201" s="2">
        <v>1.0</v>
      </c>
      <c r="BO201" s="2">
        <v>1.0</v>
      </c>
      <c r="BP201" s="2">
        <v>1.0</v>
      </c>
      <c r="BQ201" s="2">
        <v>1.0</v>
      </c>
      <c r="BR201" s="2">
        <v>1.0</v>
      </c>
      <c r="BS201" s="2">
        <v>1.0</v>
      </c>
      <c r="BT201" s="2">
        <v>1.0</v>
      </c>
      <c r="BU201" s="2">
        <v>1.0</v>
      </c>
      <c r="BV201" s="2">
        <v>1.0</v>
      </c>
      <c r="BW201" s="2">
        <v>1.0</v>
      </c>
      <c r="BX201" s="2">
        <v>1.0</v>
      </c>
      <c r="BY201" s="2">
        <v>1.0</v>
      </c>
      <c r="BZ201" s="2">
        <v>1.0</v>
      </c>
      <c r="CB201" s="2"/>
      <c r="CC201" s="2"/>
      <c r="CD201" s="2"/>
      <c r="CE201" s="2"/>
      <c r="CF201" s="2"/>
      <c r="CG201" s="2"/>
      <c r="CH201" s="2"/>
      <c r="CI201" s="2"/>
      <c r="CJ201" s="2"/>
      <c r="CK201" s="2"/>
      <c r="CL201" s="2"/>
      <c r="CM201" s="2"/>
      <c r="CN201" s="2"/>
      <c r="CO201" s="2"/>
      <c r="CP201" s="2"/>
      <c r="CQ201" s="2"/>
    </row>
    <row r="202">
      <c r="BI202" s="38" t="str">
        <f>IFERROR(__xludf.DUMMYFUNCTION("""COMPUTED_VALUE"""),"Mace")</f>
        <v>Mace</v>
      </c>
      <c r="BJ202" s="2">
        <v>1.5</v>
      </c>
      <c r="BK202" s="2">
        <v>1.0</v>
      </c>
      <c r="BL202" s="2">
        <v>1.0</v>
      </c>
      <c r="BM202" s="2">
        <v>1.0</v>
      </c>
      <c r="BN202" s="2">
        <v>1.0</v>
      </c>
      <c r="BO202" s="2">
        <v>1.0</v>
      </c>
      <c r="BP202" s="2">
        <v>1.0</v>
      </c>
      <c r="BQ202" s="2">
        <v>1.0</v>
      </c>
      <c r="BR202" s="2">
        <v>1.0</v>
      </c>
      <c r="BS202" s="2">
        <v>1.0</v>
      </c>
      <c r="BT202" s="2">
        <v>1.0</v>
      </c>
      <c r="BU202" s="2">
        <v>1.0</v>
      </c>
      <c r="BV202" s="2">
        <v>1.0</v>
      </c>
      <c r="BW202" s="2">
        <v>1.0</v>
      </c>
      <c r="BX202" s="2">
        <v>1.0</v>
      </c>
      <c r="BY202" s="2">
        <v>1.0</v>
      </c>
      <c r="BZ202" s="2">
        <v>1.0</v>
      </c>
      <c r="CB202" s="2"/>
      <c r="CC202" s="2"/>
      <c r="CD202" s="2"/>
      <c r="CE202" s="2"/>
      <c r="CF202" s="2"/>
      <c r="CG202" s="2"/>
      <c r="CH202" s="2"/>
      <c r="CI202" s="2"/>
      <c r="CJ202" s="2"/>
      <c r="CK202" s="2"/>
      <c r="CL202" s="2"/>
      <c r="CM202" s="2"/>
      <c r="CN202" s="2"/>
      <c r="CO202" s="2"/>
      <c r="CP202" s="2"/>
      <c r="CQ202" s="2"/>
    </row>
    <row r="203">
      <c r="BI203" s="38" t="str">
        <f>IFERROR(__xludf.DUMMYFUNCTION("""COMPUTED_VALUE"""),"Maul")</f>
        <v>Maul</v>
      </c>
      <c r="BJ203" s="2">
        <v>1.5</v>
      </c>
      <c r="BK203" s="2">
        <v>1.0</v>
      </c>
      <c r="BL203" s="2">
        <v>1.0</v>
      </c>
      <c r="BM203" s="2">
        <v>1.0</v>
      </c>
      <c r="BN203" s="2">
        <v>1.0</v>
      </c>
      <c r="BO203" s="2">
        <v>1.0</v>
      </c>
      <c r="BP203" s="2">
        <v>1.0</v>
      </c>
      <c r="BQ203" s="2">
        <v>1.0</v>
      </c>
      <c r="BR203" s="2">
        <v>1.0</v>
      </c>
      <c r="BS203" s="2">
        <v>1.0</v>
      </c>
      <c r="BT203" s="2">
        <v>1.0</v>
      </c>
      <c r="BU203" s="2">
        <v>1.0</v>
      </c>
      <c r="BV203" s="2">
        <v>1.0</v>
      </c>
      <c r="BW203" s="2">
        <v>1.0</v>
      </c>
      <c r="BX203" s="2">
        <v>1.0</v>
      </c>
      <c r="BY203" s="2">
        <v>1.0</v>
      </c>
      <c r="BZ203" s="2">
        <v>1.0</v>
      </c>
      <c r="CB203" s="2"/>
      <c r="CC203" s="2"/>
      <c r="CD203" s="2"/>
      <c r="CE203" s="2"/>
      <c r="CF203" s="2"/>
      <c r="CG203" s="2"/>
      <c r="CH203" s="2"/>
      <c r="CI203" s="2"/>
      <c r="CJ203" s="2"/>
      <c r="CK203" s="2"/>
      <c r="CL203" s="2"/>
      <c r="CM203" s="2"/>
      <c r="CN203" s="2"/>
      <c r="CO203" s="2"/>
      <c r="CP203" s="2"/>
      <c r="CQ203" s="2"/>
    </row>
    <row r="204">
      <c r="BI204" s="38" t="str">
        <f>IFERROR(__xludf.DUMMYFUNCTION("""COMPUTED_VALUE"""),"Morningstar")</f>
        <v>Morningstar</v>
      </c>
      <c r="BJ204" s="2">
        <v>1.5</v>
      </c>
      <c r="BK204" s="2">
        <v>1.0</v>
      </c>
      <c r="BL204" s="2">
        <v>1.0</v>
      </c>
      <c r="BM204" s="2">
        <v>1.0</v>
      </c>
      <c r="BN204" s="2">
        <v>1.0</v>
      </c>
      <c r="BO204" s="2">
        <v>1.0</v>
      </c>
      <c r="BP204" s="2">
        <v>1.0</v>
      </c>
      <c r="BQ204" s="2">
        <v>1.0</v>
      </c>
      <c r="BR204" s="2">
        <v>1.0</v>
      </c>
      <c r="BS204" s="2">
        <v>1.0</v>
      </c>
      <c r="BT204" s="2">
        <v>1.0</v>
      </c>
      <c r="BU204" s="2">
        <v>1.0</v>
      </c>
      <c r="BV204" s="2">
        <v>1.0</v>
      </c>
      <c r="BW204" s="2">
        <v>1.0</v>
      </c>
      <c r="BX204" s="2">
        <v>1.0</v>
      </c>
      <c r="BY204" s="2">
        <v>1.0</v>
      </c>
      <c r="BZ204" s="2">
        <v>1.0</v>
      </c>
      <c r="CB204" s="2"/>
      <c r="CC204" s="2"/>
      <c r="CD204" s="2"/>
      <c r="CE204" s="2"/>
      <c r="CF204" s="2"/>
      <c r="CG204" s="2"/>
      <c r="CH204" s="2"/>
      <c r="CI204" s="2"/>
      <c r="CJ204" s="2"/>
      <c r="CK204" s="2"/>
      <c r="CL204" s="2"/>
      <c r="CM204" s="2"/>
      <c r="CN204" s="2"/>
      <c r="CO204" s="2"/>
      <c r="CP204" s="2"/>
      <c r="CQ204" s="2"/>
    </row>
    <row r="205">
      <c r="BI205" s="38" t="str">
        <f>IFERROR(__xludf.DUMMYFUNCTION("""COMPUTED_VALUE"""),"Net")</f>
        <v>Net</v>
      </c>
      <c r="BJ205" s="2">
        <v>1.5</v>
      </c>
      <c r="BK205" s="2">
        <v>1.0</v>
      </c>
      <c r="BL205" s="2">
        <v>1.0</v>
      </c>
      <c r="BM205" s="2">
        <v>1.0</v>
      </c>
      <c r="BN205" s="2">
        <v>1.0</v>
      </c>
      <c r="BO205" s="2">
        <v>1.0</v>
      </c>
      <c r="BP205" s="2">
        <v>1.0</v>
      </c>
      <c r="BQ205" s="2">
        <v>1.0</v>
      </c>
      <c r="BR205" s="2">
        <v>1.0</v>
      </c>
      <c r="BS205" s="2">
        <v>1.0</v>
      </c>
      <c r="BT205" s="2">
        <v>1.0</v>
      </c>
      <c r="BU205" s="2">
        <v>1.0</v>
      </c>
      <c r="BV205" s="2">
        <v>1.0</v>
      </c>
      <c r="BW205" s="2">
        <v>1.0</v>
      </c>
      <c r="BX205" s="2">
        <v>1.0</v>
      </c>
      <c r="BY205" s="2">
        <v>1.0</v>
      </c>
      <c r="BZ205" s="2">
        <v>1.0</v>
      </c>
      <c r="CB205" s="2"/>
      <c r="CC205" s="2"/>
      <c r="CD205" s="2"/>
      <c r="CE205" s="2"/>
      <c r="CF205" s="2"/>
      <c r="CG205" s="2"/>
      <c r="CH205" s="2"/>
      <c r="CI205" s="2"/>
      <c r="CJ205" s="2"/>
      <c r="CK205" s="2"/>
      <c r="CL205" s="2"/>
      <c r="CM205" s="2"/>
      <c r="CN205" s="2"/>
      <c r="CO205" s="2"/>
      <c r="CP205" s="2"/>
      <c r="CQ205" s="2"/>
    </row>
    <row r="206">
      <c r="BI206" s="38" t="str">
        <f>IFERROR(__xludf.DUMMYFUNCTION("""COMPUTED_VALUE"""),"Pike")</f>
        <v>Pike</v>
      </c>
      <c r="BJ206" s="2">
        <v>1.5</v>
      </c>
      <c r="BK206" s="2">
        <v>1.0</v>
      </c>
      <c r="BL206" s="2">
        <v>1.0</v>
      </c>
      <c r="BM206" s="2">
        <v>1.0</v>
      </c>
      <c r="BN206" s="2">
        <v>1.0</v>
      </c>
      <c r="BO206" s="2">
        <v>1.0</v>
      </c>
      <c r="BP206" s="2">
        <v>1.0</v>
      </c>
      <c r="BQ206" s="2">
        <v>1.0</v>
      </c>
      <c r="BR206" s="2">
        <v>1.0</v>
      </c>
      <c r="BS206" s="2">
        <v>1.0</v>
      </c>
      <c r="BT206" s="2">
        <v>1.0</v>
      </c>
      <c r="BU206" s="2">
        <v>1.0</v>
      </c>
      <c r="BV206" s="2">
        <v>1.0</v>
      </c>
      <c r="BW206" s="2">
        <v>1.0</v>
      </c>
      <c r="BX206" s="2">
        <v>1.0</v>
      </c>
      <c r="BY206" s="2">
        <v>1.0</v>
      </c>
      <c r="BZ206" s="2">
        <v>1.0</v>
      </c>
      <c r="CB206" s="2"/>
      <c r="CC206" s="2"/>
      <c r="CD206" s="2"/>
      <c r="CE206" s="2"/>
      <c r="CF206" s="2"/>
      <c r="CG206" s="2"/>
      <c r="CH206" s="2"/>
      <c r="CI206" s="2"/>
      <c r="CJ206" s="2"/>
      <c r="CK206" s="2"/>
      <c r="CL206" s="2"/>
      <c r="CM206" s="2"/>
      <c r="CN206" s="2"/>
      <c r="CO206" s="2"/>
      <c r="CP206" s="2"/>
      <c r="CQ206" s="2"/>
    </row>
    <row r="207">
      <c r="BI207" s="38" t="str">
        <f>IFERROR(__xludf.DUMMYFUNCTION("""COMPUTED_VALUE"""),"Quarterstaff")</f>
        <v>Quarterstaff</v>
      </c>
      <c r="BJ207" s="2">
        <v>1.5</v>
      </c>
      <c r="BK207" s="2">
        <v>1.0</v>
      </c>
      <c r="BL207" s="2">
        <v>1.0</v>
      </c>
      <c r="BM207" s="2">
        <v>1.0</v>
      </c>
      <c r="BN207" s="2">
        <v>1.0</v>
      </c>
      <c r="BO207" s="2">
        <v>1.0</v>
      </c>
      <c r="BP207" s="2">
        <v>1.0</v>
      </c>
      <c r="BQ207" s="2">
        <v>1.0</v>
      </c>
      <c r="BR207" s="2">
        <v>1.0</v>
      </c>
      <c r="BS207" s="2">
        <v>1.0</v>
      </c>
      <c r="BT207" s="2">
        <v>1.0</v>
      </c>
      <c r="BU207" s="2">
        <v>1.0</v>
      </c>
      <c r="BV207" s="2">
        <v>1.0</v>
      </c>
      <c r="BW207" s="2">
        <v>1.0</v>
      </c>
      <c r="BX207" s="2">
        <v>1.0</v>
      </c>
      <c r="BY207" s="2">
        <v>1.0</v>
      </c>
      <c r="BZ207" s="2">
        <v>1.0</v>
      </c>
      <c r="CB207" s="2"/>
      <c r="CC207" s="2"/>
      <c r="CD207" s="2"/>
      <c r="CE207" s="2"/>
      <c r="CF207" s="2"/>
      <c r="CG207" s="2"/>
      <c r="CH207" s="2"/>
      <c r="CI207" s="2"/>
      <c r="CJ207" s="2"/>
      <c r="CK207" s="2"/>
      <c r="CL207" s="2"/>
      <c r="CM207" s="2"/>
      <c r="CN207" s="2"/>
      <c r="CO207" s="2"/>
      <c r="CP207" s="2"/>
      <c r="CQ207" s="2"/>
    </row>
    <row r="208">
      <c r="BI208" s="38" t="str">
        <f>IFERROR(__xludf.DUMMYFUNCTION("""COMPUTED_VALUE"""),"Quiver")</f>
        <v>Quiver</v>
      </c>
      <c r="BJ208" s="2">
        <v>1.5</v>
      </c>
      <c r="BK208" s="2">
        <v>1.0</v>
      </c>
      <c r="BL208" s="2">
        <v>1.0</v>
      </c>
      <c r="BM208" s="2">
        <v>1.0</v>
      </c>
      <c r="BN208" s="2">
        <v>1.0</v>
      </c>
      <c r="BO208" s="2">
        <v>1.0</v>
      </c>
      <c r="BP208" s="2">
        <v>1.0</v>
      </c>
      <c r="BQ208" s="2">
        <v>1.0</v>
      </c>
      <c r="BR208" s="2">
        <v>1.0</v>
      </c>
      <c r="BS208" s="2">
        <v>1.0</v>
      </c>
      <c r="BT208" s="2">
        <v>1.0</v>
      </c>
      <c r="BU208" s="2">
        <v>1.0</v>
      </c>
      <c r="BV208" s="2">
        <v>1.0</v>
      </c>
      <c r="BW208" s="2">
        <v>1.0</v>
      </c>
      <c r="BX208" s="2">
        <v>1.0</v>
      </c>
      <c r="BY208" s="2">
        <v>1.0</v>
      </c>
      <c r="BZ208" s="2">
        <v>1.0</v>
      </c>
      <c r="CB208" s="2"/>
      <c r="CC208" s="2"/>
      <c r="CD208" s="2"/>
      <c r="CE208" s="2"/>
      <c r="CF208" s="2"/>
      <c r="CG208" s="2"/>
      <c r="CH208" s="2"/>
      <c r="CI208" s="2"/>
      <c r="CJ208" s="2"/>
      <c r="CK208" s="2"/>
      <c r="CL208" s="2"/>
      <c r="CM208" s="2"/>
      <c r="CN208" s="2"/>
      <c r="CO208" s="2"/>
      <c r="CP208" s="2"/>
      <c r="CQ208" s="2"/>
    </row>
    <row r="209">
      <c r="BI209" s="38" t="str">
        <f>IFERROR(__xludf.DUMMYFUNCTION("""COMPUTED_VALUE"""),"Rapier")</f>
        <v>Rapier</v>
      </c>
      <c r="BJ209" s="2">
        <v>1.5</v>
      </c>
      <c r="BK209" s="2">
        <v>1.0</v>
      </c>
      <c r="BL209" s="2">
        <v>1.0</v>
      </c>
      <c r="BM209" s="2">
        <v>1.0</v>
      </c>
      <c r="BN209" s="2">
        <v>1.0</v>
      </c>
      <c r="BO209" s="2">
        <v>1.0</v>
      </c>
      <c r="BP209" s="2">
        <v>1.0</v>
      </c>
      <c r="BQ209" s="2">
        <v>1.0</v>
      </c>
      <c r="BR209" s="2">
        <v>1.0</v>
      </c>
      <c r="BS209" s="2">
        <v>1.0</v>
      </c>
      <c r="BT209" s="2">
        <v>1.0</v>
      </c>
      <c r="BU209" s="2">
        <v>1.0</v>
      </c>
      <c r="BV209" s="2">
        <v>1.0</v>
      </c>
      <c r="BW209" s="2">
        <v>1.0</v>
      </c>
      <c r="BX209" s="2">
        <v>1.0</v>
      </c>
      <c r="BY209" s="2">
        <v>1.0</v>
      </c>
      <c r="BZ209" s="2">
        <v>1.0</v>
      </c>
      <c r="CB209" s="2"/>
      <c r="CC209" s="2"/>
      <c r="CD209" s="2"/>
      <c r="CE209" s="2"/>
      <c r="CF209" s="2"/>
      <c r="CG209" s="2"/>
      <c r="CH209" s="2"/>
      <c r="CI209" s="2"/>
      <c r="CJ209" s="2"/>
      <c r="CK209" s="2"/>
      <c r="CL209" s="2"/>
      <c r="CM209" s="2"/>
      <c r="CN209" s="2"/>
      <c r="CO209" s="2"/>
      <c r="CP209" s="2"/>
      <c r="CQ209" s="2"/>
    </row>
    <row r="210">
      <c r="BI210" s="38" t="str">
        <f>IFERROR(__xludf.DUMMYFUNCTION("""COMPUTED_VALUE"""),"Scimitar")</f>
        <v>Scimitar</v>
      </c>
      <c r="BJ210" s="2">
        <v>1.5</v>
      </c>
      <c r="BK210" s="2">
        <v>1.0</v>
      </c>
      <c r="BL210" s="2">
        <v>1.0</v>
      </c>
      <c r="BM210" s="2">
        <v>1.0</v>
      </c>
      <c r="BN210" s="2">
        <v>1.0</v>
      </c>
      <c r="BO210" s="2">
        <v>1.0</v>
      </c>
      <c r="BP210" s="2">
        <v>1.0</v>
      </c>
      <c r="BQ210" s="2">
        <v>1.0</v>
      </c>
      <c r="BR210" s="2">
        <v>1.0</v>
      </c>
      <c r="BS210" s="2">
        <v>1.0</v>
      </c>
      <c r="BT210" s="2">
        <v>1.0</v>
      </c>
      <c r="BU210" s="2">
        <v>1.0</v>
      </c>
      <c r="BV210" s="2">
        <v>1.0</v>
      </c>
      <c r="BW210" s="2">
        <v>1.0</v>
      </c>
      <c r="BX210" s="2">
        <v>1.0</v>
      </c>
      <c r="BY210" s="2">
        <v>1.0</v>
      </c>
      <c r="BZ210" s="2">
        <v>1.0</v>
      </c>
      <c r="CB210" s="2"/>
      <c r="CC210" s="2"/>
      <c r="CD210" s="2"/>
      <c r="CE210" s="2"/>
      <c r="CF210" s="2"/>
      <c r="CG210" s="2"/>
      <c r="CH210" s="2"/>
      <c r="CI210" s="2"/>
      <c r="CJ210" s="2"/>
      <c r="CK210" s="2"/>
      <c r="CL210" s="2"/>
      <c r="CM210" s="2"/>
      <c r="CN210" s="2"/>
      <c r="CO210" s="2"/>
      <c r="CP210" s="2"/>
      <c r="CQ210" s="2"/>
    </row>
    <row r="211">
      <c r="BI211" s="38" t="str">
        <f>IFERROR(__xludf.DUMMYFUNCTION("""COMPUTED_VALUE"""),"Shortbow")</f>
        <v>Shortbow</v>
      </c>
      <c r="BJ211" s="2">
        <v>1.5</v>
      </c>
      <c r="BK211" s="2">
        <v>1.0</v>
      </c>
      <c r="BL211" s="2">
        <v>1.0</v>
      </c>
      <c r="BM211" s="2">
        <v>1.0</v>
      </c>
      <c r="BN211" s="2">
        <v>1.0</v>
      </c>
      <c r="BO211" s="2">
        <v>1.0</v>
      </c>
      <c r="BP211" s="2">
        <v>1.0</v>
      </c>
      <c r="BQ211" s="2">
        <v>1.0</v>
      </c>
      <c r="BR211" s="2">
        <v>1.0</v>
      </c>
      <c r="BS211" s="2">
        <v>1.0</v>
      </c>
      <c r="BT211" s="2">
        <v>1.0</v>
      </c>
      <c r="BU211" s="2">
        <v>1.0</v>
      </c>
      <c r="BV211" s="2">
        <v>1.0</v>
      </c>
      <c r="BW211" s="2">
        <v>1.0</v>
      </c>
      <c r="BX211" s="2">
        <v>1.0</v>
      </c>
      <c r="BY211" s="2">
        <v>1.0</v>
      </c>
      <c r="BZ211" s="2">
        <v>1.0</v>
      </c>
      <c r="CB211" s="2"/>
      <c r="CC211" s="2"/>
      <c r="CD211" s="2"/>
      <c r="CE211" s="2"/>
      <c r="CF211" s="2"/>
      <c r="CG211" s="2"/>
      <c r="CH211" s="2"/>
      <c r="CI211" s="2"/>
      <c r="CJ211" s="2"/>
      <c r="CK211" s="2"/>
      <c r="CL211" s="2"/>
      <c r="CM211" s="2"/>
      <c r="CN211" s="2"/>
      <c r="CO211" s="2"/>
      <c r="CP211" s="2"/>
      <c r="CQ211" s="2"/>
    </row>
    <row r="212">
      <c r="BI212" s="38" t="str">
        <f>IFERROR(__xludf.DUMMYFUNCTION("""COMPUTED_VALUE"""),"Shortsword")</f>
        <v>Shortsword</v>
      </c>
      <c r="BJ212" s="2">
        <v>1.5</v>
      </c>
      <c r="BK212" s="2">
        <v>1.0</v>
      </c>
      <c r="BL212" s="2">
        <v>1.0</v>
      </c>
      <c r="BM212" s="2">
        <v>1.0</v>
      </c>
      <c r="BN212" s="2">
        <v>1.0</v>
      </c>
      <c r="BO212" s="2">
        <v>1.0</v>
      </c>
      <c r="BP212" s="2">
        <v>1.0</v>
      </c>
      <c r="BQ212" s="2">
        <v>1.0</v>
      </c>
      <c r="BR212" s="2">
        <v>1.0</v>
      </c>
      <c r="BS212" s="2">
        <v>1.0</v>
      </c>
      <c r="BT212" s="2">
        <v>1.0</v>
      </c>
      <c r="BU212" s="2">
        <v>1.0</v>
      </c>
      <c r="BV212" s="2">
        <v>1.0</v>
      </c>
      <c r="BW212" s="2">
        <v>1.0</v>
      </c>
      <c r="BX212" s="2">
        <v>1.0</v>
      </c>
      <c r="BY212" s="2">
        <v>1.0</v>
      </c>
      <c r="BZ212" s="2">
        <v>1.0</v>
      </c>
      <c r="CB212" s="2"/>
      <c r="CC212" s="2"/>
      <c r="CD212" s="2"/>
      <c r="CE212" s="2"/>
      <c r="CF212" s="2"/>
      <c r="CG212" s="2"/>
      <c r="CH212" s="2"/>
      <c r="CI212" s="2"/>
      <c r="CJ212" s="2"/>
      <c r="CK212" s="2"/>
      <c r="CL212" s="2"/>
      <c r="CM212" s="2"/>
      <c r="CN212" s="2"/>
      <c r="CO212" s="2"/>
      <c r="CP212" s="2"/>
      <c r="CQ212" s="2"/>
    </row>
    <row r="213">
      <c r="BI213" s="38" t="str">
        <f>IFERROR(__xludf.DUMMYFUNCTION("""COMPUTED_VALUE"""),"Sickle")</f>
        <v>Sickle</v>
      </c>
      <c r="BJ213" s="2">
        <v>1.5</v>
      </c>
      <c r="BK213" s="2">
        <v>1.0</v>
      </c>
      <c r="BL213" s="2">
        <v>1.0</v>
      </c>
      <c r="BM213" s="2">
        <v>1.0</v>
      </c>
      <c r="BN213" s="2">
        <v>1.0</v>
      </c>
      <c r="BO213" s="2">
        <v>1.0</v>
      </c>
      <c r="BP213" s="2">
        <v>1.0</v>
      </c>
      <c r="BQ213" s="2">
        <v>1.0</v>
      </c>
      <c r="BR213" s="2">
        <v>1.0</v>
      </c>
      <c r="BS213" s="2">
        <v>1.0</v>
      </c>
      <c r="BT213" s="2">
        <v>1.0</v>
      </c>
      <c r="BU213" s="2">
        <v>1.0</v>
      </c>
      <c r="BV213" s="2">
        <v>1.0</v>
      </c>
      <c r="BW213" s="2">
        <v>1.0</v>
      </c>
      <c r="BX213" s="2">
        <v>1.0</v>
      </c>
      <c r="BY213" s="2">
        <v>1.0</v>
      </c>
      <c r="BZ213" s="2">
        <v>1.0</v>
      </c>
      <c r="CB213" s="2"/>
      <c r="CC213" s="2"/>
      <c r="CD213" s="2"/>
      <c r="CE213" s="2"/>
      <c r="CF213" s="2"/>
      <c r="CG213" s="2"/>
      <c r="CH213" s="2"/>
      <c r="CI213" s="2"/>
      <c r="CJ213" s="2"/>
      <c r="CK213" s="2"/>
      <c r="CL213" s="2"/>
      <c r="CM213" s="2"/>
      <c r="CN213" s="2"/>
      <c r="CO213" s="2"/>
      <c r="CP213" s="2"/>
      <c r="CQ213" s="2"/>
    </row>
    <row r="214">
      <c r="BI214" s="38" t="str">
        <f>IFERROR(__xludf.DUMMYFUNCTION("""COMPUTED_VALUE"""),"Sling")</f>
        <v>Sling</v>
      </c>
      <c r="BJ214" s="2">
        <v>1.5</v>
      </c>
      <c r="BK214" s="2">
        <v>1.0</v>
      </c>
      <c r="BL214" s="2">
        <v>1.0</v>
      </c>
      <c r="BM214" s="2">
        <v>1.0</v>
      </c>
      <c r="BN214" s="2">
        <v>1.0</v>
      </c>
      <c r="BO214" s="2">
        <v>1.0</v>
      </c>
      <c r="BP214" s="2">
        <v>1.0</v>
      </c>
      <c r="BQ214" s="2">
        <v>1.0</v>
      </c>
      <c r="BR214" s="2">
        <v>1.0</v>
      </c>
      <c r="BS214" s="2">
        <v>1.0</v>
      </c>
      <c r="BT214" s="2">
        <v>1.0</v>
      </c>
      <c r="BU214" s="2">
        <v>1.0</v>
      </c>
      <c r="BV214" s="2">
        <v>1.0</v>
      </c>
      <c r="BW214" s="2">
        <v>1.0</v>
      </c>
      <c r="BX214" s="2">
        <v>1.0</v>
      </c>
      <c r="BY214" s="2">
        <v>1.0</v>
      </c>
      <c r="BZ214" s="2">
        <v>1.0</v>
      </c>
      <c r="CB214" s="2"/>
      <c r="CC214" s="2"/>
      <c r="CD214" s="2"/>
      <c r="CE214" s="2"/>
      <c r="CF214" s="2"/>
      <c r="CG214" s="2"/>
      <c r="CH214" s="2"/>
      <c r="CI214" s="2"/>
      <c r="CJ214" s="2"/>
      <c r="CK214" s="2"/>
      <c r="CL214" s="2"/>
      <c r="CM214" s="2"/>
      <c r="CN214" s="2"/>
      <c r="CO214" s="2"/>
      <c r="CP214" s="2"/>
      <c r="CQ214" s="2"/>
    </row>
    <row r="215">
      <c r="BI215" s="38" t="str">
        <f>IFERROR(__xludf.DUMMYFUNCTION("""COMPUTED_VALUE"""),"Spear")</f>
        <v>Spear</v>
      </c>
      <c r="BJ215" s="2">
        <v>1.5</v>
      </c>
      <c r="BK215" s="2">
        <v>1.0</v>
      </c>
      <c r="BL215" s="2">
        <v>1.0</v>
      </c>
      <c r="BM215" s="2">
        <v>1.0</v>
      </c>
      <c r="BN215" s="2">
        <v>1.0</v>
      </c>
      <c r="BO215" s="2">
        <v>1.0</v>
      </c>
      <c r="BP215" s="2">
        <v>1.0</v>
      </c>
      <c r="BQ215" s="2">
        <v>1.0</v>
      </c>
      <c r="BR215" s="2">
        <v>1.0</v>
      </c>
      <c r="BS215" s="2">
        <v>1.0</v>
      </c>
      <c r="BT215" s="2">
        <v>1.0</v>
      </c>
      <c r="BU215" s="2">
        <v>1.0</v>
      </c>
      <c r="BV215" s="2">
        <v>1.0</v>
      </c>
      <c r="BW215" s="2">
        <v>1.0</v>
      </c>
      <c r="BX215" s="2">
        <v>1.0</v>
      </c>
      <c r="BY215" s="2">
        <v>1.0</v>
      </c>
      <c r="BZ215" s="2">
        <v>1.0</v>
      </c>
      <c r="CB215" s="2"/>
      <c r="CC215" s="2"/>
      <c r="CD215" s="2"/>
      <c r="CE215" s="2"/>
      <c r="CF215" s="2"/>
      <c r="CG215" s="2"/>
      <c r="CH215" s="2"/>
      <c r="CI215" s="2"/>
      <c r="CJ215" s="2"/>
      <c r="CK215" s="2"/>
      <c r="CL215" s="2"/>
      <c r="CM215" s="2"/>
      <c r="CN215" s="2"/>
      <c r="CO215" s="2"/>
      <c r="CP215" s="2"/>
      <c r="CQ215" s="2"/>
    </row>
    <row r="216">
      <c r="BI216" s="38" t="str">
        <f>IFERROR(__xludf.DUMMYFUNCTION("""COMPUTED_VALUE"""),"Trident")</f>
        <v>Trident</v>
      </c>
      <c r="BJ216" s="2">
        <v>1.5</v>
      </c>
      <c r="BK216" s="2">
        <v>1.0</v>
      </c>
      <c r="BL216" s="2">
        <v>1.0</v>
      </c>
      <c r="BM216" s="2">
        <v>1.0</v>
      </c>
      <c r="BN216" s="2">
        <v>1.0</v>
      </c>
      <c r="BO216" s="2">
        <v>1.0</v>
      </c>
      <c r="BP216" s="2">
        <v>1.0</v>
      </c>
      <c r="BQ216" s="2">
        <v>1.0</v>
      </c>
      <c r="BR216" s="2">
        <v>1.0</v>
      </c>
      <c r="BS216" s="2">
        <v>1.0</v>
      </c>
      <c r="BT216" s="2">
        <v>1.0</v>
      </c>
      <c r="BU216" s="2">
        <v>1.0</v>
      </c>
      <c r="BV216" s="2">
        <v>1.0</v>
      </c>
      <c r="BW216" s="2">
        <v>1.0</v>
      </c>
      <c r="BX216" s="2">
        <v>1.0</v>
      </c>
      <c r="BY216" s="2">
        <v>1.0</v>
      </c>
      <c r="BZ216" s="2">
        <v>1.0</v>
      </c>
      <c r="CB216" s="2"/>
      <c r="CC216" s="2"/>
      <c r="CD216" s="2"/>
      <c r="CE216" s="2"/>
      <c r="CF216" s="2"/>
      <c r="CG216" s="2"/>
      <c r="CH216" s="2"/>
      <c r="CI216" s="2"/>
      <c r="CJ216" s="2"/>
      <c r="CK216" s="2"/>
      <c r="CL216" s="2"/>
      <c r="CM216" s="2"/>
      <c r="CN216" s="2"/>
      <c r="CO216" s="2"/>
      <c r="CP216" s="2"/>
      <c r="CQ216" s="2"/>
    </row>
    <row r="217">
      <c r="BI217" s="38" t="str">
        <f>IFERROR(__xludf.DUMMYFUNCTION("""COMPUTED_VALUE"""),"War Pick")</f>
        <v>War Pick</v>
      </c>
      <c r="BJ217" s="2">
        <v>1.5</v>
      </c>
      <c r="BK217" s="2">
        <v>1.0</v>
      </c>
      <c r="BL217" s="2">
        <v>1.0</v>
      </c>
      <c r="BM217" s="2">
        <v>1.0</v>
      </c>
      <c r="BN217" s="2">
        <v>1.0</v>
      </c>
      <c r="BO217" s="2">
        <v>1.0</v>
      </c>
      <c r="BP217" s="2">
        <v>1.0</v>
      </c>
      <c r="BQ217" s="2">
        <v>1.0</v>
      </c>
      <c r="BR217" s="2">
        <v>1.0</v>
      </c>
      <c r="BS217" s="2">
        <v>1.0</v>
      </c>
      <c r="BT217" s="2">
        <v>1.0</v>
      </c>
      <c r="BU217" s="2">
        <v>1.0</v>
      </c>
      <c r="BV217" s="2">
        <v>1.0</v>
      </c>
      <c r="BW217" s="2">
        <v>1.0</v>
      </c>
      <c r="BX217" s="2">
        <v>1.0</v>
      </c>
      <c r="BY217" s="2">
        <v>1.0</v>
      </c>
      <c r="BZ217" s="2">
        <v>1.0</v>
      </c>
      <c r="CB217" s="2"/>
      <c r="CC217" s="2"/>
      <c r="CD217" s="2"/>
      <c r="CE217" s="2"/>
      <c r="CF217" s="2"/>
      <c r="CG217" s="2"/>
      <c r="CH217" s="2"/>
      <c r="CI217" s="2"/>
      <c r="CJ217" s="2"/>
      <c r="CK217" s="2"/>
      <c r="CL217" s="2"/>
      <c r="CM217" s="2"/>
      <c r="CN217" s="2"/>
      <c r="CO217" s="2"/>
      <c r="CP217" s="2"/>
      <c r="CQ217" s="2"/>
    </row>
    <row r="218">
      <c r="BI218" s="38" t="str">
        <f>IFERROR(__xludf.DUMMYFUNCTION("""COMPUTED_VALUE"""),"Warhammer")</f>
        <v>Warhammer</v>
      </c>
      <c r="BJ218" s="2">
        <v>1.5</v>
      </c>
      <c r="BK218" s="2">
        <v>1.0</v>
      </c>
      <c r="BL218" s="2">
        <v>1.0</v>
      </c>
      <c r="BM218" s="2">
        <v>1.0</v>
      </c>
      <c r="BN218" s="2">
        <v>1.0</v>
      </c>
      <c r="BO218" s="2">
        <v>1.0</v>
      </c>
      <c r="BP218" s="2">
        <v>1.0</v>
      </c>
      <c r="BQ218" s="2">
        <v>1.0</v>
      </c>
      <c r="BR218" s="2">
        <v>1.0</v>
      </c>
      <c r="BS218" s="2">
        <v>1.0</v>
      </c>
      <c r="BT218" s="2">
        <v>1.0</v>
      </c>
      <c r="BU218" s="2">
        <v>1.0</v>
      </c>
      <c r="BV218" s="2">
        <v>1.0</v>
      </c>
      <c r="BW218" s="2">
        <v>1.0</v>
      </c>
      <c r="BX218" s="2">
        <v>1.0</v>
      </c>
      <c r="BY218" s="2">
        <v>1.0</v>
      </c>
      <c r="BZ218" s="2">
        <v>1.0</v>
      </c>
      <c r="CB218" s="2"/>
      <c r="CC218" s="2"/>
      <c r="CD218" s="2"/>
      <c r="CE218" s="2"/>
      <c r="CF218" s="2"/>
      <c r="CG218" s="2"/>
      <c r="CH218" s="2"/>
      <c r="CI218" s="2"/>
      <c r="CJ218" s="2"/>
      <c r="CK218" s="2"/>
      <c r="CL218" s="2"/>
      <c r="CM218" s="2"/>
      <c r="CN218" s="2"/>
      <c r="CO218" s="2"/>
      <c r="CP218" s="2"/>
      <c r="CQ218" s="2"/>
    </row>
    <row r="219">
      <c r="BI219" s="38" t="str">
        <f>IFERROR(__xludf.DUMMYFUNCTION("""COMPUTED_VALUE"""),"Whip")</f>
        <v>Whip</v>
      </c>
      <c r="BJ219" s="2">
        <v>1.5</v>
      </c>
      <c r="BK219" s="2">
        <v>1.0</v>
      </c>
      <c r="BL219" s="2">
        <v>1.0</v>
      </c>
      <c r="BM219" s="2">
        <v>1.0</v>
      </c>
      <c r="BN219" s="2">
        <v>1.0</v>
      </c>
      <c r="BO219" s="2">
        <v>1.0</v>
      </c>
      <c r="BP219" s="2">
        <v>1.0</v>
      </c>
      <c r="BQ219" s="2">
        <v>1.0</v>
      </c>
      <c r="BR219" s="2">
        <v>1.0</v>
      </c>
      <c r="BS219" s="2">
        <v>1.0</v>
      </c>
      <c r="BT219" s="2">
        <v>1.0</v>
      </c>
      <c r="BU219" s="2">
        <v>1.0</v>
      </c>
      <c r="BV219" s="2">
        <v>1.0</v>
      </c>
      <c r="BW219" s="2">
        <v>1.0</v>
      </c>
      <c r="BX219" s="2">
        <v>1.0</v>
      </c>
      <c r="BY219" s="2">
        <v>1.0</v>
      </c>
      <c r="BZ219" s="2">
        <v>1.0</v>
      </c>
      <c r="CB219" s="2"/>
      <c r="CC219" s="2"/>
      <c r="CD219" s="2"/>
      <c r="CE219" s="2"/>
      <c r="CF219" s="2"/>
      <c r="CG219" s="2"/>
      <c r="CH219" s="2"/>
      <c r="CI219" s="2"/>
      <c r="CJ219" s="2"/>
      <c r="CK219" s="2"/>
      <c r="CL219" s="2"/>
      <c r="CM219" s="2"/>
      <c r="CN219" s="2"/>
      <c r="CO219" s="2"/>
      <c r="CP219" s="2"/>
      <c r="CQ219" s="2"/>
    </row>
    <row r="220">
      <c r="BI220" s="38" t="str">
        <f>IFERROR(__xludf.DUMMYFUNCTION("""COMPUTED_VALUE"""),"Female Knucklehead Trout")</f>
        <v>Female Knucklehead Trout</v>
      </c>
      <c r="BJ220" s="2">
        <v>1.5</v>
      </c>
      <c r="BK220" s="2">
        <v>1.0</v>
      </c>
      <c r="BL220" s="2">
        <v>1.0</v>
      </c>
      <c r="BM220" s="2">
        <v>1.0</v>
      </c>
      <c r="BN220" s="2">
        <v>1.0</v>
      </c>
      <c r="BO220" s="2">
        <v>1.0</v>
      </c>
      <c r="BP220" s="2">
        <v>1.0</v>
      </c>
      <c r="BQ220" s="2">
        <v>1.0</v>
      </c>
      <c r="BR220" s="2">
        <v>1.0</v>
      </c>
      <c r="BS220" s="2">
        <v>1.0</v>
      </c>
      <c r="BT220" s="2">
        <v>1.0</v>
      </c>
      <c r="BU220" s="2">
        <v>1.0</v>
      </c>
      <c r="BV220" s="2">
        <v>1.0</v>
      </c>
      <c r="BW220" s="2">
        <v>1.0</v>
      </c>
      <c r="BX220" s="2">
        <v>1.0</v>
      </c>
      <c r="BY220" s="2">
        <v>1.0</v>
      </c>
      <c r="BZ220" s="2">
        <v>2.5</v>
      </c>
      <c r="CB220" s="2"/>
      <c r="CC220" s="2"/>
      <c r="CD220" s="2"/>
      <c r="CE220" s="2"/>
      <c r="CF220" s="2"/>
      <c r="CG220" s="2"/>
      <c r="CH220" s="2"/>
      <c r="CI220" s="2"/>
      <c r="CJ220" s="2"/>
      <c r="CK220" s="2"/>
      <c r="CL220" s="2"/>
      <c r="CM220" s="2"/>
      <c r="CN220" s="2"/>
      <c r="CO220" s="2"/>
      <c r="CP220" s="2"/>
      <c r="CQ220" s="2"/>
    </row>
    <row r="221">
      <c r="BI221" s="38" t="str">
        <f>IFERROR(__xludf.DUMMYFUNCTION("""COMPUTED_VALUE"""),"Male Knucklehead Trout")</f>
        <v>Male Knucklehead Trout</v>
      </c>
      <c r="BJ221" s="2">
        <v>1.5</v>
      </c>
      <c r="BK221" s="2">
        <v>1.0</v>
      </c>
      <c r="BL221" s="2">
        <v>1.0</v>
      </c>
      <c r="BM221" s="2">
        <v>1.0</v>
      </c>
      <c r="BN221" s="2">
        <v>1.0</v>
      </c>
      <c r="BO221" s="2">
        <v>1.0</v>
      </c>
      <c r="BP221" s="2">
        <v>1.0</v>
      </c>
      <c r="BQ221" s="2">
        <v>1.0</v>
      </c>
      <c r="BR221" s="2">
        <v>1.0</v>
      </c>
      <c r="BS221" s="2">
        <v>1.0</v>
      </c>
      <c r="BT221" s="2">
        <v>1.0</v>
      </c>
      <c r="BU221" s="2">
        <v>1.0</v>
      </c>
      <c r="BV221" s="2">
        <v>1.0</v>
      </c>
      <c r="BW221" s="2">
        <v>1.0</v>
      </c>
      <c r="BX221" s="2">
        <v>1.0</v>
      </c>
      <c r="BY221" s="2">
        <v>1.0</v>
      </c>
      <c r="BZ221" s="2">
        <v>2.5</v>
      </c>
      <c r="CB221" s="2"/>
      <c r="CC221" s="2"/>
      <c r="CD221" s="2"/>
      <c r="CE221" s="2"/>
      <c r="CF221" s="2"/>
      <c r="CG221" s="2"/>
      <c r="CH221" s="2"/>
      <c r="CI221" s="2"/>
      <c r="CJ221" s="2"/>
      <c r="CK221" s="2"/>
      <c r="CL221" s="2"/>
      <c r="CM221" s="2"/>
      <c r="CN221" s="2"/>
      <c r="CO221" s="2"/>
      <c r="CP221" s="2"/>
      <c r="CQ221" s="2"/>
    </row>
    <row r="222">
      <c r="BI222" s="38" t="str">
        <f>IFERROR(__xludf.DUMMYFUNCTION("""COMPUTED_VALUE"""),"Magnificent Scrimshaw")</f>
        <v>Magnificent Scrimshaw</v>
      </c>
      <c r="BJ222" s="2">
        <v>1.5</v>
      </c>
      <c r="BK222" s="2">
        <v>1.0</v>
      </c>
      <c r="BL222" s="2">
        <v>1.0</v>
      </c>
      <c r="BM222" s="2">
        <v>1.0</v>
      </c>
      <c r="BN222" s="2">
        <v>1.0</v>
      </c>
      <c r="BO222" s="2">
        <v>1.0</v>
      </c>
      <c r="BP222" s="2">
        <v>1.0</v>
      </c>
      <c r="BQ222" s="2">
        <v>1.0</v>
      </c>
      <c r="BR222" s="2">
        <v>1.0</v>
      </c>
      <c r="BS222" s="2">
        <v>1.0</v>
      </c>
      <c r="BT222" s="2">
        <v>1.0</v>
      </c>
      <c r="BU222" s="2">
        <v>1.0</v>
      </c>
      <c r="BV222" s="2">
        <v>1.0</v>
      </c>
      <c r="BW222" s="2">
        <v>1.0</v>
      </c>
      <c r="BX222" s="2">
        <v>1.0</v>
      </c>
      <c r="BY222" s="2">
        <v>1.0</v>
      </c>
      <c r="BZ222" s="2">
        <v>1.0</v>
      </c>
      <c r="CB222" s="2"/>
      <c r="CC222" s="2"/>
      <c r="CD222" s="2"/>
      <c r="CE222" s="2"/>
      <c r="CF222" s="2"/>
      <c r="CG222" s="2"/>
      <c r="CH222" s="2"/>
      <c r="CI222" s="2"/>
      <c r="CJ222" s="2"/>
      <c r="CK222" s="2"/>
      <c r="CL222" s="2"/>
      <c r="CM222" s="2"/>
      <c r="CN222" s="2"/>
      <c r="CO222" s="2"/>
      <c r="CP222" s="2"/>
      <c r="CQ222" s="2"/>
    </row>
    <row r="223">
      <c r="BI223" s="38" t="str">
        <f>IFERROR(__xludf.DUMMYFUNCTION("""COMPUTED_VALUE"""),"Amateur Scrimshaw")</f>
        <v>Amateur Scrimshaw</v>
      </c>
      <c r="BJ223" s="2">
        <v>1.5</v>
      </c>
      <c r="BK223" s="2">
        <v>1.0</v>
      </c>
      <c r="BL223" s="2">
        <v>1.0</v>
      </c>
      <c r="BM223" s="2">
        <v>1.0</v>
      </c>
      <c r="BN223" s="2">
        <v>1.0</v>
      </c>
      <c r="BO223" s="2">
        <v>1.0</v>
      </c>
      <c r="BP223" s="2">
        <v>1.0</v>
      </c>
      <c r="BQ223" s="2">
        <v>1.0</v>
      </c>
      <c r="BR223" s="2">
        <v>1.0</v>
      </c>
      <c r="BS223" s="2">
        <v>1.0</v>
      </c>
      <c r="BT223" s="2">
        <v>1.0</v>
      </c>
      <c r="BU223" s="2">
        <v>1.0</v>
      </c>
      <c r="BV223" s="2">
        <v>1.0</v>
      </c>
      <c r="BW223" s="2">
        <v>1.0</v>
      </c>
      <c r="BX223" s="2">
        <v>1.0</v>
      </c>
      <c r="BY223" s="2">
        <v>1.0</v>
      </c>
      <c r="BZ223" s="2">
        <v>1.0</v>
      </c>
      <c r="CB223" s="2"/>
      <c r="CC223" s="2"/>
      <c r="CD223" s="2"/>
      <c r="CE223" s="2"/>
      <c r="CF223" s="2"/>
      <c r="CG223" s="2"/>
      <c r="CH223" s="2"/>
      <c r="CI223" s="2"/>
      <c r="CJ223" s="2"/>
      <c r="CK223" s="2"/>
      <c r="CL223" s="2"/>
      <c r="CM223" s="2"/>
      <c r="CN223" s="2"/>
      <c r="CO223" s="2"/>
      <c r="CP223" s="2"/>
      <c r="CQ223" s="2"/>
    </row>
    <row r="224">
      <c r="BI224" s="38" t="str">
        <f>IFERROR(__xludf.DUMMYFUNCTION("""COMPUTED_VALUE"""),"Alchemist’s Supplies")</f>
        <v>Alchemist’s Supplies</v>
      </c>
      <c r="BJ224" s="2">
        <v>1.5</v>
      </c>
      <c r="BK224" s="2">
        <v>1.0</v>
      </c>
      <c r="BL224" s="2">
        <v>1.0</v>
      </c>
      <c r="BM224" s="2">
        <v>1.0</v>
      </c>
      <c r="BN224" s="2">
        <v>1.0</v>
      </c>
      <c r="BO224" s="2">
        <v>1.0</v>
      </c>
      <c r="BP224" s="2">
        <v>1.0</v>
      </c>
      <c r="BQ224" s="2">
        <v>1.0</v>
      </c>
      <c r="BR224" s="2">
        <v>1.0</v>
      </c>
      <c r="BS224" s="2">
        <v>1.0</v>
      </c>
      <c r="BT224" s="2">
        <v>1.0</v>
      </c>
      <c r="BU224" s="2">
        <v>1.0</v>
      </c>
      <c r="BV224" s="2">
        <v>1.0</v>
      </c>
      <c r="BW224" s="2">
        <v>1.0</v>
      </c>
      <c r="BX224" s="2">
        <v>1.0</v>
      </c>
      <c r="BY224" s="2">
        <v>1.0</v>
      </c>
      <c r="BZ224" s="2">
        <v>1.0</v>
      </c>
      <c r="CB224" s="2"/>
      <c r="CC224" s="2"/>
      <c r="CD224" s="2"/>
      <c r="CE224" s="2"/>
      <c r="CF224" s="2"/>
      <c r="CG224" s="2"/>
      <c r="CH224" s="2"/>
      <c r="CI224" s="2"/>
      <c r="CJ224" s="2"/>
      <c r="CK224" s="2"/>
      <c r="CL224" s="2"/>
      <c r="CM224" s="2"/>
      <c r="CN224" s="2"/>
      <c r="CO224" s="2"/>
      <c r="CP224" s="2"/>
      <c r="CQ224" s="2"/>
    </row>
    <row r="225">
      <c r="BI225" s="38" t="str">
        <f>IFERROR(__xludf.DUMMYFUNCTION("""COMPUTED_VALUE"""),"Brewer’s Supplies")</f>
        <v>Brewer’s Supplies</v>
      </c>
      <c r="BJ225" s="2">
        <v>1.5</v>
      </c>
      <c r="BK225" s="2">
        <v>1.0</v>
      </c>
      <c r="BL225" s="2">
        <v>1.0</v>
      </c>
      <c r="BM225" s="2">
        <v>1.0</v>
      </c>
      <c r="BN225" s="2">
        <v>1.0</v>
      </c>
      <c r="BO225" s="2">
        <v>1.0</v>
      </c>
      <c r="BP225" s="2">
        <v>1.0</v>
      </c>
      <c r="BQ225" s="2">
        <v>1.0</v>
      </c>
      <c r="BR225" s="2">
        <v>1.0</v>
      </c>
      <c r="BS225" s="2">
        <v>1.0</v>
      </c>
      <c r="BT225" s="2">
        <v>1.0</v>
      </c>
      <c r="BU225" s="2">
        <v>1.0</v>
      </c>
      <c r="BV225" s="2">
        <v>1.0</v>
      </c>
      <c r="BW225" s="2">
        <v>1.0</v>
      </c>
      <c r="BX225" s="2">
        <v>1.0</v>
      </c>
      <c r="BY225" s="2">
        <v>1.0</v>
      </c>
      <c r="BZ225" s="2">
        <v>1.0</v>
      </c>
      <c r="CB225" s="2"/>
      <c r="CC225" s="2"/>
      <c r="CD225" s="2"/>
      <c r="CE225" s="2"/>
      <c r="CF225" s="2"/>
      <c r="CG225" s="2"/>
      <c r="CH225" s="2"/>
      <c r="CI225" s="2"/>
      <c r="CJ225" s="2"/>
      <c r="CK225" s="2"/>
      <c r="CL225" s="2"/>
      <c r="CM225" s="2"/>
      <c r="CN225" s="2"/>
      <c r="CO225" s="2"/>
      <c r="CP225" s="2"/>
      <c r="CQ225" s="2"/>
    </row>
    <row r="226">
      <c r="BI226" s="38" t="str">
        <f>IFERROR(__xludf.DUMMYFUNCTION("""COMPUTED_VALUE"""),"Calligrapher's Supplies")</f>
        <v>Calligrapher's Supplies</v>
      </c>
      <c r="BJ226" s="2">
        <v>1.5</v>
      </c>
      <c r="BK226" s="2">
        <v>1.0</v>
      </c>
      <c r="BL226" s="2">
        <v>1.0</v>
      </c>
      <c r="BM226" s="2">
        <v>1.0</v>
      </c>
      <c r="BN226" s="2">
        <v>1.0</v>
      </c>
      <c r="BO226" s="2">
        <v>1.0</v>
      </c>
      <c r="BP226" s="2">
        <v>1.0</v>
      </c>
      <c r="BQ226" s="2">
        <v>1.0</v>
      </c>
      <c r="BR226" s="2">
        <v>1.0</v>
      </c>
      <c r="BS226" s="2">
        <v>1.0</v>
      </c>
      <c r="BT226" s="2">
        <v>1.0</v>
      </c>
      <c r="BU226" s="2">
        <v>1.0</v>
      </c>
      <c r="BV226" s="2">
        <v>1.0</v>
      </c>
      <c r="BW226" s="2">
        <v>1.0</v>
      </c>
      <c r="BX226" s="2">
        <v>1.0</v>
      </c>
      <c r="BY226" s="2">
        <v>1.0</v>
      </c>
      <c r="BZ226" s="2">
        <v>1.0</v>
      </c>
    </row>
    <row r="227">
      <c r="BI227" s="38" t="str">
        <f>IFERROR(__xludf.DUMMYFUNCTION("""COMPUTED_VALUE"""),"Carpenter’s Tools")</f>
        <v>Carpenter’s Tools</v>
      </c>
      <c r="BJ227" s="2">
        <v>1.5</v>
      </c>
      <c r="BK227" s="2">
        <v>1.0</v>
      </c>
      <c r="BL227" s="2">
        <v>1.0</v>
      </c>
      <c r="BM227" s="2">
        <v>1.0</v>
      </c>
      <c r="BN227" s="2">
        <v>1.0</v>
      </c>
      <c r="BO227" s="2">
        <v>1.0</v>
      </c>
      <c r="BP227" s="2">
        <v>1.0</v>
      </c>
      <c r="BQ227" s="2">
        <v>1.0</v>
      </c>
      <c r="BR227" s="2">
        <v>1.0</v>
      </c>
      <c r="BS227" s="2">
        <v>1.0</v>
      </c>
      <c r="BT227" s="2">
        <v>1.0</v>
      </c>
      <c r="BU227" s="2">
        <v>1.0</v>
      </c>
      <c r="BV227" s="2">
        <v>1.0</v>
      </c>
      <c r="BW227" s="2">
        <v>1.0</v>
      </c>
      <c r="BX227" s="2">
        <v>1.0</v>
      </c>
      <c r="BY227" s="2">
        <v>1.0</v>
      </c>
      <c r="BZ227" s="2">
        <v>1.0</v>
      </c>
    </row>
    <row r="228">
      <c r="BI228" s="38" t="str">
        <f>IFERROR(__xludf.DUMMYFUNCTION("""COMPUTED_VALUE"""),"Cartographer’s Tools")</f>
        <v>Cartographer’s Tools</v>
      </c>
      <c r="BJ228" s="2">
        <v>1.5</v>
      </c>
      <c r="BK228" s="2">
        <v>1.0</v>
      </c>
      <c r="BL228" s="2">
        <v>1.0</v>
      </c>
      <c r="BM228" s="2">
        <v>1.0</v>
      </c>
      <c r="BN228" s="2">
        <v>1.0</v>
      </c>
      <c r="BO228" s="2">
        <v>1.0</v>
      </c>
      <c r="BP228" s="2">
        <v>1.0</v>
      </c>
      <c r="BQ228" s="2">
        <v>1.0</v>
      </c>
      <c r="BR228" s="2">
        <v>1.0</v>
      </c>
      <c r="BS228" s="2">
        <v>1.0</v>
      </c>
      <c r="BT228" s="2">
        <v>1.0</v>
      </c>
      <c r="BU228" s="2">
        <v>1.0</v>
      </c>
      <c r="BV228" s="2">
        <v>1.0</v>
      </c>
      <c r="BW228" s="2">
        <v>1.0</v>
      </c>
      <c r="BX228" s="2">
        <v>1.0</v>
      </c>
      <c r="BY228" s="2">
        <v>1.0</v>
      </c>
      <c r="BZ228" s="2">
        <v>1.0</v>
      </c>
    </row>
    <row r="229">
      <c r="BI229" s="38" t="str">
        <f>IFERROR(__xludf.DUMMYFUNCTION("""COMPUTED_VALUE"""),"Cobbler’s Tools")</f>
        <v>Cobbler’s Tools</v>
      </c>
      <c r="BJ229" s="2">
        <v>1.5</v>
      </c>
      <c r="BK229" s="2">
        <v>1.0</v>
      </c>
      <c r="BL229" s="2">
        <v>1.0</v>
      </c>
      <c r="BM229" s="2">
        <v>1.0</v>
      </c>
      <c r="BN229" s="2">
        <v>1.0</v>
      </c>
      <c r="BO229" s="2">
        <v>1.0</v>
      </c>
      <c r="BP229" s="2">
        <v>1.0</v>
      </c>
      <c r="BQ229" s="2">
        <v>1.0</v>
      </c>
      <c r="BR229" s="2">
        <v>1.0</v>
      </c>
      <c r="BS229" s="2">
        <v>1.0</v>
      </c>
      <c r="BT229" s="2">
        <v>1.0</v>
      </c>
      <c r="BU229" s="2">
        <v>1.0</v>
      </c>
      <c r="BV229" s="2">
        <v>1.0</v>
      </c>
      <c r="BW229" s="2">
        <v>1.0</v>
      </c>
      <c r="BX229" s="2">
        <v>1.0</v>
      </c>
      <c r="BY229" s="2">
        <v>1.0</v>
      </c>
      <c r="BZ229" s="2">
        <v>1.0</v>
      </c>
    </row>
    <row r="230">
      <c r="BI230" s="38" t="str">
        <f>IFERROR(__xludf.DUMMYFUNCTION("""COMPUTED_VALUE"""),"Cook’s Utensils")</f>
        <v>Cook’s Utensils</v>
      </c>
      <c r="BJ230" s="2">
        <v>1.5</v>
      </c>
      <c r="BK230" s="2">
        <v>1.0</v>
      </c>
      <c r="BL230" s="2">
        <v>1.0</v>
      </c>
      <c r="BM230" s="2">
        <v>1.0</v>
      </c>
      <c r="BN230" s="2">
        <v>1.0</v>
      </c>
      <c r="BO230" s="2">
        <v>1.0</v>
      </c>
      <c r="BP230" s="2">
        <v>1.0</v>
      </c>
      <c r="BQ230" s="2">
        <v>1.0</v>
      </c>
      <c r="BR230" s="2">
        <v>1.0</v>
      </c>
      <c r="BS230" s="2">
        <v>1.0</v>
      </c>
      <c r="BT230" s="2">
        <v>1.0</v>
      </c>
      <c r="BU230" s="2">
        <v>1.0</v>
      </c>
      <c r="BV230" s="2">
        <v>1.0</v>
      </c>
      <c r="BW230" s="2">
        <v>1.0</v>
      </c>
      <c r="BX230" s="2">
        <v>1.0</v>
      </c>
      <c r="BY230" s="2">
        <v>1.0</v>
      </c>
      <c r="BZ230" s="2">
        <v>1.0</v>
      </c>
    </row>
    <row r="231">
      <c r="BI231" s="38" t="str">
        <f>IFERROR(__xludf.DUMMYFUNCTION("""COMPUTED_VALUE"""),"Glassblower’s Tools")</f>
        <v>Glassblower’s Tools</v>
      </c>
      <c r="BJ231" s="2">
        <v>1.5</v>
      </c>
      <c r="BK231" s="2">
        <v>1.0</v>
      </c>
      <c r="BL231" s="2">
        <v>1.0</v>
      </c>
      <c r="BM231" s="2">
        <v>1.0</v>
      </c>
      <c r="BN231" s="2">
        <v>1.0</v>
      </c>
      <c r="BO231" s="2">
        <v>1.0</v>
      </c>
      <c r="BP231" s="2">
        <v>1.0</v>
      </c>
      <c r="BQ231" s="2">
        <v>1.0</v>
      </c>
      <c r="BR231" s="2">
        <v>1.0</v>
      </c>
      <c r="BS231" s="2">
        <v>1.0</v>
      </c>
      <c r="BT231" s="2">
        <v>1.0</v>
      </c>
      <c r="BU231" s="2">
        <v>1.0</v>
      </c>
      <c r="BV231" s="2">
        <v>1.0</v>
      </c>
      <c r="BW231" s="2">
        <v>1.0</v>
      </c>
      <c r="BX231" s="2">
        <v>1.0</v>
      </c>
      <c r="BY231" s="2">
        <v>1.0</v>
      </c>
      <c r="BZ231" s="2">
        <v>1.0</v>
      </c>
    </row>
    <row r="232">
      <c r="BI232" s="38" t="str">
        <f>IFERROR(__xludf.DUMMYFUNCTION("""COMPUTED_VALUE"""),"Jeweler’s Tools")</f>
        <v>Jeweler’s Tools</v>
      </c>
      <c r="BJ232" s="2">
        <v>1.5</v>
      </c>
      <c r="BK232" s="2">
        <v>1.0</v>
      </c>
      <c r="BL232" s="2">
        <v>1.0</v>
      </c>
      <c r="BM232" s="2">
        <v>1.0</v>
      </c>
      <c r="BN232" s="2">
        <v>1.0</v>
      </c>
      <c r="BO232" s="2">
        <v>1.0</v>
      </c>
      <c r="BP232" s="2">
        <v>1.0</v>
      </c>
      <c r="BQ232" s="2">
        <v>1.0</v>
      </c>
      <c r="BR232" s="2">
        <v>1.0</v>
      </c>
      <c r="BS232" s="2">
        <v>1.0</v>
      </c>
      <c r="BT232" s="2">
        <v>1.0</v>
      </c>
      <c r="BU232" s="2">
        <v>1.0</v>
      </c>
      <c r="BV232" s="2">
        <v>1.0</v>
      </c>
      <c r="BW232" s="2">
        <v>1.0</v>
      </c>
      <c r="BX232" s="2">
        <v>1.0</v>
      </c>
      <c r="BY232" s="2">
        <v>1.0</v>
      </c>
      <c r="BZ232" s="2">
        <v>1.0</v>
      </c>
    </row>
    <row r="233">
      <c r="BI233" s="38" t="str">
        <f>IFERROR(__xludf.DUMMYFUNCTION("""COMPUTED_VALUE"""),"Leatherworker’s Tools")</f>
        <v>Leatherworker’s Tools</v>
      </c>
      <c r="BJ233" s="2">
        <v>1.5</v>
      </c>
      <c r="BK233" s="2">
        <v>1.0</v>
      </c>
      <c r="BL233" s="2">
        <v>1.0</v>
      </c>
      <c r="BM233" s="2">
        <v>1.0</v>
      </c>
      <c r="BN233" s="2">
        <v>1.0</v>
      </c>
      <c r="BO233" s="2">
        <v>1.0</v>
      </c>
      <c r="BP233" s="2">
        <v>1.0</v>
      </c>
      <c r="BQ233" s="2">
        <v>1.0</v>
      </c>
      <c r="BR233" s="2">
        <v>1.0</v>
      </c>
      <c r="BS233" s="2">
        <v>1.0</v>
      </c>
      <c r="BT233" s="2">
        <v>1.0</v>
      </c>
      <c r="BU233" s="2">
        <v>1.0</v>
      </c>
      <c r="BV233" s="2">
        <v>1.0</v>
      </c>
      <c r="BW233" s="2">
        <v>1.0</v>
      </c>
      <c r="BX233" s="2">
        <v>1.0</v>
      </c>
      <c r="BY233" s="2">
        <v>1.0</v>
      </c>
      <c r="BZ233" s="2">
        <v>1.0</v>
      </c>
    </row>
    <row r="234">
      <c r="BI234" s="38" t="str">
        <f>IFERROR(__xludf.DUMMYFUNCTION("""COMPUTED_VALUE"""),"Mason’s Tools")</f>
        <v>Mason’s Tools</v>
      </c>
      <c r="BJ234" s="2">
        <v>1.5</v>
      </c>
      <c r="BK234" s="2">
        <v>1.0</v>
      </c>
      <c r="BL234" s="2">
        <v>1.0</v>
      </c>
      <c r="BM234" s="2">
        <v>1.0</v>
      </c>
      <c r="BN234" s="2">
        <v>1.0</v>
      </c>
      <c r="BO234" s="2">
        <v>1.0</v>
      </c>
      <c r="BP234" s="2">
        <v>1.0</v>
      </c>
      <c r="BQ234" s="2">
        <v>1.0</v>
      </c>
      <c r="BR234" s="2">
        <v>1.0</v>
      </c>
      <c r="BS234" s="2">
        <v>1.0</v>
      </c>
      <c r="BT234" s="2">
        <v>1.0</v>
      </c>
      <c r="BU234" s="2">
        <v>1.0</v>
      </c>
      <c r="BV234" s="2">
        <v>1.0</v>
      </c>
      <c r="BW234" s="2">
        <v>1.0</v>
      </c>
      <c r="BX234" s="2">
        <v>1.0</v>
      </c>
      <c r="BY234" s="2">
        <v>1.0</v>
      </c>
      <c r="BZ234" s="2">
        <v>1.0</v>
      </c>
    </row>
    <row r="235">
      <c r="BI235" s="38" t="str">
        <f>IFERROR(__xludf.DUMMYFUNCTION("""COMPUTED_VALUE"""),"Painter’s Supplies")</f>
        <v>Painter’s Supplies</v>
      </c>
      <c r="BJ235" s="2">
        <v>1.5</v>
      </c>
      <c r="BK235" s="2">
        <v>1.0</v>
      </c>
      <c r="BL235" s="2">
        <v>1.0</v>
      </c>
      <c r="BM235" s="2">
        <v>1.0</v>
      </c>
      <c r="BN235" s="2">
        <v>1.0</v>
      </c>
      <c r="BO235" s="2">
        <v>1.0</v>
      </c>
      <c r="BP235" s="2">
        <v>1.0</v>
      </c>
      <c r="BQ235" s="2">
        <v>1.0</v>
      </c>
      <c r="BR235" s="2">
        <v>1.0</v>
      </c>
      <c r="BS235" s="2">
        <v>1.0</v>
      </c>
      <c r="BT235" s="2">
        <v>1.0</v>
      </c>
      <c r="BU235" s="2">
        <v>1.0</v>
      </c>
      <c r="BV235" s="2">
        <v>1.0</v>
      </c>
      <c r="BW235" s="2">
        <v>1.0</v>
      </c>
      <c r="BX235" s="2">
        <v>1.0</v>
      </c>
      <c r="BY235" s="2">
        <v>1.0</v>
      </c>
      <c r="BZ235" s="2">
        <v>1.0</v>
      </c>
    </row>
    <row r="236">
      <c r="BI236" s="38" t="str">
        <f>IFERROR(__xludf.DUMMYFUNCTION("""COMPUTED_VALUE"""),"Potter’s Tools")</f>
        <v>Potter’s Tools</v>
      </c>
      <c r="BJ236" s="2">
        <v>1.5</v>
      </c>
      <c r="BK236" s="2">
        <v>1.0</v>
      </c>
      <c r="BL236" s="2">
        <v>1.0</v>
      </c>
      <c r="BM236" s="2">
        <v>1.0</v>
      </c>
      <c r="BN236" s="2">
        <v>1.0</v>
      </c>
      <c r="BO236" s="2">
        <v>1.0</v>
      </c>
      <c r="BP236" s="2">
        <v>1.0</v>
      </c>
      <c r="BQ236" s="2">
        <v>1.0</v>
      </c>
      <c r="BR236" s="2">
        <v>1.0</v>
      </c>
      <c r="BS236" s="2">
        <v>1.0</v>
      </c>
      <c r="BT236" s="2">
        <v>1.0</v>
      </c>
      <c r="BU236" s="2">
        <v>1.0</v>
      </c>
      <c r="BV236" s="2">
        <v>1.0</v>
      </c>
      <c r="BW236" s="2">
        <v>1.0</v>
      </c>
      <c r="BX236" s="2">
        <v>1.0</v>
      </c>
      <c r="BY236" s="2">
        <v>1.0</v>
      </c>
      <c r="BZ236" s="2">
        <v>1.0</v>
      </c>
    </row>
    <row r="237">
      <c r="BI237" s="38" t="str">
        <f>IFERROR(__xludf.DUMMYFUNCTION("""COMPUTED_VALUE"""),"Smith’s Tools")</f>
        <v>Smith’s Tools</v>
      </c>
      <c r="BJ237" s="2">
        <v>1.5</v>
      </c>
      <c r="BK237" s="2">
        <v>1.0</v>
      </c>
      <c r="BL237" s="2">
        <v>1.0</v>
      </c>
      <c r="BM237" s="2">
        <v>1.0</v>
      </c>
      <c r="BN237" s="2">
        <v>1.0</v>
      </c>
      <c r="BO237" s="2">
        <v>1.0</v>
      </c>
      <c r="BP237" s="2">
        <v>1.0</v>
      </c>
      <c r="BQ237" s="2">
        <v>1.0</v>
      </c>
      <c r="BR237" s="2">
        <v>1.0</v>
      </c>
      <c r="BS237" s="2">
        <v>1.0</v>
      </c>
      <c r="BT237" s="2">
        <v>1.0</v>
      </c>
      <c r="BU237" s="2">
        <v>1.0</v>
      </c>
      <c r="BV237" s="2">
        <v>1.0</v>
      </c>
      <c r="BW237" s="2">
        <v>1.0</v>
      </c>
      <c r="BX237" s="2">
        <v>1.0</v>
      </c>
      <c r="BY237" s="2">
        <v>1.0</v>
      </c>
      <c r="BZ237" s="2">
        <v>1.0</v>
      </c>
    </row>
    <row r="238">
      <c r="BI238" s="38" t="str">
        <f>IFERROR(__xludf.DUMMYFUNCTION("""COMPUTED_VALUE"""),"Tinker’s Tools")</f>
        <v>Tinker’s Tools</v>
      </c>
      <c r="BJ238" s="2">
        <v>1.5</v>
      </c>
      <c r="BK238" s="2">
        <v>1.0</v>
      </c>
      <c r="BL238" s="2">
        <v>1.0</v>
      </c>
      <c r="BM238" s="2">
        <v>1.0</v>
      </c>
      <c r="BN238" s="2">
        <v>1.0</v>
      </c>
      <c r="BO238" s="2">
        <v>1.0</v>
      </c>
      <c r="BP238" s="2">
        <v>1.0</v>
      </c>
      <c r="BQ238" s="2">
        <v>1.0</v>
      </c>
      <c r="BR238" s="2">
        <v>1.0</v>
      </c>
      <c r="BS238" s="2">
        <v>1.0</v>
      </c>
      <c r="BT238" s="2">
        <v>1.0</v>
      </c>
      <c r="BU238" s="2">
        <v>1.0</v>
      </c>
      <c r="BV238" s="2">
        <v>1.0</v>
      </c>
      <c r="BW238" s="2">
        <v>1.0</v>
      </c>
      <c r="BX238" s="2">
        <v>1.0</v>
      </c>
      <c r="BY238" s="2">
        <v>1.0</v>
      </c>
      <c r="BZ238" s="2">
        <v>1.0</v>
      </c>
    </row>
    <row r="239">
      <c r="BI239" s="38" t="str">
        <f>IFERROR(__xludf.DUMMYFUNCTION("""COMPUTED_VALUE"""),"Weaver’s Tools")</f>
        <v>Weaver’s Tools</v>
      </c>
      <c r="BJ239" s="2">
        <v>1.5</v>
      </c>
      <c r="BK239" s="2">
        <v>1.0</v>
      </c>
      <c r="BL239" s="2">
        <v>1.0</v>
      </c>
      <c r="BM239" s="2">
        <v>1.0</v>
      </c>
      <c r="BN239" s="2">
        <v>1.0</v>
      </c>
      <c r="BO239" s="2">
        <v>1.0</v>
      </c>
      <c r="BP239" s="2">
        <v>1.0</v>
      </c>
      <c r="BQ239" s="2">
        <v>1.0</v>
      </c>
      <c r="BR239" s="2">
        <v>1.0</v>
      </c>
      <c r="BS239" s="2">
        <v>1.0</v>
      </c>
      <c r="BT239" s="2">
        <v>1.0</v>
      </c>
      <c r="BU239" s="2">
        <v>1.0</v>
      </c>
      <c r="BV239" s="2">
        <v>1.0</v>
      </c>
      <c r="BW239" s="2">
        <v>1.0</v>
      </c>
      <c r="BX239" s="2">
        <v>1.0</v>
      </c>
      <c r="BY239" s="2">
        <v>1.0</v>
      </c>
      <c r="BZ239" s="2">
        <v>1.0</v>
      </c>
    </row>
    <row r="240">
      <c r="BI240" s="38" t="str">
        <f>IFERROR(__xludf.DUMMYFUNCTION("""COMPUTED_VALUE"""),"Woodcarver’s Tools")</f>
        <v>Woodcarver’s Tools</v>
      </c>
      <c r="BJ240" s="2">
        <v>1.5</v>
      </c>
      <c r="BK240" s="2">
        <v>1.0</v>
      </c>
      <c r="BL240" s="2">
        <v>1.0</v>
      </c>
      <c r="BM240" s="2">
        <v>1.0</v>
      </c>
      <c r="BN240" s="2">
        <v>1.0</v>
      </c>
      <c r="BO240" s="2">
        <v>1.0</v>
      </c>
      <c r="BP240" s="2">
        <v>1.0</v>
      </c>
      <c r="BQ240" s="2">
        <v>1.0</v>
      </c>
      <c r="BR240" s="2">
        <v>1.0</v>
      </c>
      <c r="BS240" s="2">
        <v>1.0</v>
      </c>
      <c r="BT240" s="2">
        <v>1.0</v>
      </c>
      <c r="BU240" s="2">
        <v>1.0</v>
      </c>
      <c r="BV240" s="2">
        <v>1.0</v>
      </c>
      <c r="BW240" s="2">
        <v>1.0</v>
      </c>
      <c r="BX240" s="2">
        <v>1.0</v>
      </c>
      <c r="BY240" s="2">
        <v>1.0</v>
      </c>
      <c r="BZ240" s="2">
        <v>500.0</v>
      </c>
    </row>
    <row r="241">
      <c r="BI241" s="38" t="str">
        <f>IFERROR(__xludf.DUMMYFUNCTION("""COMPUTED_VALUE"""),"Dice Set")</f>
        <v>Dice Set</v>
      </c>
      <c r="BJ241" s="2">
        <v>1.5</v>
      </c>
      <c r="BK241" s="2">
        <v>1.0</v>
      </c>
      <c r="BL241" s="2">
        <v>1.0</v>
      </c>
      <c r="BM241" s="2">
        <v>1.0</v>
      </c>
      <c r="BN241" s="2">
        <v>1.0</v>
      </c>
      <c r="BO241" s="2">
        <v>1.0</v>
      </c>
      <c r="BP241" s="2">
        <v>1.0</v>
      </c>
      <c r="BQ241" s="2">
        <v>1.0</v>
      </c>
      <c r="BR241" s="2">
        <v>1.0</v>
      </c>
      <c r="BS241" s="2">
        <v>1.0</v>
      </c>
      <c r="BT241" s="2">
        <v>1.0</v>
      </c>
      <c r="BU241" s="2">
        <v>1.0</v>
      </c>
      <c r="BV241" s="2">
        <v>1.0</v>
      </c>
      <c r="BW241" s="2">
        <v>1.0</v>
      </c>
      <c r="BX241" s="2">
        <v>1.0</v>
      </c>
      <c r="BY241" s="2">
        <v>1.0</v>
      </c>
      <c r="BZ241" s="2">
        <v>1.0</v>
      </c>
    </row>
    <row r="242">
      <c r="BI242" s="38" t="str">
        <f>IFERROR(__xludf.DUMMYFUNCTION("""COMPUTED_VALUE"""),"Playing Card Set")</f>
        <v>Playing Card Set</v>
      </c>
      <c r="BJ242" s="2">
        <v>1.5</v>
      </c>
      <c r="BK242" s="2">
        <v>1.0</v>
      </c>
      <c r="BL242" s="2">
        <v>1.0</v>
      </c>
      <c r="BM242" s="2">
        <v>1.0</v>
      </c>
      <c r="BN242" s="2">
        <v>1.0</v>
      </c>
      <c r="BO242" s="2">
        <v>1.0</v>
      </c>
      <c r="BP242" s="2">
        <v>1.0</v>
      </c>
      <c r="BQ242" s="2">
        <v>1.0</v>
      </c>
      <c r="BR242" s="2">
        <v>1.0</v>
      </c>
      <c r="BS242" s="2">
        <v>1.0</v>
      </c>
      <c r="BT242" s="2">
        <v>1.0</v>
      </c>
      <c r="BU242" s="2">
        <v>1.0</v>
      </c>
      <c r="BV242" s="2">
        <v>1.0</v>
      </c>
      <c r="BW242" s="2">
        <v>1.0</v>
      </c>
      <c r="BX242" s="2">
        <v>1.0</v>
      </c>
      <c r="BY242" s="2">
        <v>1.0</v>
      </c>
      <c r="BZ242" s="2">
        <v>1.0</v>
      </c>
    </row>
    <row r="243">
      <c r="BI243" s="38" t="str">
        <f>IFERROR(__xludf.DUMMYFUNCTION("""COMPUTED_VALUE"""),"Bagpipes")</f>
        <v>Bagpipes</v>
      </c>
      <c r="BJ243" s="2">
        <v>1.5</v>
      </c>
      <c r="BK243" s="2">
        <v>1.0</v>
      </c>
      <c r="BL243" s="2">
        <v>1.0</v>
      </c>
      <c r="BM243" s="2">
        <v>1.0</v>
      </c>
      <c r="BN243" s="2">
        <v>1.0</v>
      </c>
      <c r="BO243" s="2">
        <v>1.0</v>
      </c>
      <c r="BP243" s="2">
        <v>1.0</v>
      </c>
      <c r="BQ243" s="2">
        <v>1.0</v>
      </c>
      <c r="BR243" s="2">
        <v>1.0</v>
      </c>
      <c r="BS243" s="2">
        <v>1.0</v>
      </c>
      <c r="BT243" s="2">
        <v>1.0</v>
      </c>
      <c r="BU243" s="2">
        <v>1.0</v>
      </c>
      <c r="BV243" s="2">
        <v>1.0</v>
      </c>
      <c r="BW243" s="2">
        <v>1.0</v>
      </c>
      <c r="BX243" s="2">
        <v>1.0</v>
      </c>
      <c r="BY243" s="2">
        <v>1.0</v>
      </c>
      <c r="BZ243" s="2">
        <v>1.0</v>
      </c>
    </row>
    <row r="244">
      <c r="BI244" s="38" t="str">
        <f>IFERROR(__xludf.DUMMYFUNCTION("""COMPUTED_VALUE"""),"Drum")</f>
        <v>Drum</v>
      </c>
      <c r="BJ244" s="2">
        <v>1.5</v>
      </c>
      <c r="BK244" s="2">
        <v>1.0</v>
      </c>
      <c r="BL244" s="2">
        <v>1.0</v>
      </c>
      <c r="BM244" s="2">
        <v>1.0</v>
      </c>
      <c r="BN244" s="2">
        <v>1.0</v>
      </c>
      <c r="BO244" s="2">
        <v>1.0</v>
      </c>
      <c r="BP244" s="2">
        <v>1.0</v>
      </c>
      <c r="BQ244" s="2">
        <v>1.0</v>
      </c>
      <c r="BR244" s="2">
        <v>1.0</v>
      </c>
      <c r="BS244" s="2">
        <v>1.0</v>
      </c>
      <c r="BT244" s="2">
        <v>1.0</v>
      </c>
      <c r="BU244" s="2">
        <v>1.0</v>
      </c>
      <c r="BV244" s="2">
        <v>1.0</v>
      </c>
      <c r="BW244" s="2">
        <v>1.0</v>
      </c>
      <c r="BX244" s="2">
        <v>1.0</v>
      </c>
      <c r="BY244" s="2">
        <v>1.0</v>
      </c>
      <c r="BZ244" s="2">
        <v>1.0</v>
      </c>
    </row>
    <row r="245">
      <c r="BI245" s="38" t="str">
        <f>IFERROR(__xludf.DUMMYFUNCTION("""COMPUTED_VALUE"""),"Dulcimer")</f>
        <v>Dulcimer</v>
      </c>
      <c r="BJ245" s="2">
        <v>1.5</v>
      </c>
      <c r="BK245" s="2">
        <v>1.0</v>
      </c>
      <c r="BL245" s="2">
        <v>1.0</v>
      </c>
      <c r="BM245" s="2">
        <v>1.0</v>
      </c>
      <c r="BN245" s="2">
        <v>1.0</v>
      </c>
      <c r="BO245" s="2">
        <v>1.0</v>
      </c>
      <c r="BP245" s="2">
        <v>1.0</v>
      </c>
      <c r="BQ245" s="2">
        <v>1.0</v>
      </c>
      <c r="BR245" s="2">
        <v>1.0</v>
      </c>
      <c r="BS245" s="2">
        <v>1.0</v>
      </c>
      <c r="BT245" s="2">
        <v>1.0</v>
      </c>
      <c r="BU245" s="2">
        <v>1.0</v>
      </c>
      <c r="BV245" s="2">
        <v>1.0</v>
      </c>
      <c r="BW245" s="2">
        <v>1.0</v>
      </c>
      <c r="BX245" s="2">
        <v>1.0</v>
      </c>
      <c r="BY245" s="2">
        <v>1.0</v>
      </c>
      <c r="BZ245" s="2">
        <v>1.0</v>
      </c>
    </row>
    <row r="246">
      <c r="BI246" s="38" t="str">
        <f>IFERROR(__xludf.DUMMYFUNCTION("""COMPUTED_VALUE"""),"Flute")</f>
        <v>Flute</v>
      </c>
      <c r="BJ246" s="2">
        <v>1.5</v>
      </c>
      <c r="BK246" s="2">
        <v>1.0</v>
      </c>
      <c r="BL246" s="2">
        <v>1.0</v>
      </c>
      <c r="BM246" s="2">
        <v>1.0</v>
      </c>
      <c r="BN246" s="2">
        <v>1.0</v>
      </c>
      <c r="BO246" s="2">
        <v>1.0</v>
      </c>
      <c r="BP246" s="2">
        <v>1.0</v>
      </c>
      <c r="BQ246" s="2">
        <v>1.0</v>
      </c>
      <c r="BR246" s="2">
        <v>1.0</v>
      </c>
      <c r="BS246" s="2">
        <v>1.0</v>
      </c>
      <c r="BT246" s="2">
        <v>1.0</v>
      </c>
      <c r="BU246" s="2">
        <v>1.0</v>
      </c>
      <c r="BV246" s="2">
        <v>1.0</v>
      </c>
      <c r="BW246" s="2">
        <v>1.0</v>
      </c>
      <c r="BX246" s="2">
        <v>1.0</v>
      </c>
      <c r="BY246" s="2">
        <v>1.0</v>
      </c>
      <c r="BZ246" s="2">
        <v>1.0</v>
      </c>
    </row>
    <row r="247">
      <c r="BI247" s="38" t="str">
        <f>IFERROR(__xludf.DUMMYFUNCTION("""COMPUTED_VALUE"""),"Lute")</f>
        <v>Lute</v>
      </c>
      <c r="BJ247" s="2">
        <v>1.5</v>
      </c>
      <c r="BK247" s="2">
        <v>1.0</v>
      </c>
      <c r="BL247" s="2">
        <v>1.0</v>
      </c>
      <c r="BM247" s="2">
        <v>1.0</v>
      </c>
      <c r="BN247" s="2">
        <v>1.0</v>
      </c>
      <c r="BO247" s="2">
        <v>1.0</v>
      </c>
      <c r="BP247" s="2">
        <v>1.0</v>
      </c>
      <c r="BQ247" s="2">
        <v>1.0</v>
      </c>
      <c r="BR247" s="2">
        <v>1.0</v>
      </c>
      <c r="BS247" s="2">
        <v>1.0</v>
      </c>
      <c r="BT247" s="2">
        <v>1.0</v>
      </c>
      <c r="BU247" s="2">
        <v>1.0</v>
      </c>
      <c r="BV247" s="2">
        <v>1.0</v>
      </c>
      <c r="BW247" s="2">
        <v>1.0</v>
      </c>
      <c r="BX247" s="2">
        <v>1.0</v>
      </c>
      <c r="BY247" s="2">
        <v>1.0</v>
      </c>
      <c r="BZ247" s="2">
        <v>1.0</v>
      </c>
    </row>
    <row r="248">
      <c r="BI248" s="38" t="str">
        <f>IFERROR(__xludf.DUMMYFUNCTION("""COMPUTED_VALUE"""),"Lyre")</f>
        <v>Lyre</v>
      </c>
      <c r="BJ248" s="2">
        <v>1.5</v>
      </c>
      <c r="BK248" s="2">
        <v>1.0</v>
      </c>
      <c r="BL248" s="2">
        <v>1.0</v>
      </c>
      <c r="BM248" s="2">
        <v>1.0</v>
      </c>
      <c r="BN248" s="2">
        <v>1.0</v>
      </c>
      <c r="BO248" s="2">
        <v>1.0</v>
      </c>
      <c r="BP248" s="2">
        <v>1.0</v>
      </c>
      <c r="BQ248" s="2">
        <v>1.0</v>
      </c>
      <c r="BR248" s="2">
        <v>1.0</v>
      </c>
      <c r="BS248" s="2">
        <v>1.0</v>
      </c>
      <c r="BT248" s="2">
        <v>1.0</v>
      </c>
      <c r="BU248" s="2">
        <v>1.0</v>
      </c>
      <c r="BV248" s="2">
        <v>1.0</v>
      </c>
      <c r="BW248" s="2">
        <v>1.0</v>
      </c>
      <c r="BX248" s="2">
        <v>1.0</v>
      </c>
      <c r="BY248" s="2">
        <v>1.0</v>
      </c>
      <c r="BZ248" s="2">
        <v>1.0</v>
      </c>
    </row>
    <row r="249">
      <c r="BI249" s="38" t="str">
        <f>IFERROR(__xludf.DUMMYFUNCTION("""COMPUTED_VALUE"""),"Horn")</f>
        <v>Horn</v>
      </c>
      <c r="BJ249" s="2">
        <v>1.5</v>
      </c>
      <c r="BK249" s="2">
        <v>1.0</v>
      </c>
      <c r="BL249" s="2">
        <v>1.0</v>
      </c>
      <c r="BM249" s="2">
        <v>1.0</v>
      </c>
      <c r="BN249" s="2">
        <v>1.0</v>
      </c>
      <c r="BO249" s="2">
        <v>1.0</v>
      </c>
      <c r="BP249" s="2">
        <v>1.0</v>
      </c>
      <c r="BQ249" s="2">
        <v>1.0</v>
      </c>
      <c r="BR249" s="2">
        <v>1.0</v>
      </c>
      <c r="BS249" s="2">
        <v>1.0</v>
      </c>
      <c r="BT249" s="2">
        <v>1.0</v>
      </c>
      <c r="BU249" s="2">
        <v>1.0</v>
      </c>
      <c r="BV249" s="2">
        <v>1.0</v>
      </c>
      <c r="BW249" s="2">
        <v>1.0</v>
      </c>
      <c r="BX249" s="2">
        <v>1.0</v>
      </c>
      <c r="BY249" s="2">
        <v>1.0</v>
      </c>
      <c r="BZ249" s="2">
        <v>1.0</v>
      </c>
    </row>
    <row r="250">
      <c r="BI250" s="38" t="str">
        <f>IFERROR(__xludf.DUMMYFUNCTION("""COMPUTED_VALUE"""),"Pan Flute")</f>
        <v>Pan Flute</v>
      </c>
      <c r="BJ250" s="2">
        <v>1.5</v>
      </c>
      <c r="BK250" s="2">
        <v>1.0</v>
      </c>
      <c r="BL250" s="2">
        <v>1.0</v>
      </c>
      <c r="BM250" s="2">
        <v>1.0</v>
      </c>
      <c r="BN250" s="2">
        <v>1.0</v>
      </c>
      <c r="BO250" s="2">
        <v>1.0</v>
      </c>
      <c r="BP250" s="2">
        <v>1.0</v>
      </c>
      <c r="BQ250" s="2">
        <v>1.0</v>
      </c>
      <c r="BR250" s="2">
        <v>1.0</v>
      </c>
      <c r="BS250" s="2">
        <v>1.0</v>
      </c>
      <c r="BT250" s="2">
        <v>1.0</v>
      </c>
      <c r="BU250" s="2">
        <v>1.0</v>
      </c>
      <c r="BV250" s="2">
        <v>1.0</v>
      </c>
      <c r="BW250" s="2">
        <v>1.0</v>
      </c>
      <c r="BX250" s="2">
        <v>1.0</v>
      </c>
      <c r="BY250" s="2">
        <v>1.0</v>
      </c>
      <c r="BZ250" s="2">
        <v>1.0</v>
      </c>
    </row>
    <row r="251">
      <c r="BI251" s="38" t="str">
        <f>IFERROR(__xludf.DUMMYFUNCTION("""COMPUTED_VALUE"""),"Shawm")</f>
        <v>Shawm</v>
      </c>
      <c r="BJ251" s="2">
        <v>1.5</v>
      </c>
      <c r="BK251" s="2">
        <v>1.0</v>
      </c>
      <c r="BL251" s="2">
        <v>1.0</v>
      </c>
      <c r="BM251" s="2">
        <v>1.0</v>
      </c>
      <c r="BN251" s="2">
        <v>1.0</v>
      </c>
      <c r="BO251" s="2">
        <v>1.0</v>
      </c>
      <c r="BP251" s="2">
        <v>1.0</v>
      </c>
      <c r="BQ251" s="2">
        <v>1.0</v>
      </c>
      <c r="BR251" s="2">
        <v>1.0</v>
      </c>
      <c r="BS251" s="2">
        <v>1.0</v>
      </c>
      <c r="BT251" s="2">
        <v>1.0</v>
      </c>
      <c r="BU251" s="2">
        <v>1.0</v>
      </c>
      <c r="BV251" s="2">
        <v>1.0</v>
      </c>
      <c r="BW251" s="2">
        <v>1.0</v>
      </c>
      <c r="BX251" s="2">
        <v>1.0</v>
      </c>
      <c r="BY251" s="2">
        <v>1.0</v>
      </c>
      <c r="BZ251" s="2">
        <v>1.0</v>
      </c>
    </row>
    <row r="252">
      <c r="BI252" s="38" t="str">
        <f>IFERROR(__xludf.DUMMYFUNCTION("""COMPUTED_VALUE"""),"Viol")</f>
        <v>Viol</v>
      </c>
      <c r="BJ252" s="2">
        <v>1.5</v>
      </c>
      <c r="BK252" s="2">
        <v>1.0</v>
      </c>
      <c r="BL252" s="2">
        <v>1.0</v>
      </c>
      <c r="BM252" s="2">
        <v>1.0</v>
      </c>
      <c r="BN252" s="2">
        <v>1.0</v>
      </c>
      <c r="BO252" s="2">
        <v>1.0</v>
      </c>
      <c r="BP252" s="2">
        <v>1.0</v>
      </c>
      <c r="BQ252" s="2">
        <v>1.0</v>
      </c>
      <c r="BR252" s="2">
        <v>1.0</v>
      </c>
      <c r="BS252" s="2">
        <v>1.0</v>
      </c>
      <c r="BT252" s="2">
        <v>1.0</v>
      </c>
      <c r="BU252" s="2">
        <v>1.0</v>
      </c>
      <c r="BV252" s="2">
        <v>1.0</v>
      </c>
      <c r="BW252" s="2">
        <v>1.0</v>
      </c>
      <c r="BX252" s="2">
        <v>1.0</v>
      </c>
      <c r="BY252" s="2">
        <v>1.0</v>
      </c>
      <c r="BZ252" s="2">
        <v>1.0</v>
      </c>
    </row>
    <row r="253">
      <c r="BI253" s="38" t="str">
        <f>IFERROR(__xludf.DUMMYFUNCTION("""COMPUTED_VALUE"""),"Navigator’s Tools")</f>
        <v>Navigator’s Tools</v>
      </c>
      <c r="BJ253" s="2">
        <v>1.5</v>
      </c>
      <c r="BK253" s="2">
        <v>1.0</v>
      </c>
      <c r="BL253" s="2">
        <v>1.0</v>
      </c>
      <c r="BM253" s="2">
        <v>1.0</v>
      </c>
      <c r="BN253" s="2">
        <v>1.0</v>
      </c>
      <c r="BO253" s="2">
        <v>1.0</v>
      </c>
      <c r="BP253" s="2">
        <v>1.0</v>
      </c>
      <c r="BQ253" s="2">
        <v>1.0</v>
      </c>
      <c r="BR253" s="2">
        <v>1.0</v>
      </c>
      <c r="BS253" s="2">
        <v>1.0</v>
      </c>
      <c r="BT253" s="2">
        <v>1.0</v>
      </c>
      <c r="BU253" s="2">
        <v>1.0</v>
      </c>
      <c r="BV253" s="2">
        <v>1.0</v>
      </c>
      <c r="BW253" s="2">
        <v>1.0</v>
      </c>
      <c r="BX253" s="2">
        <v>1.0</v>
      </c>
      <c r="BY253" s="2">
        <v>1.0</v>
      </c>
      <c r="BZ253" s="2">
        <v>1.0</v>
      </c>
    </row>
    <row r="254">
      <c r="BI254" s="38" t="str">
        <f>IFERROR(__xludf.DUMMYFUNCTION("""COMPUTED_VALUE"""),"Thieves’ Tools")</f>
        <v>Thieves’ Tools</v>
      </c>
      <c r="BJ254" s="2">
        <v>1.0</v>
      </c>
      <c r="BK254" s="2">
        <v>5.0</v>
      </c>
      <c r="BL254" s="2">
        <v>5.0</v>
      </c>
      <c r="BM254" s="2">
        <v>5.0</v>
      </c>
      <c r="BN254" s="2">
        <v>5.0</v>
      </c>
      <c r="BO254" s="2">
        <v>20.0</v>
      </c>
      <c r="BP254" s="2">
        <v>5.0</v>
      </c>
      <c r="BQ254" s="2">
        <v>5.0</v>
      </c>
      <c r="BR254" s="2">
        <v>5.0</v>
      </c>
      <c r="BS254" s="2">
        <v>5.0</v>
      </c>
      <c r="BT254" s="2">
        <v>1.5</v>
      </c>
      <c r="BU254" s="2">
        <v>5.0</v>
      </c>
      <c r="BV254" s="2">
        <v>5.0</v>
      </c>
      <c r="BW254" s="2">
        <v>5.0</v>
      </c>
      <c r="BX254" s="2">
        <v>5.0</v>
      </c>
      <c r="BY254" s="2">
        <v>5.0</v>
      </c>
      <c r="BZ254" s="2">
        <v>5.0</v>
      </c>
    </row>
    <row r="255">
      <c r="BI255" s="38"/>
    </row>
  </sheetData>
  <conditionalFormatting sqref="AR2:BI27 BJ2:CQ254">
    <cfRule type="colorScale" priority="1">
      <colorScale>
        <cfvo type="formula" val="0"/>
        <cfvo type="formula" val="1"/>
        <cfvo type="formula" val="50"/>
        <color rgb="FF82FFA3"/>
        <color rgb="FFFFFFBE"/>
        <color rgb="FFFF0000"/>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38"/>
    <col customWidth="1" min="2" max="2" width="15.13"/>
    <col customWidth="1" min="3" max="3" width="32.0"/>
    <col customWidth="1" min="4" max="4" width="13.88"/>
    <col customWidth="1" min="5" max="5" width="17.88"/>
    <col customWidth="1" min="6" max="6" width="15.75"/>
    <col customWidth="1" min="7" max="7" width="16.38"/>
    <col customWidth="1" min="8" max="8" width="170.88"/>
    <col customWidth="1" min="9" max="12" width="19.63"/>
    <col customWidth="1" min="13" max="13" width="16.5"/>
    <col customWidth="1" min="14" max="14" width="16.63"/>
    <col customWidth="1" min="15" max="15" width="15.13"/>
    <col customWidth="1" min="23" max="23" width="14.63"/>
    <col customWidth="1" min="24" max="24" width="16.38"/>
    <col customWidth="1" min="25" max="25" width="19.38"/>
    <col customWidth="1" min="27" max="27" width="15.13"/>
    <col customWidth="1" min="28" max="28" width="15.75"/>
    <col customWidth="1" min="29" max="29" width="16.63"/>
  </cols>
  <sheetData>
    <row r="1">
      <c r="A1" s="57" t="s">
        <v>144</v>
      </c>
      <c r="B1" s="58" t="s">
        <v>99</v>
      </c>
      <c r="C1" s="57" t="s">
        <v>145</v>
      </c>
      <c r="D1" s="57" t="s">
        <v>146</v>
      </c>
      <c r="E1" s="58" t="s">
        <v>100</v>
      </c>
      <c r="F1" s="58" t="s">
        <v>147</v>
      </c>
      <c r="G1" s="58" t="s">
        <v>148</v>
      </c>
      <c r="H1" s="57" t="s">
        <v>149</v>
      </c>
      <c r="I1" s="57" t="s">
        <v>129</v>
      </c>
      <c r="J1" s="57" t="s">
        <v>39</v>
      </c>
      <c r="K1" s="57" t="s">
        <v>131</v>
      </c>
      <c r="L1" s="57" t="s">
        <v>130</v>
      </c>
      <c r="M1" s="57" t="s">
        <v>143</v>
      </c>
      <c r="N1" s="57" t="s">
        <v>132</v>
      </c>
      <c r="O1" s="57" t="s">
        <v>142</v>
      </c>
      <c r="P1" s="57" t="s">
        <v>134</v>
      </c>
      <c r="Q1" s="57" t="s">
        <v>136</v>
      </c>
      <c r="R1" s="57" t="s">
        <v>137</v>
      </c>
      <c r="S1" s="57" t="s">
        <v>139</v>
      </c>
      <c r="T1" s="57" t="s">
        <v>138</v>
      </c>
      <c r="U1" s="57" t="s">
        <v>126</v>
      </c>
      <c r="V1" s="57" t="s">
        <v>133</v>
      </c>
      <c r="W1" s="57" t="s">
        <v>124</v>
      </c>
      <c r="X1" s="57" t="s">
        <v>140</v>
      </c>
      <c r="Y1" s="57" t="s">
        <v>141</v>
      </c>
      <c r="Z1" s="59"/>
      <c r="AA1" s="60" t="s">
        <v>150</v>
      </c>
      <c r="AB1" s="57" t="s">
        <v>151</v>
      </c>
      <c r="AC1" s="57" t="s">
        <v>152</v>
      </c>
    </row>
    <row r="2">
      <c r="A2" s="61" t="s">
        <v>153</v>
      </c>
      <c r="B2" s="62">
        <f t="shared" ref="B2:B254" si="1">AA2*AB2*AC2</f>
        <v>1</v>
      </c>
      <c r="C2" s="61" t="s">
        <v>154</v>
      </c>
      <c r="D2" s="61" t="s">
        <v>155</v>
      </c>
      <c r="E2" s="62">
        <f t="shared" ref="E2:E85" si="2">IF(B2&lt;22,B2*0.62,B2*0.82)</f>
        <v>0.62</v>
      </c>
      <c r="F2" s="62">
        <f t="shared" ref="F2:F85" si="3">B2/2</f>
        <v>0.5</v>
      </c>
      <c r="G2" s="62">
        <f t="shared" ref="G2:G85" si="4">B2-((B2-E2)/2)</f>
        <v>0.81</v>
      </c>
      <c r="H2" s="63"/>
      <c r="I2" s="64" t="b">
        <v>1</v>
      </c>
      <c r="J2" s="64" t="b">
        <v>0</v>
      </c>
      <c r="K2" s="61" t="b">
        <v>1</v>
      </c>
      <c r="L2" s="61" t="b">
        <v>0</v>
      </c>
      <c r="M2" s="61" t="b">
        <v>0</v>
      </c>
      <c r="N2" s="61" t="b">
        <v>0</v>
      </c>
      <c r="O2" s="61" t="b">
        <v>0</v>
      </c>
      <c r="P2" s="61" t="b">
        <v>0</v>
      </c>
      <c r="Q2" s="61" t="b">
        <v>0</v>
      </c>
      <c r="R2" s="61" t="b">
        <v>0</v>
      </c>
      <c r="S2" s="61" t="b">
        <v>0</v>
      </c>
      <c r="T2" s="61" t="b">
        <v>0</v>
      </c>
      <c r="U2" s="61" t="b">
        <v>0</v>
      </c>
      <c r="V2" s="61" t="b">
        <v>0</v>
      </c>
      <c r="W2" s="61" t="b">
        <v>1</v>
      </c>
      <c r="X2" s="61" t="b">
        <v>0</v>
      </c>
      <c r="Y2" s="61" t="b">
        <v>0</v>
      </c>
      <c r="Z2" s="38">
        <f t="shared" ref="Z2:Z5" si="5">RAND()</f>
        <v>0.09231175901</v>
      </c>
      <c r="AA2" s="65">
        <v>1.0</v>
      </c>
      <c r="AB2" s="66">
        <f>VLOOKUP(A2,ReferenceTables!$BI$2:$CA$254,MATCH(ShopGenerator!$A$2,ReferenceTables!$BI$1:$CA$1,0),0)</f>
        <v>1</v>
      </c>
      <c r="AC2" s="66">
        <f>VLOOKUP(D2,ReferenceTables!$AQ$2:$BE$27,MATCH(ShopGenerator!$A$4,ReferenceTables!$AQ$1:$BE$1,0),0)</f>
        <v>1</v>
      </c>
    </row>
    <row r="3">
      <c r="A3" s="67" t="s">
        <v>156</v>
      </c>
      <c r="B3" s="68">
        <f t="shared" si="1"/>
        <v>1</v>
      </c>
      <c r="C3" s="67" t="s">
        <v>157</v>
      </c>
      <c r="D3" s="67" t="s">
        <v>155</v>
      </c>
      <c r="E3" s="68">
        <f t="shared" si="2"/>
        <v>0.62</v>
      </c>
      <c r="F3" s="68">
        <f t="shared" si="3"/>
        <v>0.5</v>
      </c>
      <c r="G3" s="68">
        <f t="shared" si="4"/>
        <v>0.81</v>
      </c>
      <c r="H3" s="69"/>
      <c r="I3" s="70" t="b">
        <v>1</v>
      </c>
      <c r="J3" s="70" t="b">
        <v>0</v>
      </c>
      <c r="K3" s="67" t="b">
        <v>1</v>
      </c>
      <c r="L3" s="67" t="b">
        <v>0</v>
      </c>
      <c r="M3" s="67" t="b">
        <v>0</v>
      </c>
      <c r="N3" s="67" t="b">
        <v>0</v>
      </c>
      <c r="O3" s="67" t="b">
        <v>0</v>
      </c>
      <c r="P3" s="67" t="b">
        <v>0</v>
      </c>
      <c r="Q3" s="67" t="b">
        <v>0</v>
      </c>
      <c r="R3" s="67" t="b">
        <v>0</v>
      </c>
      <c r="S3" s="67" t="b">
        <v>0</v>
      </c>
      <c r="T3" s="67" t="b">
        <v>0</v>
      </c>
      <c r="U3" s="67" t="b">
        <v>0</v>
      </c>
      <c r="V3" s="67" t="b">
        <v>0</v>
      </c>
      <c r="W3" s="67" t="b">
        <v>1</v>
      </c>
      <c r="X3" s="67" t="b">
        <v>0</v>
      </c>
      <c r="Y3" s="67" t="b">
        <v>0</v>
      </c>
      <c r="Z3" s="38">
        <f t="shared" si="5"/>
        <v>0.313330897</v>
      </c>
      <c r="AA3" s="71">
        <v>1.0</v>
      </c>
      <c r="AB3" s="72">
        <f>VLOOKUP(A3,ReferenceTables!$BI$2:$CA$254,MATCH(ShopGenerator!$A$2,ReferenceTables!$BI$1:$CA$1,0),0)</f>
        <v>1</v>
      </c>
      <c r="AC3" s="72">
        <f>VLOOKUP(D3,ReferenceTables!$AQ$2:$BE$27,MATCH(ShopGenerator!$A$4,ReferenceTables!$AQ$1:$BE$1,0),0)</f>
        <v>1</v>
      </c>
    </row>
    <row r="4">
      <c r="A4" s="61" t="s">
        <v>158</v>
      </c>
      <c r="B4" s="62">
        <f t="shared" si="1"/>
        <v>1</v>
      </c>
      <c r="C4" s="61" t="s">
        <v>159</v>
      </c>
      <c r="D4" s="61" t="s">
        <v>155</v>
      </c>
      <c r="E4" s="62">
        <f t="shared" si="2"/>
        <v>0.62</v>
      </c>
      <c r="F4" s="62">
        <f t="shared" si="3"/>
        <v>0.5</v>
      </c>
      <c r="G4" s="62">
        <f t="shared" si="4"/>
        <v>0.81</v>
      </c>
      <c r="H4" s="63"/>
      <c r="I4" s="64" t="b">
        <v>1</v>
      </c>
      <c r="J4" s="64" t="b">
        <v>0</v>
      </c>
      <c r="K4" s="61" t="b">
        <v>1</v>
      </c>
      <c r="L4" s="61" t="b">
        <v>0</v>
      </c>
      <c r="M4" s="61" t="b">
        <v>0</v>
      </c>
      <c r="N4" s="61" t="b">
        <v>0</v>
      </c>
      <c r="O4" s="61" t="b">
        <v>0</v>
      </c>
      <c r="P4" s="61" t="b">
        <v>0</v>
      </c>
      <c r="Q4" s="61" t="b">
        <v>0</v>
      </c>
      <c r="R4" s="61" t="b">
        <v>0</v>
      </c>
      <c r="S4" s="61" t="b">
        <v>0</v>
      </c>
      <c r="T4" s="61" t="b">
        <v>0</v>
      </c>
      <c r="U4" s="61" t="b">
        <v>0</v>
      </c>
      <c r="V4" s="61" t="b">
        <v>0</v>
      </c>
      <c r="W4" s="61" t="b">
        <v>1</v>
      </c>
      <c r="X4" s="61" t="b">
        <v>0</v>
      </c>
      <c r="Y4" s="61" t="b">
        <v>0</v>
      </c>
      <c r="Z4" s="38">
        <f t="shared" si="5"/>
        <v>0.5110733339</v>
      </c>
      <c r="AA4" s="65">
        <v>1.0</v>
      </c>
      <c r="AB4" s="66">
        <f>VLOOKUP(A4,ReferenceTables!$BI$2:$CA$254,MATCH(ShopGenerator!$A$2,ReferenceTables!$BI$1:$CA$1,0),0)</f>
        <v>1</v>
      </c>
      <c r="AC4" s="66">
        <f>VLOOKUP(D4,ReferenceTables!$AQ$2:$BE$27,MATCH(ShopGenerator!$A$4,ReferenceTables!$AQ$1:$BE$1,0),0)</f>
        <v>1</v>
      </c>
    </row>
    <row r="5">
      <c r="A5" s="67" t="s">
        <v>160</v>
      </c>
      <c r="B5" s="68">
        <f t="shared" si="1"/>
        <v>0.04</v>
      </c>
      <c r="C5" s="67" t="s">
        <v>161</v>
      </c>
      <c r="D5" s="67" t="s">
        <v>155</v>
      </c>
      <c r="E5" s="68">
        <f t="shared" si="2"/>
        <v>0.0248</v>
      </c>
      <c r="F5" s="68">
        <f t="shared" si="3"/>
        <v>0.02</v>
      </c>
      <c r="G5" s="68">
        <f t="shared" si="4"/>
        <v>0.0324</v>
      </c>
      <c r="H5" s="69"/>
      <c r="I5" s="70" t="b">
        <v>0</v>
      </c>
      <c r="J5" s="70" t="b">
        <v>0</v>
      </c>
      <c r="K5" s="67" t="b">
        <v>1</v>
      </c>
      <c r="L5" s="67" t="b">
        <v>1</v>
      </c>
      <c r="M5" s="67" t="b">
        <v>0</v>
      </c>
      <c r="N5" s="67" t="b">
        <v>0</v>
      </c>
      <c r="O5" s="67" t="b">
        <v>0</v>
      </c>
      <c r="P5" s="67" t="b">
        <v>0</v>
      </c>
      <c r="Q5" s="67" t="b">
        <v>0</v>
      </c>
      <c r="R5" s="67" t="b">
        <v>0</v>
      </c>
      <c r="S5" s="67" t="b">
        <v>0</v>
      </c>
      <c r="T5" s="67" t="b">
        <v>0</v>
      </c>
      <c r="U5" s="67" t="b">
        <v>0</v>
      </c>
      <c r="V5" s="67" t="b">
        <v>0</v>
      </c>
      <c r="W5" s="67" t="b">
        <v>1</v>
      </c>
      <c r="X5" s="67" t="b">
        <v>0</v>
      </c>
      <c r="Y5" s="67" t="b">
        <v>0</v>
      </c>
      <c r="Z5" s="38">
        <f t="shared" si="5"/>
        <v>0.1532611056</v>
      </c>
      <c r="AA5" s="71">
        <v>0.04</v>
      </c>
      <c r="AB5" s="72">
        <f>VLOOKUP(A5,ReferenceTables!$BI$2:$CA$254,MATCH(ShopGenerator!$A$2,ReferenceTables!$BI$1:$CA$1,0),0)</f>
        <v>1</v>
      </c>
      <c r="AC5" s="72">
        <f>VLOOKUP(D5,ReferenceTables!$AQ$2:$BE$27,MATCH(ShopGenerator!$A$4,ReferenceTables!$AQ$1:$BE$1,0),0)</f>
        <v>1</v>
      </c>
    </row>
    <row r="6">
      <c r="A6" s="61" t="s">
        <v>162</v>
      </c>
      <c r="B6" s="62">
        <f t="shared" si="1"/>
        <v>40</v>
      </c>
      <c r="C6" s="61" t="s">
        <v>163</v>
      </c>
      <c r="D6" s="61" t="s">
        <v>164</v>
      </c>
      <c r="E6" s="62">
        <f t="shared" si="2"/>
        <v>32.8</v>
      </c>
      <c r="F6" s="62">
        <f t="shared" si="3"/>
        <v>20</v>
      </c>
      <c r="G6" s="62">
        <f t="shared" si="4"/>
        <v>36.4</v>
      </c>
      <c r="H6" s="61" t="s">
        <v>165</v>
      </c>
      <c r="I6" s="64" t="b">
        <v>0</v>
      </c>
      <c r="J6" s="64" t="b">
        <v>0</v>
      </c>
      <c r="K6" s="61" t="b">
        <v>0</v>
      </c>
      <c r="L6" s="61" t="b">
        <v>0</v>
      </c>
      <c r="M6" s="61" t="b">
        <v>0</v>
      </c>
      <c r="N6" s="61" t="b">
        <v>0</v>
      </c>
      <c r="O6" s="61" t="b">
        <v>0</v>
      </c>
      <c r="P6" s="61" t="b">
        <v>0</v>
      </c>
      <c r="Q6" s="61" t="b">
        <v>0</v>
      </c>
      <c r="R6" s="61" t="b">
        <v>0</v>
      </c>
      <c r="S6" s="61" t="b">
        <v>0</v>
      </c>
      <c r="T6" s="61" t="b">
        <v>1</v>
      </c>
      <c r="U6" s="61" t="b">
        <v>0</v>
      </c>
      <c r="V6" s="61" t="b">
        <v>0</v>
      </c>
      <c r="W6" s="61" t="b">
        <v>1</v>
      </c>
      <c r="X6" s="61" t="b">
        <v>0</v>
      </c>
      <c r="Y6" s="61" t="b">
        <v>0</v>
      </c>
      <c r="Z6" s="38">
        <f t="shared" ref="Z6:Z12" si="6">Z133+0.0000000001</f>
        <v>0.7669606641</v>
      </c>
      <c r="AA6" s="65">
        <v>40.0</v>
      </c>
      <c r="AB6" s="66">
        <f>VLOOKUP(A6,ReferenceTables!$BI$2:$CA$254,MATCH(ShopGenerator!$A$2,ReferenceTables!$BI$1:$CA$1,0),0)</f>
        <v>1</v>
      </c>
      <c r="AC6" s="66">
        <f>VLOOKUP(D6,ReferenceTables!$AQ$2:$BE$27,MATCH(ShopGenerator!$A$4,ReferenceTables!$AQ$1:$BE$1,0),0)</f>
        <v>1</v>
      </c>
    </row>
    <row r="7">
      <c r="A7" s="67" t="s">
        <v>166</v>
      </c>
      <c r="B7" s="68">
        <f t="shared" si="1"/>
        <v>180</v>
      </c>
      <c r="C7" s="67" t="s">
        <v>167</v>
      </c>
      <c r="D7" s="67" t="s">
        <v>164</v>
      </c>
      <c r="E7" s="68">
        <f t="shared" si="2"/>
        <v>147.6</v>
      </c>
      <c r="F7" s="68">
        <f t="shared" si="3"/>
        <v>90</v>
      </c>
      <c r="G7" s="68">
        <f t="shared" si="4"/>
        <v>163.8</v>
      </c>
      <c r="H7" s="67" t="s">
        <v>168</v>
      </c>
      <c r="I7" s="70" t="b">
        <v>0</v>
      </c>
      <c r="J7" s="70" t="b">
        <v>0</v>
      </c>
      <c r="K7" s="67" t="b">
        <v>0</v>
      </c>
      <c r="L7" s="67" t="b">
        <v>0</v>
      </c>
      <c r="M7" s="67" t="b">
        <v>0</v>
      </c>
      <c r="N7" s="67" t="b">
        <v>0</v>
      </c>
      <c r="O7" s="67" t="b">
        <v>0</v>
      </c>
      <c r="P7" s="67" t="b">
        <v>0</v>
      </c>
      <c r="Q7" s="67" t="b">
        <v>0</v>
      </c>
      <c r="R7" s="67" t="b">
        <v>0</v>
      </c>
      <c r="S7" s="67" t="b">
        <v>0</v>
      </c>
      <c r="T7" s="67" t="b">
        <v>1</v>
      </c>
      <c r="U7" s="67" t="b">
        <v>0</v>
      </c>
      <c r="V7" s="67" t="b">
        <v>0</v>
      </c>
      <c r="W7" s="67" t="b">
        <v>1</v>
      </c>
      <c r="X7" s="67" t="b">
        <v>0</v>
      </c>
      <c r="Y7" s="67" t="b">
        <v>0</v>
      </c>
      <c r="Z7" s="38">
        <f t="shared" si="6"/>
        <v>0.1397670642</v>
      </c>
      <c r="AA7" s="71">
        <v>180.0</v>
      </c>
      <c r="AB7" s="72">
        <f>VLOOKUP(A7,ReferenceTables!$BI$2:$CA$254,MATCH(ShopGenerator!$A$2,ReferenceTables!$BI$1:$CA$1,0),0)</f>
        <v>1</v>
      </c>
      <c r="AC7" s="72">
        <f>VLOOKUP(D7,ReferenceTables!$AQ$2:$BE$27,MATCH(ShopGenerator!$A$4,ReferenceTables!$AQ$1:$BE$1,0),0)</f>
        <v>1</v>
      </c>
    </row>
    <row r="8">
      <c r="A8" s="61" t="s">
        <v>169</v>
      </c>
      <c r="B8" s="62">
        <f t="shared" si="1"/>
        <v>40</v>
      </c>
      <c r="C8" s="61" t="s">
        <v>163</v>
      </c>
      <c r="D8" s="61" t="s">
        <v>164</v>
      </c>
      <c r="E8" s="62">
        <f t="shared" si="2"/>
        <v>32.8</v>
      </c>
      <c r="F8" s="62">
        <f t="shared" si="3"/>
        <v>20</v>
      </c>
      <c r="G8" s="62">
        <f t="shared" si="4"/>
        <v>36.4</v>
      </c>
      <c r="H8" s="61" t="s">
        <v>170</v>
      </c>
      <c r="I8" s="64" t="b">
        <v>0</v>
      </c>
      <c r="J8" s="64" t="b">
        <v>0</v>
      </c>
      <c r="K8" s="61" t="b">
        <v>0</v>
      </c>
      <c r="L8" s="61" t="b">
        <v>0</v>
      </c>
      <c r="M8" s="61" t="b">
        <v>0</v>
      </c>
      <c r="N8" s="61" t="b">
        <v>0</v>
      </c>
      <c r="O8" s="61" t="b">
        <v>0</v>
      </c>
      <c r="P8" s="61" t="b">
        <v>0</v>
      </c>
      <c r="Q8" s="61" t="b">
        <v>0</v>
      </c>
      <c r="R8" s="61" t="b">
        <v>0</v>
      </c>
      <c r="S8" s="61" t="b">
        <v>0</v>
      </c>
      <c r="T8" s="61" t="b">
        <v>1</v>
      </c>
      <c r="U8" s="61" t="b">
        <v>0</v>
      </c>
      <c r="V8" s="61" t="b">
        <v>0</v>
      </c>
      <c r="W8" s="61" t="b">
        <v>1</v>
      </c>
      <c r="X8" s="61" t="b">
        <v>0</v>
      </c>
      <c r="Y8" s="61" t="b">
        <v>0</v>
      </c>
      <c r="Z8" s="38">
        <f t="shared" si="6"/>
        <v>0.8892177488</v>
      </c>
      <c r="AA8" s="65">
        <v>40.0</v>
      </c>
      <c r="AB8" s="66">
        <f>VLOOKUP(A8,ReferenceTables!$BI$2:$CA$254,MATCH(ShopGenerator!$A$2,ReferenceTables!$BI$1:$CA$1,0),0)</f>
        <v>1</v>
      </c>
      <c r="AC8" s="66">
        <f>VLOOKUP(D8,ReferenceTables!$AQ$2:$BE$27,MATCH(ShopGenerator!$A$4,ReferenceTables!$AQ$1:$BE$1,0),0)</f>
        <v>1</v>
      </c>
    </row>
    <row r="9">
      <c r="A9" s="67" t="s">
        <v>171</v>
      </c>
      <c r="B9" s="68">
        <f t="shared" si="1"/>
        <v>40</v>
      </c>
      <c r="C9" s="67" t="s">
        <v>163</v>
      </c>
      <c r="D9" s="67" t="s">
        <v>164</v>
      </c>
      <c r="E9" s="68">
        <f t="shared" si="2"/>
        <v>32.8</v>
      </c>
      <c r="F9" s="68">
        <f t="shared" si="3"/>
        <v>20</v>
      </c>
      <c r="G9" s="68">
        <f t="shared" si="4"/>
        <v>36.4</v>
      </c>
      <c r="H9" s="67" t="s">
        <v>172</v>
      </c>
      <c r="I9" s="70" t="b">
        <v>0</v>
      </c>
      <c r="J9" s="70" t="b">
        <v>0</v>
      </c>
      <c r="K9" s="67" t="b">
        <v>0</v>
      </c>
      <c r="L9" s="67" t="b">
        <v>0</v>
      </c>
      <c r="M9" s="67" t="b">
        <v>0</v>
      </c>
      <c r="N9" s="67" t="b">
        <v>0</v>
      </c>
      <c r="O9" s="67" t="b">
        <v>0</v>
      </c>
      <c r="P9" s="67" t="b">
        <v>0</v>
      </c>
      <c r="Q9" s="67" t="b">
        <v>0</v>
      </c>
      <c r="R9" s="67" t="b">
        <v>0</v>
      </c>
      <c r="S9" s="67" t="b">
        <v>0</v>
      </c>
      <c r="T9" s="67" t="b">
        <v>1</v>
      </c>
      <c r="U9" s="67" t="b">
        <v>0</v>
      </c>
      <c r="V9" s="67" t="b">
        <v>0</v>
      </c>
      <c r="W9" s="67" t="b">
        <v>1</v>
      </c>
      <c r="X9" s="67" t="b">
        <v>0</v>
      </c>
      <c r="Y9" s="67" t="b">
        <v>0</v>
      </c>
      <c r="Z9" s="38">
        <f t="shared" si="6"/>
        <v>0.8502282618</v>
      </c>
      <c r="AA9" s="71">
        <v>40.0</v>
      </c>
      <c r="AB9" s="72">
        <f>VLOOKUP(A9,ReferenceTables!$BI$2:$CA$254,MATCH(ShopGenerator!$A$2,ReferenceTables!$BI$1:$CA$1,0),0)</f>
        <v>1</v>
      </c>
      <c r="AC9" s="72">
        <f>VLOOKUP(D9,ReferenceTables!$AQ$2:$BE$27,MATCH(ShopGenerator!$A$4,ReferenceTables!$AQ$1:$BE$1,0),0)</f>
        <v>1</v>
      </c>
    </row>
    <row r="10">
      <c r="A10" s="61" t="s">
        <v>173</v>
      </c>
      <c r="B10" s="62">
        <f t="shared" si="1"/>
        <v>180</v>
      </c>
      <c r="C10" s="61" t="s">
        <v>167</v>
      </c>
      <c r="D10" s="61" t="s">
        <v>164</v>
      </c>
      <c r="E10" s="62">
        <f t="shared" si="2"/>
        <v>147.6</v>
      </c>
      <c r="F10" s="62">
        <f t="shared" si="3"/>
        <v>90</v>
      </c>
      <c r="G10" s="62">
        <f t="shared" si="4"/>
        <v>163.8</v>
      </c>
      <c r="H10" s="61" t="s">
        <v>174</v>
      </c>
      <c r="I10" s="64" t="b">
        <v>0</v>
      </c>
      <c r="J10" s="64" t="b">
        <v>0</v>
      </c>
      <c r="K10" s="61" t="b">
        <v>0</v>
      </c>
      <c r="L10" s="61" t="b">
        <v>0</v>
      </c>
      <c r="M10" s="61" t="b">
        <v>0</v>
      </c>
      <c r="N10" s="61" t="b">
        <v>0</v>
      </c>
      <c r="O10" s="61" t="b">
        <v>1</v>
      </c>
      <c r="P10" s="61" t="b">
        <v>0</v>
      </c>
      <c r="Q10" s="61" t="b">
        <v>0</v>
      </c>
      <c r="R10" s="61" t="b">
        <v>0</v>
      </c>
      <c r="S10" s="61" t="b">
        <v>0</v>
      </c>
      <c r="T10" s="61" t="b">
        <v>1</v>
      </c>
      <c r="U10" s="61" t="b">
        <v>0</v>
      </c>
      <c r="V10" s="61" t="b">
        <v>0</v>
      </c>
      <c r="W10" s="61" t="b">
        <v>1</v>
      </c>
      <c r="X10" s="61" t="b">
        <v>0</v>
      </c>
      <c r="Y10" s="61" t="b">
        <v>0</v>
      </c>
      <c r="Z10" s="38">
        <f t="shared" si="6"/>
        <v>0.1998825239</v>
      </c>
      <c r="AA10" s="65">
        <v>180.0</v>
      </c>
      <c r="AB10" s="66">
        <f>VLOOKUP(A10,ReferenceTables!$BI$2:$CA$254,MATCH(ShopGenerator!$A$2,ReferenceTables!$BI$1:$CA$1,0),0)</f>
        <v>1</v>
      </c>
      <c r="AC10" s="66">
        <f>VLOOKUP(D10,ReferenceTables!$AQ$2:$BE$27,MATCH(ShopGenerator!$A$4,ReferenceTables!$AQ$1:$BE$1,0),0)</f>
        <v>1</v>
      </c>
    </row>
    <row r="11">
      <c r="A11" s="67" t="s">
        <v>175</v>
      </c>
      <c r="B11" s="68">
        <f t="shared" si="1"/>
        <v>6000</v>
      </c>
      <c r="C11" s="67" t="s">
        <v>176</v>
      </c>
      <c r="D11" s="67" t="s">
        <v>164</v>
      </c>
      <c r="E11" s="68">
        <f t="shared" si="2"/>
        <v>4920</v>
      </c>
      <c r="F11" s="68">
        <f t="shared" si="3"/>
        <v>3000</v>
      </c>
      <c r="G11" s="68">
        <f t="shared" si="4"/>
        <v>5460</v>
      </c>
      <c r="H11" s="67" t="s">
        <v>177</v>
      </c>
      <c r="I11" s="70" t="b">
        <v>0</v>
      </c>
      <c r="J11" s="70" t="b">
        <v>0</v>
      </c>
      <c r="K11" s="67" t="b">
        <v>0</v>
      </c>
      <c r="L11" s="67" t="b">
        <v>0</v>
      </c>
      <c r="M11" s="67" t="b">
        <v>0</v>
      </c>
      <c r="N11" s="67" t="b">
        <v>0</v>
      </c>
      <c r="O11" s="67" t="b">
        <v>0</v>
      </c>
      <c r="P11" s="67" t="b">
        <v>0</v>
      </c>
      <c r="Q11" s="67" t="b">
        <v>0</v>
      </c>
      <c r="R11" s="67" t="b">
        <v>0</v>
      </c>
      <c r="S11" s="67" t="b">
        <v>0</v>
      </c>
      <c r="T11" s="67" t="b">
        <v>0</v>
      </c>
      <c r="U11" s="67" t="b">
        <v>0</v>
      </c>
      <c r="V11" s="67" t="b">
        <v>0</v>
      </c>
      <c r="W11" s="67" t="b">
        <v>1</v>
      </c>
      <c r="X11" s="67" t="b">
        <v>0</v>
      </c>
      <c r="Y11" s="67" t="b">
        <v>0</v>
      </c>
      <c r="Z11" s="38">
        <f t="shared" si="6"/>
        <v>0.6721358699</v>
      </c>
      <c r="AA11" s="71">
        <v>6000.0</v>
      </c>
      <c r="AB11" s="72">
        <f>VLOOKUP(A11,ReferenceTables!$BI$2:$CA$254,MATCH(ShopGenerator!$A$2,ReferenceTables!$BI$1:$CA$1,0),0)</f>
        <v>1</v>
      </c>
      <c r="AC11" s="72">
        <f>VLOOKUP(D11,ReferenceTables!$AQ$2:$BE$27,MATCH(ShopGenerator!$A$4,ReferenceTables!$AQ$1:$BE$1,0),0)</f>
        <v>1</v>
      </c>
    </row>
    <row r="12">
      <c r="A12" s="61" t="s">
        <v>178</v>
      </c>
      <c r="B12" s="62">
        <f t="shared" si="1"/>
        <v>120</v>
      </c>
      <c r="C12" s="61" t="s">
        <v>179</v>
      </c>
      <c r="D12" s="61" t="s">
        <v>164</v>
      </c>
      <c r="E12" s="62">
        <f t="shared" si="2"/>
        <v>98.4</v>
      </c>
      <c r="F12" s="62">
        <f t="shared" si="3"/>
        <v>60</v>
      </c>
      <c r="G12" s="62">
        <f t="shared" si="4"/>
        <v>109.2</v>
      </c>
      <c r="H12" s="61" t="s">
        <v>180</v>
      </c>
      <c r="I12" s="64" t="b">
        <v>0</v>
      </c>
      <c r="J12" s="64" t="b">
        <v>1</v>
      </c>
      <c r="K12" s="61" t="b">
        <v>0</v>
      </c>
      <c r="L12" s="61" t="b">
        <v>0</v>
      </c>
      <c r="M12" s="61" t="b">
        <v>0</v>
      </c>
      <c r="N12" s="61" t="b">
        <v>0</v>
      </c>
      <c r="O12" s="61" t="b">
        <v>0</v>
      </c>
      <c r="P12" s="61" t="b">
        <v>0</v>
      </c>
      <c r="Q12" s="61" t="b">
        <v>0</v>
      </c>
      <c r="R12" s="61" t="b">
        <v>0</v>
      </c>
      <c r="S12" s="61" t="b">
        <v>0</v>
      </c>
      <c r="T12" s="61" t="b">
        <v>0</v>
      </c>
      <c r="U12" s="61" t="b">
        <v>0</v>
      </c>
      <c r="V12" s="61" t="b">
        <v>0</v>
      </c>
      <c r="W12" s="61" t="b">
        <v>1</v>
      </c>
      <c r="X12" s="61" t="b">
        <v>0</v>
      </c>
      <c r="Y12" s="61" t="b">
        <v>0</v>
      </c>
      <c r="Z12" s="38">
        <f t="shared" si="6"/>
        <v>0.5062921608</v>
      </c>
      <c r="AA12" s="65">
        <v>120.0</v>
      </c>
      <c r="AB12" s="66">
        <f>VLOOKUP(A12,ReferenceTables!$BI$2:$CA$254,MATCH(ShopGenerator!$A$2,ReferenceTables!$BI$1:$CA$1,0),0)</f>
        <v>1</v>
      </c>
      <c r="AC12" s="66">
        <f>VLOOKUP(D12,ReferenceTables!$AQ$2:$BE$27,MATCH(ShopGenerator!$A$4,ReferenceTables!$AQ$1:$BE$1,0),0)</f>
        <v>1</v>
      </c>
    </row>
    <row r="13">
      <c r="A13" s="67" t="s">
        <v>181</v>
      </c>
      <c r="B13" s="68">
        <f t="shared" si="1"/>
        <v>0.8</v>
      </c>
      <c r="C13" s="67" t="s">
        <v>182</v>
      </c>
      <c r="D13" s="67" t="s">
        <v>183</v>
      </c>
      <c r="E13" s="68">
        <f t="shared" si="2"/>
        <v>0.496</v>
      </c>
      <c r="F13" s="68">
        <f t="shared" si="3"/>
        <v>0.4</v>
      </c>
      <c r="G13" s="68">
        <f t="shared" si="4"/>
        <v>0.648</v>
      </c>
      <c r="H13" s="67" t="s">
        <v>184</v>
      </c>
      <c r="I13" s="70" t="b">
        <v>0</v>
      </c>
      <c r="J13" s="70" t="b">
        <v>0</v>
      </c>
      <c r="K13" s="67" t="b">
        <v>0</v>
      </c>
      <c r="L13" s="67" t="b">
        <v>0</v>
      </c>
      <c r="M13" s="67" t="b">
        <v>0</v>
      </c>
      <c r="N13" s="67" t="b">
        <v>0</v>
      </c>
      <c r="O13" s="67" t="b">
        <v>0</v>
      </c>
      <c r="P13" s="67" t="b">
        <v>0</v>
      </c>
      <c r="Q13" s="67" t="b">
        <v>1</v>
      </c>
      <c r="R13" s="67" t="b">
        <v>1</v>
      </c>
      <c r="S13" s="67" t="b">
        <v>0</v>
      </c>
      <c r="T13" s="67" t="b">
        <v>0</v>
      </c>
      <c r="U13" s="67" t="b">
        <v>0</v>
      </c>
      <c r="V13" s="67" t="b">
        <v>0</v>
      </c>
      <c r="W13" s="67" t="b">
        <v>1</v>
      </c>
      <c r="X13" s="67" t="b">
        <v>0</v>
      </c>
      <c r="Y13" s="67" t="b">
        <v>0</v>
      </c>
      <c r="Z13" s="2">
        <v>1.2E-9</v>
      </c>
      <c r="AA13" s="71">
        <v>0.8</v>
      </c>
      <c r="AB13" s="72">
        <f>VLOOKUP(A13,ReferenceTables!$BI$2:$CA$254,MATCH(ShopGenerator!$A$2,ReferenceTables!$BI$1:$CA$1,0),0)</f>
        <v>1</v>
      </c>
      <c r="AC13" s="72">
        <f>VLOOKUP(D13,ReferenceTables!$AQ$2:$BE$27,MATCH(ShopGenerator!$A$4,ReferenceTables!$AQ$1:$BE$1,0),0)</f>
        <v>1</v>
      </c>
    </row>
    <row r="14">
      <c r="A14" s="61" t="s">
        <v>185</v>
      </c>
      <c r="B14" s="62">
        <f t="shared" si="1"/>
        <v>0.5</v>
      </c>
      <c r="C14" s="61" t="s">
        <v>182</v>
      </c>
      <c r="D14" s="61" t="s">
        <v>183</v>
      </c>
      <c r="E14" s="62">
        <f t="shared" si="2"/>
        <v>0.31</v>
      </c>
      <c r="F14" s="62">
        <f t="shared" si="3"/>
        <v>0.25</v>
      </c>
      <c r="G14" s="62">
        <f t="shared" si="4"/>
        <v>0.405</v>
      </c>
      <c r="H14" s="61" t="s">
        <v>186</v>
      </c>
      <c r="I14" s="64" t="b">
        <v>0</v>
      </c>
      <c r="J14" s="64" t="b">
        <v>0</v>
      </c>
      <c r="K14" s="61" t="b">
        <v>0</v>
      </c>
      <c r="L14" s="61" t="b">
        <v>0</v>
      </c>
      <c r="M14" s="61" t="b">
        <v>0</v>
      </c>
      <c r="N14" s="61" t="b">
        <v>0</v>
      </c>
      <c r="O14" s="61" t="b">
        <v>0</v>
      </c>
      <c r="P14" s="61" t="b">
        <v>1</v>
      </c>
      <c r="Q14" s="61" t="b">
        <v>1</v>
      </c>
      <c r="R14" s="61" t="b">
        <v>0</v>
      </c>
      <c r="S14" s="61" t="b">
        <v>0</v>
      </c>
      <c r="T14" s="61" t="b">
        <v>0</v>
      </c>
      <c r="U14" s="61" t="b">
        <v>0</v>
      </c>
      <c r="V14" s="61" t="b">
        <v>1</v>
      </c>
      <c r="W14" s="61" t="b">
        <v>1</v>
      </c>
      <c r="X14" s="61" t="b">
        <v>0</v>
      </c>
      <c r="Y14" s="61" t="b">
        <v>0</v>
      </c>
      <c r="Z14" s="2">
        <v>1.6E-8</v>
      </c>
      <c r="AA14" s="65">
        <v>0.5</v>
      </c>
      <c r="AB14" s="66">
        <f>VLOOKUP(A14,ReferenceTables!$BI$2:$CA$254,MATCH(ShopGenerator!$A$2,ReferenceTables!$BI$1:$CA$1,0),0)</f>
        <v>1</v>
      </c>
      <c r="AC14" s="66">
        <f>VLOOKUP(D14,ReferenceTables!$AQ$2:$BE$27,MATCH(ShopGenerator!$A$4,ReferenceTables!$AQ$1:$BE$1,0),0)</f>
        <v>1</v>
      </c>
    </row>
    <row r="15">
      <c r="A15" s="67" t="s">
        <v>187</v>
      </c>
      <c r="B15" s="68">
        <f t="shared" si="1"/>
        <v>0.1</v>
      </c>
      <c r="C15" s="67" t="s">
        <v>182</v>
      </c>
      <c r="D15" s="67" t="s">
        <v>183</v>
      </c>
      <c r="E15" s="68">
        <f t="shared" si="2"/>
        <v>0.062</v>
      </c>
      <c r="F15" s="68">
        <f t="shared" si="3"/>
        <v>0.05</v>
      </c>
      <c r="G15" s="68">
        <f t="shared" si="4"/>
        <v>0.081</v>
      </c>
      <c r="H15" s="67" t="s">
        <v>188</v>
      </c>
      <c r="I15" s="70" t="b">
        <v>0</v>
      </c>
      <c r="J15" s="70" t="b">
        <v>0</v>
      </c>
      <c r="K15" s="67" t="b">
        <v>0</v>
      </c>
      <c r="L15" s="67" t="b">
        <v>0</v>
      </c>
      <c r="M15" s="67" t="b">
        <v>0</v>
      </c>
      <c r="N15" s="67" t="b">
        <v>0</v>
      </c>
      <c r="O15" s="67" t="b">
        <v>0</v>
      </c>
      <c r="P15" s="67" t="b">
        <v>1</v>
      </c>
      <c r="Q15" s="67" t="b">
        <v>1</v>
      </c>
      <c r="R15" s="67" t="b">
        <v>0</v>
      </c>
      <c r="S15" s="67" t="b">
        <v>0</v>
      </c>
      <c r="T15" s="67" t="b">
        <v>0</v>
      </c>
      <c r="U15" s="67" t="b">
        <v>0</v>
      </c>
      <c r="V15" s="67" t="b">
        <v>0</v>
      </c>
      <c r="W15" s="67" t="b">
        <v>1</v>
      </c>
      <c r="X15" s="67" t="b">
        <v>0</v>
      </c>
      <c r="Y15" s="67" t="b">
        <v>0</v>
      </c>
      <c r="Z15" s="38">
        <f t="shared" ref="Z15:Z48" si="7">RAND()</f>
        <v>0.3367292581</v>
      </c>
      <c r="AA15" s="71">
        <v>0.1</v>
      </c>
      <c r="AB15" s="72">
        <f>VLOOKUP(A15,ReferenceTables!$BI$2:$CA$254,MATCH(ShopGenerator!$A$2,ReferenceTables!$BI$1:$CA$1,0),0)</f>
        <v>1</v>
      </c>
      <c r="AC15" s="72">
        <f>VLOOKUP(D15,ReferenceTables!$AQ$2:$BE$27,MATCH(ShopGenerator!$A$4,ReferenceTables!$AQ$1:$BE$1,0),0)</f>
        <v>1</v>
      </c>
    </row>
    <row r="16">
      <c r="A16" s="61" t="s">
        <v>189</v>
      </c>
      <c r="B16" s="62">
        <f t="shared" si="1"/>
        <v>0.07</v>
      </c>
      <c r="C16" s="61" t="s">
        <v>182</v>
      </c>
      <c r="D16" s="61" t="s">
        <v>183</v>
      </c>
      <c r="E16" s="62">
        <f t="shared" si="2"/>
        <v>0.0434</v>
      </c>
      <c r="F16" s="62">
        <f t="shared" si="3"/>
        <v>0.035</v>
      </c>
      <c r="G16" s="62">
        <f t="shared" si="4"/>
        <v>0.0567</v>
      </c>
      <c r="H16" s="61" t="s">
        <v>190</v>
      </c>
      <c r="I16" s="64" t="b">
        <v>0</v>
      </c>
      <c r="J16" s="64" t="b">
        <v>0</v>
      </c>
      <c r="K16" s="61" t="b">
        <v>0</v>
      </c>
      <c r="L16" s="61" t="b">
        <v>0</v>
      </c>
      <c r="M16" s="61" t="b">
        <v>0</v>
      </c>
      <c r="N16" s="61" t="b">
        <v>0</v>
      </c>
      <c r="O16" s="61" t="b">
        <v>0</v>
      </c>
      <c r="P16" s="61" t="b">
        <v>1</v>
      </c>
      <c r="Q16" s="61" t="b">
        <v>0</v>
      </c>
      <c r="R16" s="61" t="b">
        <v>0</v>
      </c>
      <c r="S16" s="61" t="b">
        <v>1</v>
      </c>
      <c r="T16" s="61" t="b">
        <v>0</v>
      </c>
      <c r="U16" s="61" t="b">
        <v>0</v>
      </c>
      <c r="V16" s="61" t="b">
        <v>0</v>
      </c>
      <c r="W16" s="61" t="b">
        <v>1</v>
      </c>
      <c r="X16" s="61" t="b">
        <v>0</v>
      </c>
      <c r="Y16" s="61" t="b">
        <v>0</v>
      </c>
      <c r="Z16" s="38">
        <f t="shared" si="7"/>
        <v>0.8947137661</v>
      </c>
      <c r="AA16" s="65">
        <v>0.07</v>
      </c>
      <c r="AB16" s="66">
        <f>VLOOKUP(A16,ReferenceTables!$BI$2:$CA$254,MATCH(ShopGenerator!$A$2,ReferenceTables!$BI$1:$CA$1,0),0)</f>
        <v>1</v>
      </c>
      <c r="AC16" s="66">
        <f>VLOOKUP(D16,ReferenceTables!$AQ$2:$BE$27,MATCH(ShopGenerator!$A$4,ReferenceTables!$AQ$1:$BE$1,0),0)</f>
        <v>1</v>
      </c>
    </row>
    <row r="17">
      <c r="A17" s="67" t="s">
        <v>191</v>
      </c>
      <c r="B17" s="68">
        <f t="shared" si="1"/>
        <v>0.5</v>
      </c>
      <c r="C17" s="67" t="s">
        <v>75</v>
      </c>
      <c r="D17" s="67" t="s">
        <v>192</v>
      </c>
      <c r="E17" s="68">
        <f t="shared" si="2"/>
        <v>0.31</v>
      </c>
      <c r="F17" s="68">
        <f t="shared" si="3"/>
        <v>0.25</v>
      </c>
      <c r="G17" s="68">
        <f t="shared" si="4"/>
        <v>0.405</v>
      </c>
      <c r="H17" s="69"/>
      <c r="I17" s="70" t="b">
        <v>0</v>
      </c>
      <c r="J17" s="70" t="b">
        <v>0</v>
      </c>
      <c r="K17" s="67" t="b">
        <v>0</v>
      </c>
      <c r="L17" s="67" t="b">
        <v>0</v>
      </c>
      <c r="M17" s="67" t="b">
        <v>0</v>
      </c>
      <c r="N17" s="67" t="b">
        <v>0</v>
      </c>
      <c r="O17" s="67" t="b">
        <v>0</v>
      </c>
      <c r="P17" s="67" t="b">
        <v>0</v>
      </c>
      <c r="Q17" s="67" t="b">
        <v>1</v>
      </c>
      <c r="R17" s="67" t="b">
        <v>1</v>
      </c>
      <c r="S17" s="67" t="b">
        <v>0</v>
      </c>
      <c r="T17" s="67" t="b">
        <v>0</v>
      </c>
      <c r="U17" s="67" t="b">
        <v>1</v>
      </c>
      <c r="V17" s="67" t="b">
        <v>0</v>
      </c>
      <c r="W17" s="67" t="b">
        <v>1</v>
      </c>
      <c r="X17" s="67" t="b">
        <v>0</v>
      </c>
      <c r="Y17" s="67" t="b">
        <v>0</v>
      </c>
      <c r="Z17" s="38">
        <f t="shared" si="7"/>
        <v>0.9398127741</v>
      </c>
      <c r="AA17" s="71">
        <v>0.5</v>
      </c>
      <c r="AB17" s="72">
        <f>VLOOKUP(A17,ReferenceTables!$BI$2:$CA$254,MATCH(ShopGenerator!$A$2,ReferenceTables!$BI$1:$CA$1,0),0)</f>
        <v>1</v>
      </c>
      <c r="AC17" s="72">
        <f>VLOOKUP(D17,ReferenceTables!$AQ$2:$BE$27,MATCH(ShopGenerator!$A$4,ReferenceTables!$AQ$1:$BE$1,0),0)</f>
        <v>1</v>
      </c>
    </row>
    <row r="18">
      <c r="A18" s="61" t="s">
        <v>193</v>
      </c>
      <c r="B18" s="62">
        <f t="shared" si="1"/>
        <v>2</v>
      </c>
      <c r="C18" s="61" t="s">
        <v>194</v>
      </c>
      <c r="D18" s="61" t="s">
        <v>44</v>
      </c>
      <c r="E18" s="62">
        <f t="shared" si="2"/>
        <v>1.24</v>
      </c>
      <c r="F18" s="62">
        <f t="shared" si="3"/>
        <v>1</v>
      </c>
      <c r="G18" s="62">
        <f t="shared" si="4"/>
        <v>1.62</v>
      </c>
      <c r="H18" s="63"/>
      <c r="I18" s="64" t="b">
        <v>0</v>
      </c>
      <c r="J18" s="64" t="b">
        <v>0</v>
      </c>
      <c r="K18" s="61" t="b">
        <v>1</v>
      </c>
      <c r="L18" s="61" t="b">
        <v>1</v>
      </c>
      <c r="M18" s="61" t="b">
        <v>0</v>
      </c>
      <c r="N18" s="61" t="b">
        <v>0</v>
      </c>
      <c r="O18" s="61" t="b">
        <v>0</v>
      </c>
      <c r="P18" s="61" t="b">
        <v>0</v>
      </c>
      <c r="Q18" s="61" t="b">
        <v>0</v>
      </c>
      <c r="R18" s="61" t="b">
        <v>0</v>
      </c>
      <c r="S18" s="61" t="b">
        <v>0</v>
      </c>
      <c r="T18" s="61" t="b">
        <v>0</v>
      </c>
      <c r="U18" s="61" t="b">
        <v>0</v>
      </c>
      <c r="V18" s="61" t="b">
        <v>1</v>
      </c>
      <c r="W18" s="61" t="b">
        <v>1</v>
      </c>
      <c r="X18" s="61" t="b">
        <v>0</v>
      </c>
      <c r="Y18" s="61" t="b">
        <v>1</v>
      </c>
      <c r="Z18" s="38">
        <f t="shared" si="7"/>
        <v>0.955506578</v>
      </c>
      <c r="AA18" s="65">
        <v>2.0</v>
      </c>
      <c r="AB18" s="66">
        <f>VLOOKUP(A18,ReferenceTables!$BI$2:$CA$254,MATCH(ShopGenerator!$A$2,ReferenceTables!$BI$1:$CA$1,0),0)</f>
        <v>1</v>
      </c>
      <c r="AC18" s="66">
        <f>VLOOKUP(D18,ReferenceTables!$AQ$2:$BE$27,MATCH(ShopGenerator!$A$4,ReferenceTables!$AQ$1:$BE$1,0),0)</f>
        <v>1</v>
      </c>
    </row>
    <row r="19">
      <c r="A19" s="67" t="s">
        <v>195</v>
      </c>
      <c r="B19" s="68">
        <f t="shared" si="1"/>
        <v>0.4</v>
      </c>
      <c r="C19" s="67" t="s">
        <v>51</v>
      </c>
      <c r="D19" s="67" t="s">
        <v>44</v>
      </c>
      <c r="E19" s="68">
        <f t="shared" si="2"/>
        <v>0.248</v>
      </c>
      <c r="F19" s="68">
        <f t="shared" si="3"/>
        <v>0.2</v>
      </c>
      <c r="G19" s="68">
        <f t="shared" si="4"/>
        <v>0.324</v>
      </c>
      <c r="H19" s="69"/>
      <c r="I19" s="70" t="b">
        <v>0</v>
      </c>
      <c r="J19" s="70" t="b">
        <v>0</v>
      </c>
      <c r="K19" s="67" t="b">
        <v>1</v>
      </c>
      <c r="L19" s="67" t="b">
        <v>0</v>
      </c>
      <c r="M19" s="67" t="b">
        <v>0</v>
      </c>
      <c r="N19" s="67" t="b">
        <v>0</v>
      </c>
      <c r="O19" s="67" t="b">
        <v>0</v>
      </c>
      <c r="P19" s="67" t="b">
        <v>0</v>
      </c>
      <c r="Q19" s="67" t="b">
        <v>0</v>
      </c>
      <c r="R19" s="67" t="b">
        <v>0</v>
      </c>
      <c r="S19" s="67" t="b">
        <v>0</v>
      </c>
      <c r="T19" s="67" t="b">
        <v>0</v>
      </c>
      <c r="U19" s="67" t="b">
        <v>1</v>
      </c>
      <c r="V19" s="67" t="b">
        <v>1</v>
      </c>
      <c r="W19" s="67" t="b">
        <v>1</v>
      </c>
      <c r="X19" s="67" t="b">
        <v>0</v>
      </c>
      <c r="Y19" s="67" t="b">
        <v>0</v>
      </c>
      <c r="Z19" s="38">
        <f t="shared" si="7"/>
        <v>0.9457097788</v>
      </c>
      <c r="AA19" s="71">
        <v>0.4</v>
      </c>
      <c r="AB19" s="72">
        <f>VLOOKUP(A19,ReferenceTables!$BI$2:$CA$254,MATCH(ShopGenerator!$A$2,ReferenceTables!$BI$1:$CA$1,0),0)</f>
        <v>1</v>
      </c>
      <c r="AC19" s="72">
        <f>VLOOKUP(D19,ReferenceTables!$AQ$2:$BE$27,MATCH(ShopGenerator!$A$4,ReferenceTables!$AQ$1:$BE$1,0),0)</f>
        <v>1</v>
      </c>
    </row>
    <row r="20">
      <c r="A20" s="61" t="s">
        <v>196</v>
      </c>
      <c r="B20" s="62">
        <f t="shared" si="1"/>
        <v>1</v>
      </c>
      <c r="C20" s="61" t="s">
        <v>43</v>
      </c>
      <c r="D20" s="61" t="s">
        <v>44</v>
      </c>
      <c r="E20" s="62">
        <f t="shared" si="2"/>
        <v>0.62</v>
      </c>
      <c r="F20" s="62">
        <f t="shared" si="3"/>
        <v>0.5</v>
      </c>
      <c r="G20" s="62">
        <f t="shared" si="4"/>
        <v>0.81</v>
      </c>
      <c r="H20" s="61" t="s">
        <v>197</v>
      </c>
      <c r="I20" s="64" t="b">
        <v>0</v>
      </c>
      <c r="J20" s="64" t="b">
        <v>0</v>
      </c>
      <c r="K20" s="61" t="b">
        <v>0</v>
      </c>
      <c r="L20" s="61" t="b">
        <v>0</v>
      </c>
      <c r="M20" s="61" t="b">
        <v>0</v>
      </c>
      <c r="N20" s="61" t="b">
        <v>0</v>
      </c>
      <c r="O20" s="61" t="b">
        <v>0</v>
      </c>
      <c r="P20" s="61" t="b">
        <v>0</v>
      </c>
      <c r="Q20" s="61" t="b">
        <v>0</v>
      </c>
      <c r="R20" s="61" t="b">
        <v>0</v>
      </c>
      <c r="S20" s="61" t="b">
        <v>0</v>
      </c>
      <c r="T20" s="61" t="b">
        <v>0</v>
      </c>
      <c r="U20" s="61" t="b">
        <v>0</v>
      </c>
      <c r="V20" s="61" t="b">
        <v>0</v>
      </c>
      <c r="W20" s="61" t="b">
        <v>1</v>
      </c>
      <c r="X20" s="61" t="b">
        <v>0</v>
      </c>
      <c r="Y20" s="61" t="b">
        <v>0</v>
      </c>
      <c r="Z20" s="38">
        <f t="shared" si="7"/>
        <v>0.5235803074</v>
      </c>
      <c r="AA20" s="65">
        <v>1.0</v>
      </c>
      <c r="AB20" s="66">
        <f>VLOOKUP(A20,ReferenceTables!$BI$2:$CA$254,MATCH(ShopGenerator!$A$2,ReferenceTables!$BI$1:$CA$1,0),0)</f>
        <v>1</v>
      </c>
      <c r="AC20" s="66">
        <f>VLOOKUP(D20,ReferenceTables!$AQ$2:$BE$27,MATCH(ShopGenerator!$A$4,ReferenceTables!$AQ$1:$BE$1,0),0)</f>
        <v>1</v>
      </c>
    </row>
    <row r="21">
      <c r="A21" s="67" t="s">
        <v>198</v>
      </c>
      <c r="B21" s="68">
        <f t="shared" si="1"/>
        <v>0.05</v>
      </c>
      <c r="C21" s="67" t="s">
        <v>51</v>
      </c>
      <c r="D21" s="67" t="s">
        <v>44</v>
      </c>
      <c r="E21" s="68">
        <f t="shared" si="2"/>
        <v>0.031</v>
      </c>
      <c r="F21" s="68">
        <f t="shared" si="3"/>
        <v>0.025</v>
      </c>
      <c r="G21" s="68">
        <f t="shared" si="4"/>
        <v>0.0405</v>
      </c>
      <c r="H21" s="69"/>
      <c r="I21" s="70" t="b">
        <v>0</v>
      </c>
      <c r="J21" s="70" t="b">
        <v>0</v>
      </c>
      <c r="K21" s="67" t="b">
        <v>1</v>
      </c>
      <c r="L21" s="67" t="b">
        <v>1</v>
      </c>
      <c r="M21" s="67" t="b">
        <v>0</v>
      </c>
      <c r="N21" s="67" t="b">
        <v>0</v>
      </c>
      <c r="O21" s="67" t="b">
        <v>0</v>
      </c>
      <c r="P21" s="67" t="b">
        <v>0</v>
      </c>
      <c r="Q21" s="67" t="b">
        <v>0</v>
      </c>
      <c r="R21" s="67" t="b">
        <v>0</v>
      </c>
      <c r="S21" s="67" t="b">
        <v>0</v>
      </c>
      <c r="T21" s="67" t="b">
        <v>0</v>
      </c>
      <c r="U21" s="67" t="b">
        <v>1</v>
      </c>
      <c r="V21" s="67" t="b">
        <v>0</v>
      </c>
      <c r="W21" s="67" t="b">
        <v>1</v>
      </c>
      <c r="X21" s="67" t="b">
        <v>0</v>
      </c>
      <c r="Y21" s="67" t="b">
        <v>1</v>
      </c>
      <c r="Z21" s="38">
        <f t="shared" si="7"/>
        <v>0.7611272249</v>
      </c>
      <c r="AA21" s="71">
        <v>0.05</v>
      </c>
      <c r="AB21" s="72">
        <f>VLOOKUP(A21,ReferenceTables!$BI$2:$CA$254,MATCH(ShopGenerator!$A$2,ReferenceTables!$BI$1:$CA$1,0),0)</f>
        <v>1</v>
      </c>
      <c r="AC21" s="72">
        <f>VLOOKUP(D21,ReferenceTables!$AQ$2:$BE$27,MATCH(ShopGenerator!$A$4,ReferenceTables!$AQ$1:$BE$1,0),0)</f>
        <v>1</v>
      </c>
    </row>
    <row r="22">
      <c r="A22" s="61" t="s">
        <v>199</v>
      </c>
      <c r="B22" s="62">
        <f t="shared" si="1"/>
        <v>5</v>
      </c>
      <c r="C22" s="61" t="s">
        <v>46</v>
      </c>
      <c r="D22" s="61" t="s">
        <v>44</v>
      </c>
      <c r="E22" s="62">
        <f t="shared" si="2"/>
        <v>3.1</v>
      </c>
      <c r="F22" s="62">
        <f t="shared" si="3"/>
        <v>2.5</v>
      </c>
      <c r="G22" s="62">
        <f t="shared" si="4"/>
        <v>4.05</v>
      </c>
      <c r="H22" s="63"/>
      <c r="I22" s="64" t="b">
        <v>0</v>
      </c>
      <c r="J22" s="64" t="b">
        <v>0</v>
      </c>
      <c r="K22" s="61" t="b">
        <v>0</v>
      </c>
      <c r="L22" s="61" t="b">
        <v>0</v>
      </c>
      <c r="M22" s="61" t="b">
        <v>0</v>
      </c>
      <c r="N22" s="61" t="b">
        <v>0</v>
      </c>
      <c r="O22" s="61" t="b">
        <v>0</v>
      </c>
      <c r="P22" s="61" t="b">
        <v>0</v>
      </c>
      <c r="Q22" s="61" t="b">
        <v>0</v>
      </c>
      <c r="R22" s="61" t="b">
        <v>0</v>
      </c>
      <c r="S22" s="61" t="b">
        <v>0</v>
      </c>
      <c r="T22" s="61" t="b">
        <v>0</v>
      </c>
      <c r="U22" s="61" t="b">
        <v>0</v>
      </c>
      <c r="V22" s="61" t="b">
        <v>0</v>
      </c>
      <c r="W22" s="61" t="b">
        <v>1</v>
      </c>
      <c r="X22" s="61" t="b">
        <v>0</v>
      </c>
      <c r="Y22" s="61" t="b">
        <v>0</v>
      </c>
      <c r="Z22" s="38">
        <f t="shared" si="7"/>
        <v>0.5308737239</v>
      </c>
      <c r="AA22" s="65">
        <v>5.0</v>
      </c>
      <c r="AB22" s="66">
        <f>VLOOKUP(A22,ReferenceTables!$BI$2:$CA$254,MATCH(ShopGenerator!$A$2,ReferenceTables!$BI$1:$CA$1,0),0)</f>
        <v>1</v>
      </c>
      <c r="AC22" s="66">
        <f>VLOOKUP(D22,ReferenceTables!$AQ$2:$BE$27,MATCH(ShopGenerator!$A$4,ReferenceTables!$AQ$1:$BE$1,0),0)</f>
        <v>1</v>
      </c>
    </row>
    <row r="23">
      <c r="A23" s="67" t="s">
        <v>200</v>
      </c>
      <c r="B23" s="68">
        <f t="shared" si="1"/>
        <v>1</v>
      </c>
      <c r="C23" s="67" t="s">
        <v>43</v>
      </c>
      <c r="D23" s="67" t="s">
        <v>44</v>
      </c>
      <c r="E23" s="68">
        <f t="shared" si="2"/>
        <v>0.62</v>
      </c>
      <c r="F23" s="68">
        <f t="shared" si="3"/>
        <v>0.5</v>
      </c>
      <c r="G23" s="68">
        <f t="shared" si="4"/>
        <v>0.81</v>
      </c>
      <c r="H23" s="67" t="s">
        <v>201</v>
      </c>
      <c r="I23" s="70" t="b">
        <v>0</v>
      </c>
      <c r="J23" s="70" t="b">
        <v>0</v>
      </c>
      <c r="K23" s="67" t="b">
        <v>0</v>
      </c>
      <c r="L23" s="67" t="b">
        <v>0</v>
      </c>
      <c r="M23" s="67" t="b">
        <v>0</v>
      </c>
      <c r="N23" s="67" t="b">
        <v>0</v>
      </c>
      <c r="O23" s="67" t="b">
        <v>0</v>
      </c>
      <c r="P23" s="67" t="b">
        <v>0</v>
      </c>
      <c r="Q23" s="67" t="b">
        <v>0</v>
      </c>
      <c r="R23" s="67" t="b">
        <v>0</v>
      </c>
      <c r="S23" s="67" t="b">
        <v>0</v>
      </c>
      <c r="T23" s="67" t="b">
        <v>0</v>
      </c>
      <c r="U23" s="67" t="b">
        <v>0</v>
      </c>
      <c r="V23" s="67" t="b">
        <v>0</v>
      </c>
      <c r="W23" s="67" t="b">
        <v>1</v>
      </c>
      <c r="X23" s="67" t="b">
        <v>0</v>
      </c>
      <c r="Y23" s="67" t="b">
        <v>0</v>
      </c>
      <c r="Z23" s="38">
        <f t="shared" si="7"/>
        <v>0.1829486615</v>
      </c>
      <c r="AA23" s="71">
        <v>1.0</v>
      </c>
      <c r="AB23" s="72">
        <f>VLOOKUP(A23,ReferenceTables!$BI$2:$CA$254,MATCH(ShopGenerator!$A$2,ReferenceTables!$BI$1:$CA$1,0),0)</f>
        <v>1</v>
      </c>
      <c r="AC23" s="72">
        <f>VLOOKUP(D23,ReferenceTables!$AQ$2:$BE$27,MATCH(ShopGenerator!$A$4,ReferenceTables!$AQ$1:$BE$1,0),0)</f>
        <v>1</v>
      </c>
    </row>
    <row r="24">
      <c r="A24" s="61" t="s">
        <v>202</v>
      </c>
      <c r="B24" s="62">
        <f t="shared" si="1"/>
        <v>0.02</v>
      </c>
      <c r="C24" s="61" t="s">
        <v>43</v>
      </c>
      <c r="D24" s="61" t="s">
        <v>44</v>
      </c>
      <c r="E24" s="62">
        <f t="shared" si="2"/>
        <v>0.0124</v>
      </c>
      <c r="F24" s="62">
        <f t="shared" si="3"/>
        <v>0.01</v>
      </c>
      <c r="G24" s="62">
        <f t="shared" si="4"/>
        <v>0.0162</v>
      </c>
      <c r="H24" s="63"/>
      <c r="I24" s="64" t="b">
        <v>0</v>
      </c>
      <c r="J24" s="64" t="b">
        <v>1</v>
      </c>
      <c r="K24" s="61" t="b">
        <v>1</v>
      </c>
      <c r="L24" s="61" t="b">
        <v>0</v>
      </c>
      <c r="M24" s="61" t="b">
        <v>0</v>
      </c>
      <c r="N24" s="61" t="b">
        <v>1</v>
      </c>
      <c r="O24" s="61" t="b">
        <v>0</v>
      </c>
      <c r="P24" s="61" t="b">
        <v>0</v>
      </c>
      <c r="Q24" s="61" t="b">
        <v>0</v>
      </c>
      <c r="R24" s="61" t="b">
        <v>0</v>
      </c>
      <c r="S24" s="61" t="b">
        <v>0</v>
      </c>
      <c r="T24" s="61" t="b">
        <v>0</v>
      </c>
      <c r="U24" s="61" t="b">
        <v>0</v>
      </c>
      <c r="V24" s="61" t="b">
        <v>1</v>
      </c>
      <c r="W24" s="61" t="b">
        <v>1</v>
      </c>
      <c r="X24" s="61" t="b">
        <v>0</v>
      </c>
      <c r="Y24" s="61" t="b">
        <v>0</v>
      </c>
      <c r="Z24" s="38">
        <f t="shared" si="7"/>
        <v>0.6574233711</v>
      </c>
      <c r="AA24" s="65">
        <v>0.02</v>
      </c>
      <c r="AB24" s="66">
        <f>VLOOKUP(A24,ReferenceTables!$BI$2:$CA$254,MATCH(ShopGenerator!$A$2,ReferenceTables!$BI$1:$CA$1,0),0)</f>
        <v>1</v>
      </c>
      <c r="AC24" s="66">
        <f>VLOOKUP(D24,ReferenceTables!$AQ$2:$BE$27,MATCH(ShopGenerator!$A$4,ReferenceTables!$AQ$1:$BE$1,0),0)</f>
        <v>1</v>
      </c>
    </row>
    <row r="25">
      <c r="A25" s="67" t="s">
        <v>203</v>
      </c>
      <c r="B25" s="68">
        <f t="shared" si="1"/>
        <v>2</v>
      </c>
      <c r="C25" s="67" t="s">
        <v>51</v>
      </c>
      <c r="D25" s="67" t="s">
        <v>44</v>
      </c>
      <c r="E25" s="68">
        <f t="shared" si="2"/>
        <v>1.24</v>
      </c>
      <c r="F25" s="68">
        <f t="shared" si="3"/>
        <v>1</v>
      </c>
      <c r="G25" s="68">
        <f t="shared" si="4"/>
        <v>1.62</v>
      </c>
      <c r="H25" s="69"/>
      <c r="I25" s="70" t="b">
        <v>0</v>
      </c>
      <c r="J25" s="70" t="b">
        <v>0</v>
      </c>
      <c r="K25" s="67" t="b">
        <v>0</v>
      </c>
      <c r="L25" s="67" t="b">
        <v>0</v>
      </c>
      <c r="M25" s="67" t="b">
        <v>0</v>
      </c>
      <c r="N25" s="67" t="b">
        <v>0</v>
      </c>
      <c r="O25" s="67" t="b">
        <v>0</v>
      </c>
      <c r="P25" s="67" t="b">
        <v>0</v>
      </c>
      <c r="Q25" s="67" t="b">
        <v>0</v>
      </c>
      <c r="R25" s="67" t="b">
        <v>0</v>
      </c>
      <c r="S25" s="67" t="b">
        <v>0</v>
      </c>
      <c r="T25" s="67" t="b">
        <v>0</v>
      </c>
      <c r="U25" s="67" t="b">
        <v>0</v>
      </c>
      <c r="V25" s="67" t="b">
        <v>1</v>
      </c>
      <c r="W25" s="67" t="b">
        <v>1</v>
      </c>
      <c r="X25" s="67" t="b">
        <v>0</v>
      </c>
      <c r="Y25" s="67" t="b">
        <v>0</v>
      </c>
      <c r="Z25" s="38">
        <f t="shared" si="7"/>
        <v>0.7754481325</v>
      </c>
      <c r="AA25" s="71">
        <v>2.0</v>
      </c>
      <c r="AB25" s="72">
        <f>VLOOKUP(A25,ReferenceTables!$BI$2:$CA$254,MATCH(ShopGenerator!$A$2,ReferenceTables!$BI$1:$CA$1,0),0)</f>
        <v>1</v>
      </c>
      <c r="AC25" s="72">
        <f>VLOOKUP(D25,ReferenceTables!$AQ$2:$BE$27,MATCH(ShopGenerator!$A$4,ReferenceTables!$AQ$1:$BE$1,0),0)</f>
        <v>1</v>
      </c>
    </row>
    <row r="26">
      <c r="A26" s="61" t="s">
        <v>204</v>
      </c>
      <c r="B26" s="62">
        <f t="shared" si="1"/>
        <v>2</v>
      </c>
      <c r="C26" s="61" t="s">
        <v>72</v>
      </c>
      <c r="D26" s="61" t="s">
        <v>44</v>
      </c>
      <c r="E26" s="62">
        <f t="shared" si="2"/>
        <v>1.24</v>
      </c>
      <c r="F26" s="62">
        <f t="shared" si="3"/>
        <v>1</v>
      </c>
      <c r="G26" s="62">
        <f t="shared" si="4"/>
        <v>1.62</v>
      </c>
      <c r="H26" s="63"/>
      <c r="I26" s="64" t="b">
        <v>0</v>
      </c>
      <c r="J26" s="64" t="b">
        <v>1</v>
      </c>
      <c r="K26" s="61" t="b">
        <v>1</v>
      </c>
      <c r="L26" s="61" t="b">
        <v>0</v>
      </c>
      <c r="M26" s="61" t="b">
        <v>0</v>
      </c>
      <c r="N26" s="61" t="b">
        <v>0</v>
      </c>
      <c r="O26" s="61" t="b">
        <v>0</v>
      </c>
      <c r="P26" s="61" t="b">
        <v>0</v>
      </c>
      <c r="Q26" s="61" t="b">
        <v>0</v>
      </c>
      <c r="R26" s="61" t="b">
        <v>0</v>
      </c>
      <c r="S26" s="61" t="b">
        <v>0</v>
      </c>
      <c r="T26" s="61" t="b">
        <v>0</v>
      </c>
      <c r="U26" s="61" t="b">
        <v>1</v>
      </c>
      <c r="V26" s="61" t="b">
        <v>1</v>
      </c>
      <c r="W26" s="61" t="b">
        <v>1</v>
      </c>
      <c r="X26" s="61" t="b">
        <v>0</v>
      </c>
      <c r="Y26" s="61" t="b">
        <v>0</v>
      </c>
      <c r="Z26" s="38">
        <f t="shared" si="7"/>
        <v>0.9797318486</v>
      </c>
      <c r="AA26" s="65">
        <v>2.0</v>
      </c>
      <c r="AB26" s="66">
        <f>VLOOKUP(A26,ReferenceTables!$BI$2:$CA$254,MATCH(ShopGenerator!$A$2,ReferenceTables!$BI$1:$CA$1,0),0)</f>
        <v>1</v>
      </c>
      <c r="AC26" s="66">
        <f>VLOOKUP(D26,ReferenceTables!$AQ$2:$BE$27,MATCH(ShopGenerator!$A$4,ReferenceTables!$AQ$1:$BE$1,0),0)</f>
        <v>1</v>
      </c>
    </row>
    <row r="27">
      <c r="A27" s="67" t="s">
        <v>205</v>
      </c>
      <c r="B27" s="68">
        <f t="shared" si="1"/>
        <v>0.02</v>
      </c>
      <c r="C27" s="67" t="s">
        <v>49</v>
      </c>
      <c r="D27" s="67" t="s">
        <v>44</v>
      </c>
      <c r="E27" s="68">
        <f t="shared" si="2"/>
        <v>0.0124</v>
      </c>
      <c r="F27" s="68">
        <f t="shared" si="3"/>
        <v>0.01</v>
      </c>
      <c r="G27" s="68">
        <f t="shared" si="4"/>
        <v>0.0162</v>
      </c>
      <c r="H27" s="69"/>
      <c r="I27" s="70" t="b">
        <v>0</v>
      </c>
      <c r="J27" s="70" t="b">
        <v>0</v>
      </c>
      <c r="K27" s="67" t="b">
        <v>1</v>
      </c>
      <c r="L27" s="67" t="b">
        <v>0</v>
      </c>
      <c r="M27" s="67" t="b">
        <v>0</v>
      </c>
      <c r="N27" s="67" t="b">
        <v>0</v>
      </c>
      <c r="O27" s="67" t="b">
        <v>0</v>
      </c>
      <c r="P27" s="67" t="b">
        <v>0</v>
      </c>
      <c r="Q27" s="67" t="b">
        <v>0</v>
      </c>
      <c r="R27" s="67" t="b">
        <v>0</v>
      </c>
      <c r="S27" s="67" t="b">
        <v>0</v>
      </c>
      <c r="T27" s="67" t="b">
        <v>0</v>
      </c>
      <c r="U27" s="67" t="b">
        <v>0</v>
      </c>
      <c r="V27" s="67" t="b">
        <v>0</v>
      </c>
      <c r="W27" s="67" t="b">
        <v>1</v>
      </c>
      <c r="X27" s="67" t="b">
        <v>0</v>
      </c>
      <c r="Y27" s="67" t="b">
        <v>0</v>
      </c>
      <c r="Z27" s="38">
        <f t="shared" si="7"/>
        <v>0.9417215401</v>
      </c>
      <c r="AA27" s="71">
        <v>0.02</v>
      </c>
      <c r="AB27" s="72">
        <f>VLOOKUP(A27,ReferenceTables!$BI$2:$CA$254,MATCH(ShopGenerator!$A$2,ReferenceTables!$BI$1:$CA$1,0),0)</f>
        <v>1</v>
      </c>
      <c r="AC27" s="72">
        <f>VLOOKUP(D27,ReferenceTables!$AQ$2:$BE$27,MATCH(ShopGenerator!$A$4,ReferenceTables!$AQ$1:$BE$1,0),0)</f>
        <v>1</v>
      </c>
    </row>
    <row r="28">
      <c r="A28" s="61" t="s">
        <v>206</v>
      </c>
      <c r="B28" s="62">
        <f t="shared" si="1"/>
        <v>0.02</v>
      </c>
      <c r="C28" s="61" t="s">
        <v>49</v>
      </c>
      <c r="D28" s="61" t="s">
        <v>44</v>
      </c>
      <c r="E28" s="62">
        <f t="shared" si="2"/>
        <v>0.0124</v>
      </c>
      <c r="F28" s="62">
        <f t="shared" si="3"/>
        <v>0.01</v>
      </c>
      <c r="G28" s="62">
        <f t="shared" si="4"/>
        <v>0.0162</v>
      </c>
      <c r="H28" s="63"/>
      <c r="I28" s="64" t="b">
        <v>0</v>
      </c>
      <c r="J28" s="64" t="b">
        <v>0</v>
      </c>
      <c r="K28" s="61" t="b">
        <v>0</v>
      </c>
      <c r="L28" s="61" t="b">
        <v>0</v>
      </c>
      <c r="M28" s="61" t="b">
        <v>0</v>
      </c>
      <c r="N28" s="61" t="b">
        <v>0</v>
      </c>
      <c r="O28" s="61" t="b">
        <v>0</v>
      </c>
      <c r="P28" s="61" t="b">
        <v>0</v>
      </c>
      <c r="Q28" s="61" t="b">
        <v>0</v>
      </c>
      <c r="R28" s="61" t="b">
        <v>0</v>
      </c>
      <c r="S28" s="61" t="b">
        <v>0</v>
      </c>
      <c r="T28" s="61" t="b">
        <v>0</v>
      </c>
      <c r="U28" s="61" t="b">
        <v>0</v>
      </c>
      <c r="V28" s="61" t="b">
        <v>0</v>
      </c>
      <c r="W28" s="61" t="b">
        <v>1</v>
      </c>
      <c r="X28" s="61" t="b">
        <v>0</v>
      </c>
      <c r="Y28" s="61" t="b">
        <v>0</v>
      </c>
      <c r="Z28" s="38">
        <f t="shared" si="7"/>
        <v>0.1769361804</v>
      </c>
      <c r="AA28" s="65">
        <v>0.02</v>
      </c>
      <c r="AB28" s="66">
        <f>VLOOKUP(A28,ReferenceTables!$BI$2:$CA$254,MATCH(ShopGenerator!$A$2,ReferenceTables!$BI$1:$CA$1,0),0)</f>
        <v>1</v>
      </c>
      <c r="AC28" s="66">
        <f>VLOOKUP(D28,ReferenceTables!$AQ$2:$BE$27,MATCH(ShopGenerator!$A$4,ReferenceTables!$AQ$1:$BE$1,0),0)</f>
        <v>1</v>
      </c>
    </row>
    <row r="29">
      <c r="A29" s="67" t="s">
        <v>207</v>
      </c>
      <c r="B29" s="68">
        <f t="shared" si="1"/>
        <v>0.5</v>
      </c>
      <c r="C29" s="67" t="s">
        <v>43</v>
      </c>
      <c r="D29" s="67" t="s">
        <v>44</v>
      </c>
      <c r="E29" s="68">
        <f t="shared" si="2"/>
        <v>0.31</v>
      </c>
      <c r="F29" s="68">
        <f t="shared" si="3"/>
        <v>0.25</v>
      </c>
      <c r="G29" s="68">
        <f t="shared" si="4"/>
        <v>0.405</v>
      </c>
      <c r="H29" s="69"/>
      <c r="I29" s="70" t="b">
        <v>0</v>
      </c>
      <c r="J29" s="70" t="b">
        <v>0</v>
      </c>
      <c r="K29" s="67" t="b">
        <v>1</v>
      </c>
      <c r="L29" s="67" t="b">
        <v>0</v>
      </c>
      <c r="M29" s="67" t="b">
        <v>0</v>
      </c>
      <c r="N29" s="67" t="b">
        <v>0</v>
      </c>
      <c r="O29" s="67" t="b">
        <v>0</v>
      </c>
      <c r="P29" s="67" t="b">
        <v>0</v>
      </c>
      <c r="Q29" s="67" t="b">
        <v>0</v>
      </c>
      <c r="R29" s="67" t="b">
        <v>0</v>
      </c>
      <c r="S29" s="67" t="b">
        <v>0</v>
      </c>
      <c r="T29" s="67" t="b">
        <v>0</v>
      </c>
      <c r="U29" s="67" t="b">
        <v>0</v>
      </c>
      <c r="V29" s="67" t="b">
        <v>0</v>
      </c>
      <c r="W29" s="67" t="b">
        <v>1</v>
      </c>
      <c r="X29" s="67" t="b">
        <v>0</v>
      </c>
      <c r="Y29" s="67" t="b">
        <v>0</v>
      </c>
      <c r="Z29" s="38">
        <f t="shared" si="7"/>
        <v>0.7508941041</v>
      </c>
      <c r="AA29" s="71">
        <v>0.5</v>
      </c>
      <c r="AB29" s="72">
        <f>VLOOKUP(A29,ReferenceTables!$BI$2:$CA$254,MATCH(ShopGenerator!$A$2,ReferenceTables!$BI$1:$CA$1,0),0)</f>
        <v>1</v>
      </c>
      <c r="AC29" s="72">
        <f>VLOOKUP(D29,ReferenceTables!$AQ$2:$BE$27,MATCH(ShopGenerator!$A$4,ReferenceTables!$AQ$1:$BE$1,0),0)</f>
        <v>1</v>
      </c>
    </row>
    <row r="30">
      <c r="A30" s="61" t="s">
        <v>208</v>
      </c>
      <c r="B30" s="62">
        <f t="shared" si="1"/>
        <v>0.01</v>
      </c>
      <c r="C30" s="61" t="s">
        <v>209</v>
      </c>
      <c r="D30" s="61" t="s">
        <v>44</v>
      </c>
      <c r="E30" s="62">
        <f t="shared" si="2"/>
        <v>0.0062</v>
      </c>
      <c r="F30" s="62">
        <f t="shared" si="3"/>
        <v>0.005</v>
      </c>
      <c r="G30" s="62">
        <f t="shared" si="4"/>
        <v>0.0081</v>
      </c>
      <c r="H30" s="63"/>
      <c r="I30" s="64" t="b">
        <v>0</v>
      </c>
      <c r="J30" s="64" t="b">
        <v>0</v>
      </c>
      <c r="K30" s="61" t="b">
        <v>1</v>
      </c>
      <c r="L30" s="61" t="b">
        <v>1</v>
      </c>
      <c r="M30" s="61" t="b">
        <v>0</v>
      </c>
      <c r="N30" s="61" t="b">
        <v>0</v>
      </c>
      <c r="O30" s="61" t="b">
        <v>0</v>
      </c>
      <c r="P30" s="61" t="b">
        <v>0</v>
      </c>
      <c r="Q30" s="61" t="b">
        <v>0</v>
      </c>
      <c r="R30" s="61" t="b">
        <v>0</v>
      </c>
      <c r="S30" s="61" t="b">
        <v>0</v>
      </c>
      <c r="T30" s="61" t="b">
        <v>0</v>
      </c>
      <c r="U30" s="61" t="b">
        <v>1</v>
      </c>
      <c r="V30" s="61" t="b">
        <v>0</v>
      </c>
      <c r="W30" s="61" t="b">
        <v>1</v>
      </c>
      <c r="X30" s="61" t="b">
        <v>0</v>
      </c>
      <c r="Y30" s="61" t="b">
        <v>0</v>
      </c>
      <c r="Z30" s="38">
        <f t="shared" si="7"/>
        <v>0.84940946</v>
      </c>
      <c r="AA30" s="65">
        <v>0.01</v>
      </c>
      <c r="AB30" s="66">
        <f>VLOOKUP(A30,ReferenceTables!$BI$2:$CA$254,MATCH(ShopGenerator!$A$2,ReferenceTables!$BI$1:$CA$1,0),0)</f>
        <v>1</v>
      </c>
      <c r="AC30" s="66">
        <f>VLOOKUP(D30,ReferenceTables!$AQ$2:$BE$27,MATCH(ShopGenerator!$A$4,ReferenceTables!$AQ$1:$BE$1,0),0)</f>
        <v>1</v>
      </c>
    </row>
    <row r="31">
      <c r="A31" s="67" t="s">
        <v>135</v>
      </c>
      <c r="B31" s="68">
        <f t="shared" si="1"/>
        <v>0.02</v>
      </c>
      <c r="C31" s="67" t="s">
        <v>43</v>
      </c>
      <c r="D31" s="67" t="s">
        <v>44</v>
      </c>
      <c r="E31" s="68">
        <f t="shared" si="2"/>
        <v>0.0124</v>
      </c>
      <c r="F31" s="68">
        <f t="shared" si="3"/>
        <v>0.01</v>
      </c>
      <c r="G31" s="68">
        <f t="shared" si="4"/>
        <v>0.0162</v>
      </c>
      <c r="H31" s="69"/>
      <c r="I31" s="70" t="b">
        <v>0</v>
      </c>
      <c r="J31" s="70" t="b">
        <v>1</v>
      </c>
      <c r="K31" s="67" t="b">
        <v>1</v>
      </c>
      <c r="L31" s="67" t="b">
        <v>0</v>
      </c>
      <c r="M31" s="67" t="b">
        <v>0</v>
      </c>
      <c r="N31" s="67" t="b">
        <v>0</v>
      </c>
      <c r="O31" s="67" t="b">
        <v>0</v>
      </c>
      <c r="P31" s="67" t="b">
        <v>0</v>
      </c>
      <c r="Q31" s="67" t="b">
        <v>0</v>
      </c>
      <c r="R31" s="67" t="b">
        <v>0</v>
      </c>
      <c r="S31" s="67" t="b">
        <v>0</v>
      </c>
      <c r="T31" s="67" t="b">
        <v>0</v>
      </c>
      <c r="U31" s="67" t="b">
        <v>0</v>
      </c>
      <c r="V31" s="67" t="b">
        <v>0</v>
      </c>
      <c r="W31" s="67" t="b">
        <v>1</v>
      </c>
      <c r="X31" s="67" t="b">
        <v>0</v>
      </c>
      <c r="Y31" s="67" t="b">
        <v>0</v>
      </c>
      <c r="Z31" s="38">
        <f t="shared" si="7"/>
        <v>0.1190592208</v>
      </c>
      <c r="AA31" s="71">
        <v>0.02</v>
      </c>
      <c r="AB31" s="72">
        <f>VLOOKUP(A31,ReferenceTables!$BI$2:$CA$254,MATCH(ShopGenerator!$A$2,ReferenceTables!$BI$1:$CA$1,0),0)</f>
        <v>1</v>
      </c>
      <c r="AC31" s="72">
        <f>VLOOKUP(D31,ReferenceTables!$AQ$2:$BE$27,MATCH(ShopGenerator!$A$4,ReferenceTables!$AQ$1:$BE$1,0),0)</f>
        <v>1</v>
      </c>
    </row>
    <row r="32">
      <c r="A32" s="61" t="s">
        <v>210</v>
      </c>
      <c r="B32" s="62">
        <f t="shared" si="1"/>
        <v>1</v>
      </c>
      <c r="C32" s="61" t="s">
        <v>211</v>
      </c>
      <c r="D32" s="61" t="s">
        <v>44</v>
      </c>
      <c r="E32" s="62">
        <f t="shared" si="2"/>
        <v>0.62</v>
      </c>
      <c r="F32" s="62">
        <f t="shared" si="3"/>
        <v>0.5</v>
      </c>
      <c r="G32" s="62">
        <f t="shared" si="4"/>
        <v>0.81</v>
      </c>
      <c r="H32" s="63"/>
      <c r="I32" s="64" t="b">
        <v>0</v>
      </c>
      <c r="J32" s="64" t="b">
        <v>0</v>
      </c>
      <c r="K32" s="61" t="b">
        <v>0</v>
      </c>
      <c r="L32" s="61" t="b">
        <v>0</v>
      </c>
      <c r="M32" s="61" t="b">
        <v>0</v>
      </c>
      <c r="N32" s="61" t="b">
        <v>0</v>
      </c>
      <c r="O32" s="61" t="b">
        <v>0</v>
      </c>
      <c r="P32" s="61" t="b">
        <v>0</v>
      </c>
      <c r="Q32" s="61" t="b">
        <v>0</v>
      </c>
      <c r="R32" s="61" t="b">
        <v>0</v>
      </c>
      <c r="S32" s="61" t="b">
        <v>0</v>
      </c>
      <c r="T32" s="61" t="b">
        <v>0</v>
      </c>
      <c r="U32" s="61" t="b">
        <v>0</v>
      </c>
      <c r="V32" s="61" t="b">
        <v>1</v>
      </c>
      <c r="W32" s="61" t="b">
        <v>1</v>
      </c>
      <c r="X32" s="61" t="b">
        <v>0</v>
      </c>
      <c r="Y32" s="61" t="b">
        <v>0</v>
      </c>
      <c r="Z32" s="38">
        <f t="shared" si="7"/>
        <v>0.9998402173</v>
      </c>
      <c r="AA32" s="65">
        <v>1.0</v>
      </c>
      <c r="AB32" s="66">
        <f>VLOOKUP(A32,ReferenceTables!$BI$2:$CA$254,MATCH(ShopGenerator!$A$2,ReferenceTables!$BI$1:$CA$1,0),0)</f>
        <v>1</v>
      </c>
      <c r="AC32" s="66">
        <f>VLOOKUP(D32,ReferenceTables!$AQ$2:$BE$27,MATCH(ShopGenerator!$A$4,ReferenceTables!$AQ$1:$BE$1,0),0)</f>
        <v>1</v>
      </c>
    </row>
    <row r="33">
      <c r="A33" s="67" t="s">
        <v>212</v>
      </c>
      <c r="B33" s="68">
        <f t="shared" si="1"/>
        <v>5</v>
      </c>
      <c r="C33" s="67" t="s">
        <v>49</v>
      </c>
      <c r="D33" s="67" t="s">
        <v>192</v>
      </c>
      <c r="E33" s="68">
        <f t="shared" si="2"/>
        <v>3.1</v>
      </c>
      <c r="F33" s="68">
        <f t="shared" si="3"/>
        <v>2.5</v>
      </c>
      <c r="G33" s="68">
        <f t="shared" si="4"/>
        <v>4.05</v>
      </c>
      <c r="H33" s="67" t="s">
        <v>213</v>
      </c>
      <c r="I33" s="70" t="b">
        <v>0</v>
      </c>
      <c r="J33" s="70" t="b">
        <v>0</v>
      </c>
      <c r="K33" s="67" t="b">
        <v>0</v>
      </c>
      <c r="L33" s="67" t="b">
        <v>0</v>
      </c>
      <c r="M33" s="67" t="b">
        <v>0</v>
      </c>
      <c r="N33" s="67" t="b">
        <v>0</v>
      </c>
      <c r="O33" s="67" t="b">
        <v>0</v>
      </c>
      <c r="P33" s="67" t="b">
        <v>0</v>
      </c>
      <c r="Q33" s="67" t="b">
        <v>1</v>
      </c>
      <c r="R33" s="67" t="b">
        <v>1</v>
      </c>
      <c r="S33" s="67" t="b">
        <v>0</v>
      </c>
      <c r="T33" s="67" t="b">
        <v>0</v>
      </c>
      <c r="U33" s="67" t="b">
        <v>0</v>
      </c>
      <c r="V33" s="67" t="b">
        <v>0</v>
      </c>
      <c r="W33" s="67" t="b">
        <v>1</v>
      </c>
      <c r="X33" s="67" t="b">
        <v>0</v>
      </c>
      <c r="Y33" s="67" t="b">
        <v>0</v>
      </c>
      <c r="Z33" s="38">
        <f t="shared" si="7"/>
        <v>0.2120029641</v>
      </c>
      <c r="AA33" s="71">
        <v>5.0</v>
      </c>
      <c r="AB33" s="72">
        <f>VLOOKUP(A33,ReferenceTables!$BI$2:$CA$254,MATCH(ShopGenerator!$A$2,ReferenceTables!$BI$1:$CA$1,0),0)</f>
        <v>1</v>
      </c>
      <c r="AC33" s="72">
        <f>VLOOKUP(D33,ReferenceTables!$AQ$2:$BE$27,MATCH(ShopGenerator!$A$4,ReferenceTables!$AQ$1:$BE$1,0),0)</f>
        <v>1</v>
      </c>
    </row>
    <row r="34">
      <c r="A34" s="61" t="s">
        <v>214</v>
      </c>
      <c r="B34" s="62">
        <f t="shared" si="1"/>
        <v>15</v>
      </c>
      <c r="C34" s="61" t="s">
        <v>80</v>
      </c>
      <c r="D34" s="61" t="s">
        <v>192</v>
      </c>
      <c r="E34" s="62">
        <f t="shared" si="2"/>
        <v>9.3</v>
      </c>
      <c r="F34" s="62">
        <f t="shared" si="3"/>
        <v>7.5</v>
      </c>
      <c r="G34" s="62">
        <f t="shared" si="4"/>
        <v>12.15</v>
      </c>
      <c r="H34" s="63"/>
      <c r="I34" s="64" t="b">
        <v>0</v>
      </c>
      <c r="J34" s="64" t="b">
        <v>0</v>
      </c>
      <c r="K34" s="61" t="b">
        <v>0</v>
      </c>
      <c r="L34" s="61" t="b">
        <v>0</v>
      </c>
      <c r="M34" s="61" t="b">
        <v>0</v>
      </c>
      <c r="N34" s="61" t="b">
        <v>0</v>
      </c>
      <c r="O34" s="61" t="b">
        <v>0</v>
      </c>
      <c r="P34" s="61" t="b">
        <v>0</v>
      </c>
      <c r="Q34" s="61" t="b">
        <v>0</v>
      </c>
      <c r="R34" s="61" t="b">
        <v>1</v>
      </c>
      <c r="S34" s="61" t="b">
        <v>0</v>
      </c>
      <c r="T34" s="61" t="b">
        <v>0</v>
      </c>
      <c r="U34" s="61" t="b">
        <v>0</v>
      </c>
      <c r="V34" s="61" t="b">
        <v>0</v>
      </c>
      <c r="W34" s="61" t="b">
        <v>1</v>
      </c>
      <c r="X34" s="61" t="b">
        <v>0</v>
      </c>
      <c r="Y34" s="61" t="b">
        <v>0</v>
      </c>
      <c r="Z34" s="38">
        <f t="shared" si="7"/>
        <v>0.5423741932</v>
      </c>
      <c r="AA34" s="65">
        <v>15.0</v>
      </c>
      <c r="AB34" s="66">
        <f>VLOOKUP(A34,ReferenceTables!$BI$2:$CA$254,MATCH(ShopGenerator!$A$2,ReferenceTables!$BI$1:$CA$1,0),0)</f>
        <v>1</v>
      </c>
      <c r="AC34" s="66">
        <f>VLOOKUP(D34,ReferenceTables!$AQ$2:$BE$27,MATCH(ShopGenerator!$A$4,ReferenceTables!$AQ$1:$BE$1,0),0)</f>
        <v>1</v>
      </c>
    </row>
    <row r="35">
      <c r="A35" s="67" t="s">
        <v>215</v>
      </c>
      <c r="B35" s="68">
        <f t="shared" si="1"/>
        <v>1</v>
      </c>
      <c r="C35" s="67" t="s">
        <v>49</v>
      </c>
      <c r="D35" s="67" t="s">
        <v>192</v>
      </c>
      <c r="E35" s="68">
        <f t="shared" si="2"/>
        <v>0.62</v>
      </c>
      <c r="F35" s="68">
        <f t="shared" si="3"/>
        <v>0.5</v>
      </c>
      <c r="G35" s="68">
        <f t="shared" si="4"/>
        <v>0.81</v>
      </c>
      <c r="H35" s="69"/>
      <c r="I35" s="70" t="b">
        <v>0</v>
      </c>
      <c r="J35" s="70" t="b">
        <v>0</v>
      </c>
      <c r="K35" s="67" t="b">
        <v>0</v>
      </c>
      <c r="L35" s="67" t="b">
        <v>0</v>
      </c>
      <c r="M35" s="67" t="b">
        <v>0</v>
      </c>
      <c r="N35" s="67" t="b">
        <v>0</v>
      </c>
      <c r="O35" s="67" t="b">
        <v>0</v>
      </c>
      <c r="P35" s="67" t="b">
        <v>0</v>
      </c>
      <c r="Q35" s="67" t="b">
        <v>1</v>
      </c>
      <c r="R35" s="67" t="b">
        <v>1</v>
      </c>
      <c r="S35" s="67" t="b">
        <v>0</v>
      </c>
      <c r="T35" s="67" t="b">
        <v>0</v>
      </c>
      <c r="U35" s="67" t="b">
        <v>0</v>
      </c>
      <c r="V35" s="67" t="b">
        <v>0</v>
      </c>
      <c r="W35" s="67" t="b">
        <v>1</v>
      </c>
      <c r="X35" s="67" t="b">
        <v>0</v>
      </c>
      <c r="Y35" s="67" t="b">
        <v>0</v>
      </c>
      <c r="Z35" s="38">
        <f t="shared" si="7"/>
        <v>0.3527053222</v>
      </c>
      <c r="AA35" s="71">
        <v>1.0</v>
      </c>
      <c r="AB35" s="72">
        <f>VLOOKUP(A35,ReferenceTables!$BI$2:$CA$254,MATCH(ShopGenerator!$A$2,ReferenceTables!$BI$1:$CA$1,0),0)</f>
        <v>1</v>
      </c>
      <c r="AC35" s="72">
        <f>VLOOKUP(D35,ReferenceTables!$AQ$2:$BE$27,MATCH(ShopGenerator!$A$4,ReferenceTables!$AQ$1:$BE$1,0),0)</f>
        <v>1</v>
      </c>
    </row>
    <row r="36">
      <c r="A36" s="61" t="s">
        <v>216</v>
      </c>
      <c r="B36" s="62">
        <f t="shared" si="1"/>
        <v>2</v>
      </c>
      <c r="C36" s="61" t="s">
        <v>49</v>
      </c>
      <c r="D36" s="61" t="s">
        <v>192</v>
      </c>
      <c r="E36" s="62">
        <f t="shared" si="2"/>
        <v>1.24</v>
      </c>
      <c r="F36" s="62">
        <f t="shared" si="3"/>
        <v>1</v>
      </c>
      <c r="G36" s="62">
        <f t="shared" si="4"/>
        <v>1.62</v>
      </c>
      <c r="H36" s="63"/>
      <c r="I36" s="64" t="b">
        <v>0</v>
      </c>
      <c r="J36" s="64" t="b">
        <v>0</v>
      </c>
      <c r="K36" s="61" t="b">
        <v>0</v>
      </c>
      <c r="L36" s="61" t="b">
        <v>0</v>
      </c>
      <c r="M36" s="61" t="b">
        <v>0</v>
      </c>
      <c r="N36" s="61" t="b">
        <v>0</v>
      </c>
      <c r="O36" s="61" t="b">
        <v>1</v>
      </c>
      <c r="P36" s="61" t="b">
        <v>0</v>
      </c>
      <c r="Q36" s="61" t="b">
        <v>1</v>
      </c>
      <c r="R36" s="61" t="b">
        <v>0</v>
      </c>
      <c r="S36" s="61" t="b">
        <v>0</v>
      </c>
      <c r="T36" s="61" t="b">
        <v>0</v>
      </c>
      <c r="U36" s="61" t="b">
        <v>0</v>
      </c>
      <c r="V36" s="61" t="b">
        <v>0</v>
      </c>
      <c r="W36" s="61" t="b">
        <v>1</v>
      </c>
      <c r="X36" s="61" t="b">
        <v>0</v>
      </c>
      <c r="Y36" s="61" t="b">
        <v>0</v>
      </c>
      <c r="Z36" s="38">
        <f t="shared" si="7"/>
        <v>0.5100178025</v>
      </c>
      <c r="AA36" s="65">
        <v>2.0</v>
      </c>
      <c r="AB36" s="66">
        <f>VLOOKUP(A36,ReferenceTables!$BI$2:$CA$254,MATCH(ShopGenerator!$A$2,ReferenceTables!$BI$1:$CA$1,0),0)</f>
        <v>1</v>
      </c>
      <c r="AC36" s="66">
        <f>VLOOKUP(D36,ReferenceTables!$AQ$2:$BE$27,MATCH(ShopGenerator!$A$4,ReferenceTables!$AQ$1:$BE$1,0),0)</f>
        <v>1</v>
      </c>
    </row>
    <row r="37">
      <c r="A37" s="70" t="s">
        <v>217</v>
      </c>
      <c r="B37" s="68">
        <f t="shared" si="1"/>
        <v>1.5</v>
      </c>
      <c r="C37" s="67" t="s">
        <v>218</v>
      </c>
      <c r="D37" s="70" t="s">
        <v>219</v>
      </c>
      <c r="E37" s="68">
        <f t="shared" si="2"/>
        <v>0.93</v>
      </c>
      <c r="F37" s="68">
        <f t="shared" si="3"/>
        <v>0.75</v>
      </c>
      <c r="G37" s="68">
        <f t="shared" si="4"/>
        <v>1.215</v>
      </c>
      <c r="H37" s="69"/>
      <c r="I37" s="70" t="b">
        <v>0</v>
      </c>
      <c r="J37" s="70" t="b">
        <v>0</v>
      </c>
      <c r="K37" s="70" t="b">
        <v>1</v>
      </c>
      <c r="L37" s="70" t="b">
        <v>1</v>
      </c>
      <c r="M37" s="67" t="b">
        <v>0</v>
      </c>
      <c r="N37" s="67" t="b">
        <v>0</v>
      </c>
      <c r="O37" s="67" t="b">
        <v>0</v>
      </c>
      <c r="P37" s="67" t="b">
        <v>0</v>
      </c>
      <c r="Q37" s="67" t="b">
        <v>1</v>
      </c>
      <c r="R37" s="67" t="b">
        <v>1</v>
      </c>
      <c r="S37" s="67" t="b">
        <v>0</v>
      </c>
      <c r="T37" s="67" t="b">
        <v>0</v>
      </c>
      <c r="U37" s="67" t="b">
        <v>1</v>
      </c>
      <c r="V37" s="67" t="b">
        <v>0</v>
      </c>
      <c r="W37" s="67" t="b">
        <v>1</v>
      </c>
      <c r="X37" s="67" t="b">
        <v>0</v>
      </c>
      <c r="Y37" s="67" t="b">
        <v>0</v>
      </c>
      <c r="Z37" s="38">
        <f t="shared" si="7"/>
        <v>0.0156388298</v>
      </c>
      <c r="AA37" s="71">
        <v>0.1</v>
      </c>
      <c r="AB37" s="72">
        <f>VLOOKUP(A37,ReferenceTables!$BI$2:$CA$254,MATCH(ShopGenerator!$A$2,ReferenceTables!$BI$1:$CA$1,0),0)</f>
        <v>1</v>
      </c>
      <c r="AC37" s="72">
        <f>VLOOKUP(D37,ReferenceTables!$AQ$2:$BE$27,MATCH(ShopGenerator!$A$4,ReferenceTables!$AQ$1:$BE$1,0),0)</f>
        <v>15</v>
      </c>
    </row>
    <row r="38">
      <c r="A38" s="64" t="s">
        <v>220</v>
      </c>
      <c r="B38" s="62">
        <f t="shared" si="1"/>
        <v>2</v>
      </c>
      <c r="C38" s="61" t="s">
        <v>221</v>
      </c>
      <c r="D38" s="64" t="s">
        <v>222</v>
      </c>
      <c r="E38" s="62">
        <f t="shared" si="2"/>
        <v>1.24</v>
      </c>
      <c r="F38" s="62">
        <f t="shared" si="3"/>
        <v>1</v>
      </c>
      <c r="G38" s="62">
        <f t="shared" si="4"/>
        <v>1.62</v>
      </c>
      <c r="H38" s="63"/>
      <c r="I38" s="64" t="b">
        <v>0</v>
      </c>
      <c r="J38" s="64" t="b">
        <v>0</v>
      </c>
      <c r="K38" s="64" t="b">
        <v>1</v>
      </c>
      <c r="L38" s="64" t="b">
        <v>0</v>
      </c>
      <c r="M38" s="61" t="b">
        <v>0</v>
      </c>
      <c r="N38" s="61" t="b">
        <v>0</v>
      </c>
      <c r="O38" s="61" t="b">
        <v>0</v>
      </c>
      <c r="P38" s="61" t="b">
        <v>0</v>
      </c>
      <c r="Q38" s="61" t="b">
        <v>0</v>
      </c>
      <c r="R38" s="61" t="b">
        <v>1</v>
      </c>
      <c r="S38" s="61" t="b">
        <v>0</v>
      </c>
      <c r="T38" s="61" t="b">
        <v>0</v>
      </c>
      <c r="U38" s="61" t="b">
        <v>0</v>
      </c>
      <c r="V38" s="61" t="b">
        <v>0</v>
      </c>
      <c r="W38" s="61" t="b">
        <v>1</v>
      </c>
      <c r="X38" s="61" t="b">
        <v>0</v>
      </c>
      <c r="Y38" s="61" t="b">
        <v>0</v>
      </c>
      <c r="Z38" s="38">
        <f t="shared" si="7"/>
        <v>0.5462635102</v>
      </c>
      <c r="AA38" s="65">
        <v>2.0</v>
      </c>
      <c r="AB38" s="66">
        <f>VLOOKUP(A38,ReferenceTables!$BI$2:$CA$254,MATCH(ShopGenerator!$A$2,ReferenceTables!$BI$1:$CA$1,0),0)</f>
        <v>1</v>
      </c>
      <c r="AC38" s="66">
        <f>VLOOKUP(D38,ReferenceTables!$AQ$2:$BE$27,MATCH(ShopGenerator!$A$4,ReferenceTables!$AQ$1:$BE$1,0),0)</f>
        <v>1</v>
      </c>
    </row>
    <row r="39">
      <c r="A39" s="70" t="s">
        <v>223</v>
      </c>
      <c r="B39" s="68">
        <f t="shared" si="1"/>
        <v>3</v>
      </c>
      <c r="C39" s="67" t="s">
        <v>224</v>
      </c>
      <c r="D39" s="70" t="s">
        <v>222</v>
      </c>
      <c r="E39" s="68">
        <f t="shared" si="2"/>
        <v>1.86</v>
      </c>
      <c r="F39" s="68">
        <f t="shared" si="3"/>
        <v>1.5</v>
      </c>
      <c r="G39" s="68">
        <f t="shared" si="4"/>
        <v>2.43</v>
      </c>
      <c r="H39" s="69"/>
      <c r="I39" s="70" t="b">
        <v>0</v>
      </c>
      <c r="J39" s="70" t="b">
        <v>0</v>
      </c>
      <c r="K39" s="70" t="b">
        <v>1</v>
      </c>
      <c r="L39" s="70" t="b">
        <v>0</v>
      </c>
      <c r="M39" s="67" t="b">
        <v>0</v>
      </c>
      <c r="N39" s="67" t="b">
        <v>0</v>
      </c>
      <c r="O39" s="67" t="b">
        <v>0</v>
      </c>
      <c r="P39" s="67" t="b">
        <v>0</v>
      </c>
      <c r="Q39" s="67" t="b">
        <v>0</v>
      </c>
      <c r="R39" s="67" t="b">
        <v>1</v>
      </c>
      <c r="S39" s="67" t="b">
        <v>0</v>
      </c>
      <c r="T39" s="67" t="b">
        <v>0</v>
      </c>
      <c r="U39" s="67" t="b">
        <v>0</v>
      </c>
      <c r="V39" s="67" t="b">
        <v>1</v>
      </c>
      <c r="W39" s="67" t="b">
        <v>1</v>
      </c>
      <c r="X39" s="67" t="b">
        <v>0</v>
      </c>
      <c r="Y39" s="67" t="b">
        <v>0</v>
      </c>
      <c r="Z39" s="38">
        <f t="shared" si="7"/>
        <v>0.9903933446</v>
      </c>
      <c r="AA39" s="71">
        <v>3.0</v>
      </c>
      <c r="AB39" s="72">
        <f>VLOOKUP(A39,ReferenceTables!$BI$2:$CA$254,MATCH(ShopGenerator!$A$2,ReferenceTables!$BI$1:$CA$1,0),0)</f>
        <v>1</v>
      </c>
      <c r="AC39" s="72">
        <f>VLOOKUP(D39,ReferenceTables!$AQ$2:$BE$27,MATCH(ShopGenerator!$A$4,ReferenceTables!$AQ$1:$BE$1,0),0)</f>
        <v>1</v>
      </c>
    </row>
    <row r="40">
      <c r="A40" s="64" t="s">
        <v>225</v>
      </c>
      <c r="B40" s="62">
        <f t="shared" si="1"/>
        <v>0.2</v>
      </c>
      <c r="C40" s="61" t="s">
        <v>226</v>
      </c>
      <c r="D40" s="64" t="s">
        <v>222</v>
      </c>
      <c r="E40" s="62">
        <f t="shared" si="2"/>
        <v>0.124</v>
      </c>
      <c r="F40" s="62">
        <f t="shared" si="3"/>
        <v>0.1</v>
      </c>
      <c r="G40" s="62">
        <f t="shared" si="4"/>
        <v>0.162</v>
      </c>
      <c r="H40" s="63"/>
      <c r="I40" s="64" t="b">
        <v>0</v>
      </c>
      <c r="J40" s="64" t="b">
        <v>0</v>
      </c>
      <c r="K40" s="64" t="b">
        <v>1</v>
      </c>
      <c r="L40" s="64" t="b">
        <v>1</v>
      </c>
      <c r="M40" s="61" t="b">
        <v>0</v>
      </c>
      <c r="N40" s="61" t="b">
        <v>0</v>
      </c>
      <c r="O40" s="61" t="b">
        <v>0</v>
      </c>
      <c r="P40" s="61" t="b">
        <v>0</v>
      </c>
      <c r="Q40" s="61" t="b">
        <v>1</v>
      </c>
      <c r="R40" s="61" t="b">
        <v>1</v>
      </c>
      <c r="S40" s="61" t="b">
        <v>0</v>
      </c>
      <c r="T40" s="61" t="b">
        <v>0</v>
      </c>
      <c r="U40" s="61" t="b">
        <v>0</v>
      </c>
      <c r="V40" s="61" t="b">
        <v>0</v>
      </c>
      <c r="W40" s="61" t="b">
        <v>1</v>
      </c>
      <c r="X40" s="61" t="b">
        <v>0</v>
      </c>
      <c r="Y40" s="61" t="b">
        <v>0</v>
      </c>
      <c r="Z40" s="38">
        <f t="shared" si="7"/>
        <v>0.1189965806</v>
      </c>
      <c r="AA40" s="65">
        <v>0.2</v>
      </c>
      <c r="AB40" s="66">
        <f>VLOOKUP(A40,ReferenceTables!$BI$2:$CA$254,MATCH(ShopGenerator!$A$2,ReferenceTables!$BI$1:$CA$1,0),0)</f>
        <v>1</v>
      </c>
      <c r="AC40" s="66">
        <f>VLOOKUP(D40,ReferenceTables!$AQ$2:$BE$27,MATCH(ShopGenerator!$A$4,ReferenceTables!$AQ$1:$BE$1,0),0)</f>
        <v>1</v>
      </c>
    </row>
    <row r="41">
      <c r="A41" s="67" t="s">
        <v>227</v>
      </c>
      <c r="B41" s="68">
        <f t="shared" si="1"/>
        <v>2</v>
      </c>
      <c r="C41" s="67" t="s">
        <v>57</v>
      </c>
      <c r="D41" s="67" t="s">
        <v>47</v>
      </c>
      <c r="E41" s="68">
        <f t="shared" si="2"/>
        <v>1.24</v>
      </c>
      <c r="F41" s="68">
        <f t="shared" si="3"/>
        <v>1</v>
      </c>
      <c r="G41" s="68">
        <f t="shared" si="4"/>
        <v>1.62</v>
      </c>
      <c r="H41" s="69"/>
      <c r="I41" s="70" t="b">
        <v>0</v>
      </c>
      <c r="J41" s="70" t="b">
        <v>0</v>
      </c>
      <c r="K41" s="67" t="b">
        <v>1</v>
      </c>
      <c r="L41" s="67" t="b">
        <v>1</v>
      </c>
      <c r="M41" s="67" t="b">
        <v>0</v>
      </c>
      <c r="N41" s="67" t="b">
        <v>0</v>
      </c>
      <c r="O41" s="67" t="b">
        <v>0</v>
      </c>
      <c r="P41" s="67" t="b">
        <v>0</v>
      </c>
      <c r="Q41" s="67" t="b">
        <v>0</v>
      </c>
      <c r="R41" s="67" t="b">
        <v>0</v>
      </c>
      <c r="S41" s="67" t="b">
        <v>0</v>
      </c>
      <c r="T41" s="67" t="b">
        <v>1</v>
      </c>
      <c r="U41" s="67" t="b">
        <v>0</v>
      </c>
      <c r="V41" s="67" t="b">
        <v>0</v>
      </c>
      <c r="W41" s="67" t="b">
        <v>1</v>
      </c>
      <c r="X41" s="67" t="b">
        <v>0</v>
      </c>
      <c r="Y41" s="67" t="b">
        <v>0</v>
      </c>
      <c r="Z41" s="38">
        <f t="shared" si="7"/>
        <v>0.644646966</v>
      </c>
      <c r="AA41" s="71">
        <v>2.0</v>
      </c>
      <c r="AB41" s="72">
        <f>VLOOKUP(A41,ReferenceTables!$BI$2:$CA$254,MATCH(ShopGenerator!$A$2,ReferenceTables!$BI$1:$CA$1,0),0)</f>
        <v>1</v>
      </c>
      <c r="AC41" s="72">
        <f>VLOOKUP(D41,ReferenceTables!$AQ$2:$BE$27,MATCH(ShopGenerator!$A$4,ReferenceTables!$AQ$1:$BE$1,0),0)</f>
        <v>1</v>
      </c>
    </row>
    <row r="42">
      <c r="A42" s="61" t="s">
        <v>228</v>
      </c>
      <c r="B42" s="62">
        <f t="shared" si="1"/>
        <v>100</v>
      </c>
      <c r="C42" s="61" t="s">
        <v>229</v>
      </c>
      <c r="D42" s="61" t="s">
        <v>47</v>
      </c>
      <c r="E42" s="62">
        <f t="shared" si="2"/>
        <v>82</v>
      </c>
      <c r="F42" s="62">
        <f t="shared" si="3"/>
        <v>50</v>
      </c>
      <c r="G42" s="62">
        <f t="shared" si="4"/>
        <v>91</v>
      </c>
      <c r="H42" s="63"/>
      <c r="I42" s="64" t="b">
        <v>1</v>
      </c>
      <c r="J42" s="64" t="b">
        <v>0</v>
      </c>
      <c r="K42" s="61" t="b">
        <v>0</v>
      </c>
      <c r="L42" s="61" t="b">
        <v>0</v>
      </c>
      <c r="M42" s="61" t="b">
        <v>0</v>
      </c>
      <c r="N42" s="61" t="b">
        <v>0</v>
      </c>
      <c r="O42" s="61" t="b">
        <v>0</v>
      </c>
      <c r="P42" s="61" t="b">
        <v>0</v>
      </c>
      <c r="Q42" s="61" t="b">
        <v>0</v>
      </c>
      <c r="R42" s="61" t="b">
        <v>0</v>
      </c>
      <c r="S42" s="61" t="b">
        <v>0</v>
      </c>
      <c r="T42" s="61" t="b">
        <v>0</v>
      </c>
      <c r="U42" s="61" t="b">
        <v>0</v>
      </c>
      <c r="V42" s="61" t="b">
        <v>1</v>
      </c>
      <c r="W42" s="61" t="b">
        <v>1</v>
      </c>
      <c r="X42" s="61" t="b">
        <v>0</v>
      </c>
      <c r="Y42" s="61" t="b">
        <v>0</v>
      </c>
      <c r="Z42" s="38">
        <f t="shared" si="7"/>
        <v>0.4615047135</v>
      </c>
      <c r="AA42" s="65">
        <v>100.0</v>
      </c>
      <c r="AB42" s="66">
        <f>VLOOKUP(A42,ReferenceTables!$BI$2:$CA$254,MATCH(ShopGenerator!$A$2,ReferenceTables!$BI$1:$CA$1,0),0)</f>
        <v>1</v>
      </c>
      <c r="AC42" s="66">
        <f>VLOOKUP(D42,ReferenceTables!$AQ$2:$BE$27,MATCH(ShopGenerator!$A$4,ReferenceTables!$AQ$1:$BE$1,0),0)</f>
        <v>1</v>
      </c>
    </row>
    <row r="43">
      <c r="A43" s="67" t="s">
        <v>230</v>
      </c>
      <c r="B43" s="68">
        <f t="shared" si="1"/>
        <v>1</v>
      </c>
      <c r="C43" s="67" t="s">
        <v>231</v>
      </c>
      <c r="D43" s="67" t="s">
        <v>47</v>
      </c>
      <c r="E43" s="68">
        <f t="shared" si="2"/>
        <v>0.62</v>
      </c>
      <c r="F43" s="68">
        <f t="shared" si="3"/>
        <v>0.5</v>
      </c>
      <c r="G43" s="68">
        <f t="shared" si="4"/>
        <v>0.81</v>
      </c>
      <c r="H43" s="69"/>
      <c r="I43" s="70" t="b">
        <v>0</v>
      </c>
      <c r="J43" s="70" t="b">
        <v>0</v>
      </c>
      <c r="K43" s="67" t="b">
        <v>1</v>
      </c>
      <c r="L43" s="67" t="b">
        <v>0</v>
      </c>
      <c r="M43" s="67" t="b">
        <v>0</v>
      </c>
      <c r="N43" s="67" t="b">
        <v>0</v>
      </c>
      <c r="O43" s="67" t="b">
        <v>0</v>
      </c>
      <c r="P43" s="67" t="b">
        <v>0</v>
      </c>
      <c r="Q43" s="67" t="b">
        <v>0</v>
      </c>
      <c r="R43" s="67" t="b">
        <v>0</v>
      </c>
      <c r="S43" s="67" t="b">
        <v>0</v>
      </c>
      <c r="T43" s="67" t="b">
        <v>0</v>
      </c>
      <c r="U43" s="67" t="b">
        <v>0</v>
      </c>
      <c r="V43" s="67" t="b">
        <v>0</v>
      </c>
      <c r="W43" s="67" t="b">
        <v>1</v>
      </c>
      <c r="X43" s="67" t="b">
        <v>0</v>
      </c>
      <c r="Y43" s="67" t="b">
        <v>0</v>
      </c>
      <c r="Z43" s="38">
        <f t="shared" si="7"/>
        <v>0.6346141601</v>
      </c>
      <c r="AA43" s="71">
        <v>1.0</v>
      </c>
      <c r="AB43" s="72">
        <f>VLOOKUP(A43,ReferenceTables!$BI$2:$CA$254,MATCH(ShopGenerator!$A$2,ReferenceTables!$BI$1:$CA$1,0),0)</f>
        <v>1</v>
      </c>
      <c r="AC43" s="72">
        <f>VLOOKUP(D43,ReferenceTables!$AQ$2:$BE$27,MATCH(ShopGenerator!$A$4,ReferenceTables!$AQ$1:$BE$1,0),0)</f>
        <v>1</v>
      </c>
    </row>
    <row r="44">
      <c r="A44" s="61" t="s">
        <v>232</v>
      </c>
      <c r="B44" s="62">
        <f t="shared" si="1"/>
        <v>0.5</v>
      </c>
      <c r="C44" s="61" t="s">
        <v>75</v>
      </c>
      <c r="D44" s="61" t="s">
        <v>47</v>
      </c>
      <c r="E44" s="62">
        <f t="shared" si="2"/>
        <v>0.31</v>
      </c>
      <c r="F44" s="62">
        <f t="shared" si="3"/>
        <v>0.25</v>
      </c>
      <c r="G44" s="62">
        <f t="shared" si="4"/>
        <v>0.405</v>
      </c>
      <c r="H44" s="63"/>
      <c r="I44" s="64" t="b">
        <v>0</v>
      </c>
      <c r="J44" s="64" t="b">
        <v>0</v>
      </c>
      <c r="K44" s="61" t="b">
        <v>1</v>
      </c>
      <c r="L44" s="61" t="b">
        <v>1</v>
      </c>
      <c r="M44" s="61" t="b">
        <v>0</v>
      </c>
      <c r="N44" s="61" t="b">
        <v>0</v>
      </c>
      <c r="O44" s="61" t="b">
        <v>0</v>
      </c>
      <c r="P44" s="61" t="b">
        <v>0</v>
      </c>
      <c r="Q44" s="61" t="b">
        <v>0</v>
      </c>
      <c r="R44" s="61" t="b">
        <v>0</v>
      </c>
      <c r="S44" s="61" t="b">
        <v>0</v>
      </c>
      <c r="T44" s="61" t="b">
        <v>0</v>
      </c>
      <c r="U44" s="61" t="b">
        <v>0</v>
      </c>
      <c r="V44" s="61" t="b">
        <v>1</v>
      </c>
      <c r="W44" s="61" t="b">
        <v>1</v>
      </c>
      <c r="X44" s="61" t="b">
        <v>0</v>
      </c>
      <c r="Y44" s="61" t="b">
        <v>0</v>
      </c>
      <c r="Z44" s="38">
        <f t="shared" si="7"/>
        <v>0.5082783283</v>
      </c>
      <c r="AA44" s="65">
        <v>0.5</v>
      </c>
      <c r="AB44" s="66">
        <f>VLOOKUP(A44,ReferenceTables!$BI$2:$CA$254,MATCH(ShopGenerator!$A$2,ReferenceTables!$BI$1:$CA$1,0),0)</f>
        <v>1</v>
      </c>
      <c r="AC44" s="66">
        <f>VLOOKUP(D44,ReferenceTables!$AQ$2:$BE$27,MATCH(ShopGenerator!$A$4,ReferenceTables!$AQ$1:$BE$1,0),0)</f>
        <v>1</v>
      </c>
    </row>
    <row r="45">
      <c r="A45" s="67" t="s">
        <v>233</v>
      </c>
      <c r="B45" s="68">
        <f t="shared" si="1"/>
        <v>5</v>
      </c>
      <c r="C45" s="67" t="s">
        <v>72</v>
      </c>
      <c r="D45" s="67" t="s">
        <v>47</v>
      </c>
      <c r="E45" s="68">
        <f t="shared" si="2"/>
        <v>3.1</v>
      </c>
      <c r="F45" s="68">
        <f t="shared" si="3"/>
        <v>2.5</v>
      </c>
      <c r="G45" s="68">
        <f t="shared" si="4"/>
        <v>4.05</v>
      </c>
      <c r="H45" s="69"/>
      <c r="I45" s="70" t="b">
        <v>0</v>
      </c>
      <c r="J45" s="70" t="b">
        <v>1</v>
      </c>
      <c r="K45" s="67" t="b">
        <v>0</v>
      </c>
      <c r="L45" s="67" t="b">
        <v>0</v>
      </c>
      <c r="M45" s="67" t="b">
        <v>0</v>
      </c>
      <c r="N45" s="67" t="b">
        <v>0</v>
      </c>
      <c r="O45" s="67" t="b">
        <v>0</v>
      </c>
      <c r="P45" s="67" t="b">
        <v>0</v>
      </c>
      <c r="Q45" s="67" t="b">
        <v>0</v>
      </c>
      <c r="R45" s="67" t="b">
        <v>0</v>
      </c>
      <c r="S45" s="67" t="b">
        <v>0</v>
      </c>
      <c r="T45" s="67" t="b">
        <v>0</v>
      </c>
      <c r="U45" s="67" t="b">
        <v>0</v>
      </c>
      <c r="V45" s="67" t="b">
        <v>0</v>
      </c>
      <c r="W45" s="67" t="b">
        <v>1</v>
      </c>
      <c r="X45" s="67" t="b">
        <v>0</v>
      </c>
      <c r="Y45" s="67" t="b">
        <v>0</v>
      </c>
      <c r="Z45" s="38">
        <f t="shared" si="7"/>
        <v>0.9515865803</v>
      </c>
      <c r="AA45" s="71">
        <v>5.0</v>
      </c>
      <c r="AB45" s="72">
        <f>VLOOKUP(A45,ReferenceTables!$BI$2:$CA$254,MATCH(ShopGenerator!$A$2,ReferenceTables!$BI$1:$CA$1,0),0)</f>
        <v>1</v>
      </c>
      <c r="AC45" s="72">
        <f>VLOOKUP(D45,ReferenceTables!$AQ$2:$BE$27,MATCH(ShopGenerator!$A$4,ReferenceTables!$AQ$1:$BE$1,0),0)</f>
        <v>1</v>
      </c>
    </row>
    <row r="46">
      <c r="A46" s="61" t="s">
        <v>234</v>
      </c>
      <c r="B46" s="62">
        <f t="shared" si="1"/>
        <v>25</v>
      </c>
      <c r="C46" s="61" t="s">
        <v>235</v>
      </c>
      <c r="D46" s="61" t="s">
        <v>47</v>
      </c>
      <c r="E46" s="62">
        <f t="shared" si="2"/>
        <v>20.5</v>
      </c>
      <c r="F46" s="62">
        <f t="shared" si="3"/>
        <v>12.5</v>
      </c>
      <c r="G46" s="62">
        <f t="shared" si="4"/>
        <v>22.75</v>
      </c>
      <c r="H46" s="61" t="s">
        <v>236</v>
      </c>
      <c r="I46" s="64" t="b">
        <v>0</v>
      </c>
      <c r="J46" s="64" t="b">
        <v>0</v>
      </c>
      <c r="K46" s="61" t="b">
        <v>0</v>
      </c>
      <c r="L46" s="61" t="b">
        <v>0</v>
      </c>
      <c r="M46" s="61" t="b">
        <v>0</v>
      </c>
      <c r="N46" s="61" t="b">
        <v>0</v>
      </c>
      <c r="O46" s="61" t="b">
        <v>0</v>
      </c>
      <c r="P46" s="61" t="b">
        <v>0</v>
      </c>
      <c r="Q46" s="61" t="b">
        <v>0</v>
      </c>
      <c r="R46" s="61" t="b">
        <v>0</v>
      </c>
      <c r="S46" s="61" t="b">
        <v>0</v>
      </c>
      <c r="T46" s="61" t="b">
        <v>0</v>
      </c>
      <c r="U46" s="61" t="b">
        <v>0</v>
      </c>
      <c r="V46" s="61" t="b">
        <v>0</v>
      </c>
      <c r="W46" s="61" t="b">
        <v>1</v>
      </c>
      <c r="X46" s="61" t="b">
        <v>0</v>
      </c>
      <c r="Y46" s="61" t="b">
        <v>0</v>
      </c>
      <c r="Z46" s="38">
        <f t="shared" si="7"/>
        <v>0.4868330047</v>
      </c>
      <c r="AA46" s="65">
        <v>25.0</v>
      </c>
      <c r="AB46" s="66">
        <f>VLOOKUP(A46,ReferenceTables!$BI$2:$CA$254,MATCH(ShopGenerator!$A$2,ReferenceTables!$BI$1:$CA$1,0),0)</f>
        <v>1</v>
      </c>
      <c r="AC46" s="66">
        <f>VLOOKUP(D46,ReferenceTables!$AQ$2:$BE$27,MATCH(ShopGenerator!$A$4,ReferenceTables!$AQ$1:$BE$1,0),0)</f>
        <v>1</v>
      </c>
    </row>
    <row r="47">
      <c r="A47" s="67" t="s">
        <v>237</v>
      </c>
      <c r="B47" s="68">
        <f t="shared" si="1"/>
        <v>25</v>
      </c>
      <c r="C47" s="67" t="s">
        <v>51</v>
      </c>
      <c r="D47" s="67" t="s">
        <v>47</v>
      </c>
      <c r="E47" s="68">
        <f t="shared" si="2"/>
        <v>20.5</v>
      </c>
      <c r="F47" s="68">
        <f t="shared" si="3"/>
        <v>12.5</v>
      </c>
      <c r="G47" s="68">
        <f t="shared" si="4"/>
        <v>22.75</v>
      </c>
      <c r="H47" s="69"/>
      <c r="I47" s="70" t="b">
        <v>0</v>
      </c>
      <c r="J47" s="70" t="b">
        <v>0</v>
      </c>
      <c r="K47" s="67" t="b">
        <v>0</v>
      </c>
      <c r="L47" s="67" t="b">
        <v>0</v>
      </c>
      <c r="M47" s="67" t="b">
        <v>0</v>
      </c>
      <c r="N47" s="67" t="b">
        <v>0</v>
      </c>
      <c r="O47" s="67" t="b">
        <v>0</v>
      </c>
      <c r="P47" s="67" t="b">
        <v>0</v>
      </c>
      <c r="Q47" s="67" t="b">
        <v>0</v>
      </c>
      <c r="R47" s="67" t="b">
        <v>0</v>
      </c>
      <c r="S47" s="67" t="b">
        <v>0</v>
      </c>
      <c r="T47" s="67" t="b">
        <v>1</v>
      </c>
      <c r="U47" s="67" t="b">
        <v>0</v>
      </c>
      <c r="V47" s="67" t="b">
        <v>0</v>
      </c>
      <c r="W47" s="67" t="b">
        <v>1</v>
      </c>
      <c r="X47" s="67" t="b">
        <v>0</v>
      </c>
      <c r="Y47" s="67" t="b">
        <v>0</v>
      </c>
      <c r="Z47" s="38">
        <f t="shared" si="7"/>
        <v>0.985926174</v>
      </c>
      <c r="AA47" s="71">
        <v>25.0</v>
      </c>
      <c r="AB47" s="72">
        <f>VLOOKUP(A47,ReferenceTables!$BI$2:$CA$254,MATCH(ShopGenerator!$A$2,ReferenceTables!$BI$1:$CA$1,0),0)</f>
        <v>1</v>
      </c>
      <c r="AC47" s="72">
        <f>VLOOKUP(D47,ReferenceTables!$AQ$2:$BE$27,MATCH(ShopGenerator!$A$4,ReferenceTables!$AQ$1:$BE$1,0),0)</f>
        <v>1</v>
      </c>
    </row>
    <row r="48">
      <c r="A48" s="61" t="s">
        <v>48</v>
      </c>
      <c r="B48" s="62">
        <f t="shared" si="1"/>
        <v>2</v>
      </c>
      <c r="C48" s="61" t="s">
        <v>49</v>
      </c>
      <c r="D48" s="61" t="s">
        <v>47</v>
      </c>
      <c r="E48" s="62">
        <f t="shared" si="2"/>
        <v>1.24</v>
      </c>
      <c r="F48" s="62">
        <f t="shared" si="3"/>
        <v>1</v>
      </c>
      <c r="G48" s="62">
        <f t="shared" si="4"/>
        <v>1.62</v>
      </c>
      <c r="H48" s="63"/>
      <c r="I48" s="64" t="b">
        <v>0</v>
      </c>
      <c r="J48" s="64" t="b">
        <v>1</v>
      </c>
      <c r="K48" s="61" t="b">
        <v>0</v>
      </c>
      <c r="L48" s="61" t="b">
        <v>0</v>
      </c>
      <c r="M48" s="61" t="b">
        <v>0</v>
      </c>
      <c r="N48" s="61" t="b">
        <v>0</v>
      </c>
      <c r="O48" s="61" t="b">
        <v>0</v>
      </c>
      <c r="P48" s="61" t="b">
        <v>0</v>
      </c>
      <c r="Q48" s="61" t="b">
        <v>0</v>
      </c>
      <c r="R48" s="61" t="b">
        <v>0</v>
      </c>
      <c r="S48" s="61" t="b">
        <v>0</v>
      </c>
      <c r="T48" s="61" t="b">
        <v>0</v>
      </c>
      <c r="U48" s="61" t="b">
        <v>0</v>
      </c>
      <c r="V48" s="61" t="b">
        <v>0</v>
      </c>
      <c r="W48" s="61" t="b">
        <v>1</v>
      </c>
      <c r="X48" s="61" t="b">
        <v>0</v>
      </c>
      <c r="Y48" s="61" t="b">
        <v>0</v>
      </c>
      <c r="Z48" s="38">
        <f t="shared" si="7"/>
        <v>0.4886997964</v>
      </c>
      <c r="AA48" s="65">
        <v>2.0</v>
      </c>
      <c r="AB48" s="66">
        <f>VLOOKUP(A48,ReferenceTables!$BI$2:$CA$254,MATCH(ShopGenerator!$A$2,ReferenceTables!$BI$1:$CA$1,0),0)</f>
        <v>1</v>
      </c>
      <c r="AC48" s="66">
        <f>VLOOKUP(D48,ReferenceTables!$AQ$2:$BE$27,MATCH(ShopGenerator!$A$4,ReferenceTables!$AQ$1:$BE$1,0),0)</f>
        <v>1</v>
      </c>
    </row>
    <row r="49">
      <c r="A49" s="67" t="s">
        <v>238</v>
      </c>
      <c r="B49" s="68">
        <f t="shared" si="1"/>
        <v>5</v>
      </c>
      <c r="C49" s="67" t="s">
        <v>75</v>
      </c>
      <c r="D49" s="67" t="s">
        <v>47</v>
      </c>
      <c r="E49" s="68">
        <f t="shared" si="2"/>
        <v>3.1</v>
      </c>
      <c r="F49" s="68">
        <f t="shared" si="3"/>
        <v>2.5</v>
      </c>
      <c r="G49" s="68">
        <f t="shared" si="4"/>
        <v>4.05</v>
      </c>
      <c r="H49" s="67" t="s">
        <v>239</v>
      </c>
      <c r="I49" s="70" t="b">
        <v>0</v>
      </c>
      <c r="J49" s="70" t="b">
        <v>0</v>
      </c>
      <c r="K49" s="67" t="b">
        <v>0</v>
      </c>
      <c r="L49" s="67" t="b">
        <v>0</v>
      </c>
      <c r="M49" s="67" t="b">
        <v>0</v>
      </c>
      <c r="N49" s="67" t="b">
        <v>0</v>
      </c>
      <c r="O49" s="67" t="b">
        <v>0</v>
      </c>
      <c r="P49" s="67" t="b">
        <v>0</v>
      </c>
      <c r="Q49" s="67" t="b">
        <v>1</v>
      </c>
      <c r="R49" s="67" t="b">
        <v>1</v>
      </c>
      <c r="S49" s="67" t="b">
        <v>0</v>
      </c>
      <c r="T49" s="67" t="b">
        <v>0</v>
      </c>
      <c r="U49" s="67" t="b">
        <v>0</v>
      </c>
      <c r="V49" s="67" t="b">
        <v>1</v>
      </c>
      <c r="W49" s="67" t="b">
        <v>1</v>
      </c>
      <c r="X49" s="67" t="b">
        <v>0</v>
      </c>
      <c r="Y49" s="67" t="b">
        <v>0</v>
      </c>
      <c r="Z49" s="2">
        <v>0.187564231</v>
      </c>
      <c r="AA49" s="71">
        <v>5.0</v>
      </c>
      <c r="AB49" s="72">
        <f>VLOOKUP(A49,ReferenceTables!$BI$2:$CA$254,MATCH(ShopGenerator!$A$2,ReferenceTables!$BI$1:$CA$1,0),0)</f>
        <v>1</v>
      </c>
      <c r="AC49" s="72">
        <f>VLOOKUP(D49,ReferenceTables!$AQ$2:$BE$27,MATCH(ShopGenerator!$A$4,ReferenceTables!$AQ$1:$BE$1,0),0)</f>
        <v>1</v>
      </c>
    </row>
    <row r="50">
      <c r="A50" s="61" t="s">
        <v>45</v>
      </c>
      <c r="B50" s="62">
        <f t="shared" si="1"/>
        <v>5</v>
      </c>
      <c r="C50" s="61" t="s">
        <v>46</v>
      </c>
      <c r="D50" s="61" t="s">
        <v>47</v>
      </c>
      <c r="E50" s="62">
        <f t="shared" si="2"/>
        <v>3.1</v>
      </c>
      <c r="F50" s="62">
        <f t="shared" si="3"/>
        <v>2.5</v>
      </c>
      <c r="G50" s="62">
        <f t="shared" si="4"/>
        <v>4.05</v>
      </c>
      <c r="H50" s="63"/>
      <c r="I50" s="64" t="b">
        <v>0</v>
      </c>
      <c r="J50" s="64" t="b">
        <v>1</v>
      </c>
      <c r="K50" s="61" t="b">
        <v>1</v>
      </c>
      <c r="L50" s="61" t="b">
        <v>0</v>
      </c>
      <c r="M50" s="61" t="b">
        <v>0</v>
      </c>
      <c r="N50" s="61" t="b">
        <v>1</v>
      </c>
      <c r="O50" s="61" t="b">
        <v>0</v>
      </c>
      <c r="P50" s="61" t="b">
        <v>0</v>
      </c>
      <c r="Q50" s="61" t="b">
        <v>1</v>
      </c>
      <c r="R50" s="61" t="b">
        <v>0</v>
      </c>
      <c r="S50" s="61" t="b">
        <v>1</v>
      </c>
      <c r="T50" s="61" t="b">
        <v>0</v>
      </c>
      <c r="U50" s="61" t="b">
        <v>0</v>
      </c>
      <c r="V50" s="61" t="b">
        <v>0</v>
      </c>
      <c r="W50" s="61" t="b">
        <v>1</v>
      </c>
      <c r="X50" s="61" t="b">
        <v>0</v>
      </c>
      <c r="Y50" s="61" t="b">
        <v>0</v>
      </c>
      <c r="Z50" s="38">
        <f t="shared" ref="Z50:Z74" si="8">RAND()</f>
        <v>0.2928799137</v>
      </c>
      <c r="AA50" s="65">
        <v>5.0</v>
      </c>
      <c r="AB50" s="66">
        <f>VLOOKUP(A50,ReferenceTables!$BI$2:$CA$254,MATCH(ShopGenerator!$A$2,ReferenceTables!$BI$1:$CA$1,0),0)</f>
        <v>1</v>
      </c>
      <c r="AC50" s="66">
        <f>VLOOKUP(D50,ReferenceTables!$AQ$2:$BE$27,MATCH(ShopGenerator!$A$4,ReferenceTables!$AQ$1:$BE$1,0),0)</f>
        <v>1</v>
      </c>
    </row>
    <row r="51">
      <c r="A51" s="67" t="s">
        <v>240</v>
      </c>
      <c r="B51" s="68">
        <f t="shared" si="1"/>
        <v>0.1</v>
      </c>
      <c r="C51" s="67" t="s">
        <v>46</v>
      </c>
      <c r="D51" s="67" t="s">
        <v>47</v>
      </c>
      <c r="E51" s="68">
        <f t="shared" si="2"/>
        <v>0.062</v>
      </c>
      <c r="F51" s="68">
        <f t="shared" si="3"/>
        <v>0.05</v>
      </c>
      <c r="G51" s="68">
        <f t="shared" si="4"/>
        <v>0.081</v>
      </c>
      <c r="H51" s="69"/>
      <c r="I51" s="70" t="b">
        <v>0</v>
      </c>
      <c r="J51" s="70" t="b">
        <v>0</v>
      </c>
      <c r="K51" s="67" t="b">
        <v>1</v>
      </c>
      <c r="L51" s="67" t="b">
        <v>1</v>
      </c>
      <c r="M51" s="67" t="b">
        <v>0</v>
      </c>
      <c r="N51" s="67" t="b">
        <v>0</v>
      </c>
      <c r="O51" s="67" t="b">
        <v>0</v>
      </c>
      <c r="P51" s="67" t="b">
        <v>0</v>
      </c>
      <c r="Q51" s="67" t="b">
        <v>0</v>
      </c>
      <c r="R51" s="67" t="b">
        <v>0</v>
      </c>
      <c r="S51" s="67" t="b">
        <v>0</v>
      </c>
      <c r="T51" s="67" t="b">
        <v>0</v>
      </c>
      <c r="U51" s="67" t="b">
        <v>0</v>
      </c>
      <c r="V51" s="67" t="b">
        <v>0</v>
      </c>
      <c r="W51" s="67" t="b">
        <v>1</v>
      </c>
      <c r="X51" s="67" t="b">
        <v>0</v>
      </c>
      <c r="Y51" s="67" t="b">
        <v>0</v>
      </c>
      <c r="Z51" s="38">
        <f t="shared" si="8"/>
        <v>0.363836929</v>
      </c>
      <c r="AA51" s="71">
        <v>0.1</v>
      </c>
      <c r="AB51" s="72">
        <f>VLOOKUP(A51,ReferenceTables!$BI$2:$CA$254,MATCH(ShopGenerator!$A$2,ReferenceTables!$BI$1:$CA$1,0),0)</f>
        <v>1</v>
      </c>
      <c r="AC51" s="72">
        <f>VLOOKUP(D51,ReferenceTables!$AQ$2:$BE$27,MATCH(ShopGenerator!$A$4,ReferenceTables!$AQ$1:$BE$1,0),0)</f>
        <v>1</v>
      </c>
    </row>
    <row r="52">
      <c r="A52" s="61" t="s">
        <v>241</v>
      </c>
      <c r="B52" s="62">
        <f t="shared" si="1"/>
        <v>100</v>
      </c>
      <c r="C52" s="61" t="s">
        <v>211</v>
      </c>
      <c r="D52" s="61" t="s">
        <v>47</v>
      </c>
      <c r="E52" s="62">
        <f t="shared" si="2"/>
        <v>82</v>
      </c>
      <c r="F52" s="62">
        <f t="shared" si="3"/>
        <v>50</v>
      </c>
      <c r="G52" s="62">
        <f t="shared" si="4"/>
        <v>91</v>
      </c>
      <c r="H52" s="63"/>
      <c r="I52" s="64" t="b">
        <v>0</v>
      </c>
      <c r="J52" s="64" t="b">
        <v>0</v>
      </c>
      <c r="K52" s="61" t="b">
        <v>1</v>
      </c>
      <c r="L52" s="61" t="b">
        <v>0</v>
      </c>
      <c r="M52" s="61" t="b">
        <v>0</v>
      </c>
      <c r="N52" s="61" t="b">
        <v>0</v>
      </c>
      <c r="O52" s="61" t="b">
        <v>0</v>
      </c>
      <c r="P52" s="61" t="b">
        <v>0</v>
      </c>
      <c r="Q52" s="61" t="b">
        <v>0</v>
      </c>
      <c r="R52" s="61" t="b">
        <v>1</v>
      </c>
      <c r="S52" s="61" t="b">
        <v>0</v>
      </c>
      <c r="T52" s="61" t="b">
        <v>0</v>
      </c>
      <c r="U52" s="61" t="b">
        <v>0</v>
      </c>
      <c r="V52" s="61" t="b">
        <v>0</v>
      </c>
      <c r="W52" s="61" t="b">
        <v>1</v>
      </c>
      <c r="X52" s="61" t="b">
        <v>0</v>
      </c>
      <c r="Y52" s="61" t="b">
        <v>0</v>
      </c>
      <c r="Z52" s="38">
        <f t="shared" si="8"/>
        <v>0.993994362</v>
      </c>
      <c r="AA52" s="65">
        <v>100.0</v>
      </c>
      <c r="AB52" s="66">
        <f>VLOOKUP(A52,ReferenceTables!$BI$2:$CA$254,MATCH(ShopGenerator!$A$2,ReferenceTables!$BI$1:$CA$1,0),0)</f>
        <v>1</v>
      </c>
      <c r="AC52" s="66">
        <f>VLOOKUP(D52,ReferenceTables!$AQ$2:$BE$27,MATCH(ShopGenerator!$A$4,ReferenceTables!$AQ$1:$BE$1,0),0)</f>
        <v>1</v>
      </c>
    </row>
    <row r="53">
      <c r="A53" s="67" t="s">
        <v>242</v>
      </c>
      <c r="B53" s="68">
        <f t="shared" si="1"/>
        <v>2</v>
      </c>
      <c r="C53" s="67" t="s">
        <v>80</v>
      </c>
      <c r="D53" s="67" t="s">
        <v>47</v>
      </c>
      <c r="E53" s="68">
        <f t="shared" si="2"/>
        <v>1.24</v>
      </c>
      <c r="F53" s="68">
        <f t="shared" si="3"/>
        <v>1</v>
      </c>
      <c r="G53" s="68">
        <f t="shared" si="4"/>
        <v>1.62</v>
      </c>
      <c r="H53" s="69"/>
      <c r="I53" s="70" t="b">
        <v>0</v>
      </c>
      <c r="J53" s="70" t="b">
        <v>1</v>
      </c>
      <c r="K53" s="67" t="b">
        <v>0</v>
      </c>
      <c r="L53" s="67" t="b">
        <v>0</v>
      </c>
      <c r="M53" s="67" t="b">
        <v>0</v>
      </c>
      <c r="N53" s="67" t="b">
        <v>0</v>
      </c>
      <c r="O53" s="67" t="b">
        <v>0</v>
      </c>
      <c r="P53" s="67" t="b">
        <v>0</v>
      </c>
      <c r="Q53" s="67" t="b">
        <v>0</v>
      </c>
      <c r="R53" s="67" t="b">
        <v>0</v>
      </c>
      <c r="S53" s="67" t="b">
        <v>0</v>
      </c>
      <c r="T53" s="67" t="b">
        <v>0</v>
      </c>
      <c r="U53" s="67" t="b">
        <v>0</v>
      </c>
      <c r="V53" s="67" t="b">
        <v>0</v>
      </c>
      <c r="W53" s="67" t="b">
        <v>1</v>
      </c>
      <c r="X53" s="67" t="b">
        <v>0</v>
      </c>
      <c r="Y53" s="67" t="b">
        <v>0</v>
      </c>
      <c r="Z53" s="38">
        <f t="shared" si="8"/>
        <v>0.9569586371</v>
      </c>
      <c r="AA53" s="71">
        <v>2.0</v>
      </c>
      <c r="AB53" s="72">
        <f>VLOOKUP(A53,ReferenceTables!$BI$2:$CA$254,MATCH(ShopGenerator!$A$2,ReferenceTables!$BI$1:$CA$1,0),0)</f>
        <v>1</v>
      </c>
      <c r="AC53" s="72">
        <f>VLOOKUP(D53,ReferenceTables!$AQ$2:$BE$27,MATCH(ShopGenerator!$A$4,ReferenceTables!$AQ$1:$BE$1,0),0)</f>
        <v>1</v>
      </c>
    </row>
    <row r="54">
      <c r="A54" s="61" t="s">
        <v>243</v>
      </c>
      <c r="B54" s="62">
        <f t="shared" si="1"/>
        <v>0.2</v>
      </c>
      <c r="C54" s="61" t="s">
        <v>43</v>
      </c>
      <c r="D54" s="61" t="s">
        <v>47</v>
      </c>
      <c r="E54" s="62">
        <f t="shared" si="2"/>
        <v>0.124</v>
      </c>
      <c r="F54" s="62">
        <f t="shared" si="3"/>
        <v>0.1</v>
      </c>
      <c r="G54" s="62">
        <f t="shared" si="4"/>
        <v>0.162</v>
      </c>
      <c r="H54" s="61" t="s">
        <v>244</v>
      </c>
      <c r="I54" s="64" t="b">
        <v>0</v>
      </c>
      <c r="J54" s="64" t="b">
        <v>0</v>
      </c>
      <c r="K54" s="61" t="b">
        <v>1</v>
      </c>
      <c r="L54" s="61" t="b">
        <v>0</v>
      </c>
      <c r="M54" s="61" t="b">
        <v>0</v>
      </c>
      <c r="N54" s="61" t="b">
        <v>0</v>
      </c>
      <c r="O54" s="61" t="b">
        <v>0</v>
      </c>
      <c r="P54" s="61" t="b">
        <v>0</v>
      </c>
      <c r="Q54" s="61" t="b">
        <v>0</v>
      </c>
      <c r="R54" s="61" t="b">
        <v>0</v>
      </c>
      <c r="S54" s="61" t="b">
        <v>0</v>
      </c>
      <c r="T54" s="61" t="b">
        <v>0</v>
      </c>
      <c r="U54" s="61" t="b">
        <v>0</v>
      </c>
      <c r="V54" s="61" t="b">
        <v>0</v>
      </c>
      <c r="W54" s="61" t="b">
        <v>1</v>
      </c>
      <c r="X54" s="61" t="b">
        <v>0</v>
      </c>
      <c r="Y54" s="61" t="b">
        <v>0</v>
      </c>
      <c r="Z54" s="38">
        <f t="shared" si="8"/>
        <v>0.6079732158</v>
      </c>
      <c r="AA54" s="65">
        <v>0.2</v>
      </c>
      <c r="AB54" s="66">
        <f>VLOOKUP(A54,ReferenceTables!$BI$2:$CA$254,MATCH(ShopGenerator!$A$2,ReferenceTables!$BI$1:$CA$1,0),0)</f>
        <v>1</v>
      </c>
      <c r="AC54" s="66">
        <f>VLOOKUP(D54,ReferenceTables!$AQ$2:$BE$27,MATCH(ShopGenerator!$A$4,ReferenceTables!$AQ$1:$BE$1,0),0)</f>
        <v>1</v>
      </c>
    </row>
    <row r="55">
      <c r="A55" s="67" t="s">
        <v>245</v>
      </c>
      <c r="B55" s="68">
        <f t="shared" si="1"/>
        <v>2</v>
      </c>
      <c r="C55" s="67" t="s">
        <v>72</v>
      </c>
      <c r="D55" s="67" t="s">
        <v>47</v>
      </c>
      <c r="E55" s="68">
        <f t="shared" si="2"/>
        <v>1.24</v>
      </c>
      <c r="F55" s="68">
        <f t="shared" si="3"/>
        <v>1</v>
      </c>
      <c r="G55" s="68">
        <f t="shared" si="4"/>
        <v>1.62</v>
      </c>
      <c r="H55" s="69"/>
      <c r="I55" s="70" t="b">
        <v>0</v>
      </c>
      <c r="J55" s="70" t="b">
        <v>1</v>
      </c>
      <c r="K55" s="67" t="b">
        <v>1</v>
      </c>
      <c r="L55" s="67" t="b">
        <v>1</v>
      </c>
      <c r="M55" s="67" t="b">
        <v>0</v>
      </c>
      <c r="N55" s="67" t="b">
        <v>0</v>
      </c>
      <c r="O55" s="67" t="b">
        <v>0</v>
      </c>
      <c r="P55" s="67" t="b">
        <v>0</v>
      </c>
      <c r="Q55" s="67" t="b">
        <v>0</v>
      </c>
      <c r="R55" s="67" t="b">
        <v>0</v>
      </c>
      <c r="S55" s="67" t="b">
        <v>0</v>
      </c>
      <c r="T55" s="67" t="b">
        <v>0</v>
      </c>
      <c r="U55" s="67" t="b">
        <v>0</v>
      </c>
      <c r="V55" s="67" t="b">
        <v>0</v>
      </c>
      <c r="W55" s="67" t="b">
        <v>1</v>
      </c>
      <c r="X55" s="67" t="b">
        <v>0</v>
      </c>
      <c r="Y55" s="67" t="b">
        <v>0</v>
      </c>
      <c r="Z55" s="38">
        <f t="shared" si="8"/>
        <v>0.7787305579</v>
      </c>
      <c r="AA55" s="71">
        <v>2.0</v>
      </c>
      <c r="AB55" s="72">
        <f>VLOOKUP(A55,ReferenceTables!$BI$2:$CA$254,MATCH(ShopGenerator!$A$2,ReferenceTables!$BI$1:$CA$1,0),0)</f>
        <v>1</v>
      </c>
      <c r="AC55" s="72">
        <f>VLOOKUP(D55,ReferenceTables!$AQ$2:$BE$27,MATCH(ShopGenerator!$A$4,ReferenceTables!$AQ$1:$BE$1,0),0)</f>
        <v>1</v>
      </c>
    </row>
    <row r="56">
      <c r="A56" s="61" t="s">
        <v>246</v>
      </c>
      <c r="B56" s="62">
        <f t="shared" si="1"/>
        <v>0.05</v>
      </c>
      <c r="C56" s="61" t="s">
        <v>211</v>
      </c>
      <c r="D56" s="61" t="s">
        <v>47</v>
      </c>
      <c r="E56" s="62">
        <f t="shared" si="2"/>
        <v>0.031</v>
      </c>
      <c r="F56" s="62">
        <f t="shared" si="3"/>
        <v>0.025</v>
      </c>
      <c r="G56" s="62">
        <f t="shared" si="4"/>
        <v>0.0405</v>
      </c>
      <c r="H56" s="61" t="s">
        <v>247</v>
      </c>
      <c r="I56" s="64" t="b">
        <v>0</v>
      </c>
      <c r="J56" s="64" t="b">
        <v>1</v>
      </c>
      <c r="K56" s="61" t="b">
        <v>1</v>
      </c>
      <c r="L56" s="61" t="b">
        <v>1</v>
      </c>
      <c r="M56" s="61" t="b">
        <v>0</v>
      </c>
      <c r="N56" s="61" t="b">
        <v>0</v>
      </c>
      <c r="O56" s="61" t="b">
        <v>0</v>
      </c>
      <c r="P56" s="61" t="b">
        <v>0</v>
      </c>
      <c r="Q56" s="61" t="b">
        <v>0</v>
      </c>
      <c r="R56" s="61" t="b">
        <v>0</v>
      </c>
      <c r="S56" s="61" t="b">
        <v>0</v>
      </c>
      <c r="T56" s="61" t="b">
        <v>0</v>
      </c>
      <c r="U56" s="61" t="b">
        <v>0</v>
      </c>
      <c r="V56" s="61" t="b">
        <v>0</v>
      </c>
      <c r="W56" s="61" t="b">
        <v>1</v>
      </c>
      <c r="X56" s="61" t="b">
        <v>0</v>
      </c>
      <c r="Y56" s="61" t="b">
        <v>0</v>
      </c>
      <c r="Z56" s="38">
        <f t="shared" si="8"/>
        <v>0.5179267348</v>
      </c>
      <c r="AA56" s="65">
        <v>0.05</v>
      </c>
      <c r="AB56" s="66">
        <f>VLOOKUP(A56,ReferenceTables!$BI$2:$CA$254,MATCH(ShopGenerator!$A$2,ReferenceTables!$BI$1:$CA$1,0),0)</f>
        <v>1</v>
      </c>
      <c r="AC56" s="66">
        <f>VLOOKUP(D56,ReferenceTables!$AQ$2:$BE$27,MATCH(ShopGenerator!$A$4,ReferenceTables!$AQ$1:$BE$1,0),0)</f>
        <v>1</v>
      </c>
    </row>
    <row r="57">
      <c r="A57" s="67" t="s">
        <v>248</v>
      </c>
      <c r="B57" s="68">
        <f t="shared" si="1"/>
        <v>1</v>
      </c>
      <c r="C57" s="67" t="s">
        <v>249</v>
      </c>
      <c r="D57" s="67" t="s">
        <v>47</v>
      </c>
      <c r="E57" s="68">
        <f t="shared" si="2"/>
        <v>0.62</v>
      </c>
      <c r="F57" s="68">
        <f t="shared" si="3"/>
        <v>0.5</v>
      </c>
      <c r="G57" s="68">
        <f t="shared" si="4"/>
        <v>0.81</v>
      </c>
      <c r="H57" s="69"/>
      <c r="I57" s="70" t="b">
        <v>0</v>
      </c>
      <c r="J57" s="70" t="b">
        <v>0</v>
      </c>
      <c r="K57" s="67" t="b">
        <v>1</v>
      </c>
      <c r="L57" s="67" t="b">
        <v>1</v>
      </c>
      <c r="M57" s="67" t="b">
        <v>0</v>
      </c>
      <c r="N57" s="67" t="b">
        <v>0</v>
      </c>
      <c r="O57" s="67" t="b">
        <v>0</v>
      </c>
      <c r="P57" s="67" t="b">
        <v>0</v>
      </c>
      <c r="Q57" s="67" t="b">
        <v>0</v>
      </c>
      <c r="R57" s="67" t="b">
        <v>0</v>
      </c>
      <c r="S57" s="67" t="b">
        <v>0</v>
      </c>
      <c r="T57" s="67" t="b">
        <v>0</v>
      </c>
      <c r="U57" s="67" t="b">
        <v>0</v>
      </c>
      <c r="V57" s="67" t="b">
        <v>0</v>
      </c>
      <c r="W57" s="67" t="b">
        <v>1</v>
      </c>
      <c r="X57" s="67" t="b">
        <v>0</v>
      </c>
      <c r="Y57" s="67" t="b">
        <v>1</v>
      </c>
      <c r="Z57" s="38">
        <f t="shared" si="8"/>
        <v>0.1296328782</v>
      </c>
      <c r="AA57" s="71">
        <v>1.0</v>
      </c>
      <c r="AB57" s="72">
        <f>VLOOKUP(A57,ReferenceTables!$BI$2:$CA$254,MATCH(ShopGenerator!$A$2,ReferenceTables!$BI$1:$CA$1,0),0)</f>
        <v>1</v>
      </c>
      <c r="AC57" s="72">
        <f>VLOOKUP(D57,ReferenceTables!$AQ$2:$BE$27,MATCH(ShopGenerator!$A$4,ReferenceTables!$AQ$1:$BE$1,0),0)</f>
        <v>1</v>
      </c>
    </row>
    <row r="58">
      <c r="A58" s="61" t="s">
        <v>250</v>
      </c>
      <c r="B58" s="62">
        <f t="shared" si="1"/>
        <v>10</v>
      </c>
      <c r="C58" s="61" t="s">
        <v>251</v>
      </c>
      <c r="D58" s="61" t="s">
        <v>47</v>
      </c>
      <c r="E58" s="62">
        <f t="shared" si="2"/>
        <v>6.2</v>
      </c>
      <c r="F58" s="62">
        <f t="shared" si="3"/>
        <v>5</v>
      </c>
      <c r="G58" s="62">
        <f t="shared" si="4"/>
        <v>8.1</v>
      </c>
      <c r="H58" s="63"/>
      <c r="I58" s="64" t="b">
        <v>0</v>
      </c>
      <c r="J58" s="64" t="b">
        <v>0</v>
      </c>
      <c r="K58" s="61" t="b">
        <v>1</v>
      </c>
      <c r="L58" s="61" t="b">
        <v>0</v>
      </c>
      <c r="M58" s="61" t="b">
        <v>0</v>
      </c>
      <c r="N58" s="61" t="b">
        <v>0</v>
      </c>
      <c r="O58" s="61" t="b">
        <v>0</v>
      </c>
      <c r="P58" s="61" t="b">
        <v>0</v>
      </c>
      <c r="Q58" s="61" t="b">
        <v>0</v>
      </c>
      <c r="R58" s="61" t="b">
        <v>0</v>
      </c>
      <c r="S58" s="61" t="b">
        <v>0</v>
      </c>
      <c r="T58" s="61" t="b">
        <v>0</v>
      </c>
      <c r="U58" s="61" t="b">
        <v>0</v>
      </c>
      <c r="V58" s="61" t="b">
        <v>0</v>
      </c>
      <c r="W58" s="61" t="b">
        <v>1</v>
      </c>
      <c r="X58" s="61" t="b">
        <v>0</v>
      </c>
      <c r="Y58" s="61" t="b">
        <v>0</v>
      </c>
      <c r="Z58" s="38">
        <f t="shared" si="8"/>
        <v>0.01861370444</v>
      </c>
      <c r="AA58" s="65">
        <v>10.0</v>
      </c>
      <c r="AB58" s="66">
        <f>VLOOKUP(A58,ReferenceTables!$BI$2:$CA$254,MATCH(ShopGenerator!$A$2,ReferenceTables!$BI$1:$CA$1,0),0)</f>
        <v>1</v>
      </c>
      <c r="AC58" s="66">
        <f>VLOOKUP(D58,ReferenceTables!$AQ$2:$BE$27,MATCH(ShopGenerator!$A$4,ReferenceTables!$AQ$1:$BE$1,0),0)</f>
        <v>1</v>
      </c>
    </row>
    <row r="59">
      <c r="A59" s="67" t="s">
        <v>252</v>
      </c>
      <c r="B59" s="68">
        <f t="shared" si="1"/>
        <v>0.05</v>
      </c>
      <c r="C59" s="67" t="s">
        <v>211</v>
      </c>
      <c r="D59" s="67" t="s">
        <v>47</v>
      </c>
      <c r="E59" s="68">
        <f t="shared" si="2"/>
        <v>0.031</v>
      </c>
      <c r="F59" s="68">
        <f t="shared" si="3"/>
        <v>0.025</v>
      </c>
      <c r="G59" s="68">
        <f t="shared" si="4"/>
        <v>0.0405</v>
      </c>
      <c r="H59" s="69"/>
      <c r="I59" s="70" t="b">
        <v>0</v>
      </c>
      <c r="J59" s="70" t="b">
        <v>0</v>
      </c>
      <c r="K59" s="67" t="b">
        <v>0</v>
      </c>
      <c r="L59" s="67" t="b">
        <v>0</v>
      </c>
      <c r="M59" s="67" t="b">
        <v>0</v>
      </c>
      <c r="N59" s="67" t="b">
        <v>0</v>
      </c>
      <c r="O59" s="67" t="b">
        <v>1</v>
      </c>
      <c r="P59" s="67" t="b">
        <v>0</v>
      </c>
      <c r="Q59" s="67" t="b">
        <v>0</v>
      </c>
      <c r="R59" s="67" t="b">
        <v>0</v>
      </c>
      <c r="S59" s="67" t="b">
        <v>0</v>
      </c>
      <c r="T59" s="67" t="b">
        <v>0</v>
      </c>
      <c r="U59" s="67" t="b">
        <v>0</v>
      </c>
      <c r="V59" s="67" t="b">
        <v>0</v>
      </c>
      <c r="W59" s="67" t="b">
        <v>1</v>
      </c>
      <c r="X59" s="67" t="b">
        <v>0</v>
      </c>
      <c r="Y59" s="67" t="b">
        <v>0</v>
      </c>
      <c r="Z59" s="38">
        <f t="shared" si="8"/>
        <v>0.8728722404</v>
      </c>
      <c r="AA59" s="71">
        <v>0.05</v>
      </c>
      <c r="AB59" s="72">
        <f>VLOOKUP(A59,ReferenceTables!$BI$2:$CA$254,MATCH(ShopGenerator!$A$2,ReferenceTables!$BI$1:$CA$1,0),0)</f>
        <v>1</v>
      </c>
      <c r="AC59" s="72">
        <f>VLOOKUP(D59,ReferenceTables!$AQ$2:$BE$27,MATCH(ShopGenerator!$A$4,ReferenceTables!$AQ$1:$BE$1,0),0)</f>
        <v>1</v>
      </c>
    </row>
    <row r="60">
      <c r="A60" s="61" t="s">
        <v>253</v>
      </c>
      <c r="B60" s="62">
        <f t="shared" si="1"/>
        <v>50</v>
      </c>
      <c r="C60" s="61" t="s">
        <v>75</v>
      </c>
      <c r="D60" s="61" t="s">
        <v>47</v>
      </c>
      <c r="E60" s="62">
        <f t="shared" si="2"/>
        <v>41</v>
      </c>
      <c r="F60" s="62">
        <f t="shared" si="3"/>
        <v>25</v>
      </c>
      <c r="G60" s="62">
        <f t="shared" si="4"/>
        <v>45.5</v>
      </c>
      <c r="H60" s="63"/>
      <c r="I60" s="64" t="b">
        <v>0</v>
      </c>
      <c r="J60" s="64" t="b">
        <v>0</v>
      </c>
      <c r="K60" s="61" t="b">
        <v>0</v>
      </c>
      <c r="L60" s="61" t="b">
        <v>0</v>
      </c>
      <c r="M60" s="61" t="b">
        <v>0</v>
      </c>
      <c r="N60" s="61" t="b">
        <v>0</v>
      </c>
      <c r="O60" s="61" t="b">
        <v>0</v>
      </c>
      <c r="P60" s="61" t="b">
        <v>0</v>
      </c>
      <c r="Q60" s="61" t="b">
        <v>0</v>
      </c>
      <c r="R60" s="61" t="b">
        <v>0</v>
      </c>
      <c r="S60" s="61" t="b">
        <v>0</v>
      </c>
      <c r="T60" s="61" t="b">
        <v>0</v>
      </c>
      <c r="U60" s="61" t="b">
        <v>0</v>
      </c>
      <c r="V60" s="61" t="b">
        <v>0</v>
      </c>
      <c r="W60" s="61" t="b">
        <v>1</v>
      </c>
      <c r="X60" s="61" t="b">
        <v>0</v>
      </c>
      <c r="Y60" s="61" t="b">
        <v>0</v>
      </c>
      <c r="Z60" s="38">
        <f t="shared" si="8"/>
        <v>0.7961094433</v>
      </c>
      <c r="AA60" s="65">
        <v>50.0</v>
      </c>
      <c r="AB60" s="66">
        <f>VLOOKUP(A60,ReferenceTables!$BI$2:$CA$254,MATCH(ShopGenerator!$A$2,ReferenceTables!$BI$1:$CA$1,0),0)</f>
        <v>1</v>
      </c>
      <c r="AC60" s="66">
        <f>VLOOKUP(D60,ReferenceTables!$AQ$2:$BE$27,MATCH(ShopGenerator!$A$4,ReferenceTables!$AQ$1:$BE$1,0),0)</f>
        <v>1</v>
      </c>
    </row>
    <row r="61">
      <c r="A61" s="67" t="s">
        <v>254</v>
      </c>
      <c r="B61" s="68">
        <f t="shared" si="1"/>
        <v>1000</v>
      </c>
      <c r="C61" s="67" t="s">
        <v>43</v>
      </c>
      <c r="D61" s="67" t="s">
        <v>47</v>
      </c>
      <c r="E61" s="68">
        <f t="shared" si="2"/>
        <v>820</v>
      </c>
      <c r="F61" s="68">
        <f t="shared" si="3"/>
        <v>500</v>
      </c>
      <c r="G61" s="68">
        <f t="shared" si="4"/>
        <v>910</v>
      </c>
      <c r="H61" s="69"/>
      <c r="I61" s="70" t="b">
        <v>0</v>
      </c>
      <c r="J61" s="70" t="b">
        <v>0</v>
      </c>
      <c r="K61" s="67" t="b">
        <v>0</v>
      </c>
      <c r="L61" s="67" t="b">
        <v>0</v>
      </c>
      <c r="M61" s="67" t="b">
        <v>0</v>
      </c>
      <c r="N61" s="67" t="b">
        <v>0</v>
      </c>
      <c r="O61" s="67" t="b">
        <v>0</v>
      </c>
      <c r="P61" s="67" t="b">
        <v>0</v>
      </c>
      <c r="Q61" s="67" t="b">
        <v>0</v>
      </c>
      <c r="R61" s="67" t="b">
        <v>1</v>
      </c>
      <c r="S61" s="67" t="b">
        <v>0</v>
      </c>
      <c r="T61" s="67" t="b">
        <v>0</v>
      </c>
      <c r="U61" s="67" t="b">
        <v>0</v>
      </c>
      <c r="V61" s="67" t="b">
        <v>0</v>
      </c>
      <c r="W61" s="67" t="b">
        <v>1</v>
      </c>
      <c r="X61" s="67" t="b">
        <v>0</v>
      </c>
      <c r="Y61" s="67" t="b">
        <v>0</v>
      </c>
      <c r="Z61" s="38">
        <f t="shared" si="8"/>
        <v>0.09146745384</v>
      </c>
      <c r="AA61" s="71">
        <v>1000.0</v>
      </c>
      <c r="AB61" s="72">
        <f>VLOOKUP(A61,ReferenceTables!$BI$2:$CA$254,MATCH(ShopGenerator!$A$2,ReferenceTables!$BI$1:$CA$1,0),0)</f>
        <v>1</v>
      </c>
      <c r="AC61" s="72">
        <f>VLOOKUP(D61,ReferenceTables!$AQ$2:$BE$27,MATCH(ShopGenerator!$A$4,ReferenceTables!$AQ$1:$BE$1,0),0)</f>
        <v>1</v>
      </c>
    </row>
    <row r="62">
      <c r="A62" s="61" t="s">
        <v>255</v>
      </c>
      <c r="B62" s="62">
        <f t="shared" si="1"/>
        <v>5</v>
      </c>
      <c r="C62" s="61" t="s">
        <v>209</v>
      </c>
      <c r="D62" s="61" t="s">
        <v>47</v>
      </c>
      <c r="E62" s="62">
        <f t="shared" si="2"/>
        <v>3.1</v>
      </c>
      <c r="F62" s="62">
        <f t="shared" si="3"/>
        <v>2.5</v>
      </c>
      <c r="G62" s="62">
        <f t="shared" si="4"/>
        <v>4.05</v>
      </c>
      <c r="H62" s="63"/>
      <c r="I62" s="64" t="b">
        <v>0</v>
      </c>
      <c r="J62" s="64" t="b">
        <v>1</v>
      </c>
      <c r="K62" s="61" t="b">
        <v>0</v>
      </c>
      <c r="L62" s="61" t="b">
        <v>0</v>
      </c>
      <c r="M62" s="61" t="b">
        <v>0</v>
      </c>
      <c r="N62" s="61" t="b">
        <v>0</v>
      </c>
      <c r="O62" s="61" t="b">
        <v>0</v>
      </c>
      <c r="P62" s="61" t="b">
        <v>0</v>
      </c>
      <c r="Q62" s="61" t="b">
        <v>0</v>
      </c>
      <c r="R62" s="61" t="b">
        <v>1</v>
      </c>
      <c r="S62" s="61" t="b">
        <v>0</v>
      </c>
      <c r="T62" s="61" t="b">
        <v>0</v>
      </c>
      <c r="U62" s="61" t="b">
        <v>0</v>
      </c>
      <c r="V62" s="61" t="b">
        <v>0</v>
      </c>
      <c r="W62" s="61" t="b">
        <v>1</v>
      </c>
      <c r="X62" s="61" t="b">
        <v>0</v>
      </c>
      <c r="Y62" s="61" t="b">
        <v>0</v>
      </c>
      <c r="Z62" s="38">
        <f t="shared" si="8"/>
        <v>0.9501039305</v>
      </c>
      <c r="AA62" s="65">
        <v>5.0</v>
      </c>
      <c r="AB62" s="66">
        <f>VLOOKUP(A62,ReferenceTables!$BI$2:$CA$254,MATCH(ShopGenerator!$A$2,ReferenceTables!$BI$1:$CA$1,0),0)</f>
        <v>1</v>
      </c>
      <c r="AC62" s="66">
        <f>VLOOKUP(D62,ReferenceTables!$AQ$2:$BE$27,MATCH(ShopGenerator!$A$4,ReferenceTables!$AQ$1:$BE$1,0),0)</f>
        <v>1</v>
      </c>
    </row>
    <row r="63">
      <c r="A63" s="67" t="s">
        <v>256</v>
      </c>
      <c r="B63" s="68">
        <f t="shared" si="1"/>
        <v>0.5</v>
      </c>
      <c r="C63" s="67" t="s">
        <v>43</v>
      </c>
      <c r="D63" s="67" t="s">
        <v>47</v>
      </c>
      <c r="E63" s="68">
        <f t="shared" si="2"/>
        <v>0.31</v>
      </c>
      <c r="F63" s="68">
        <f t="shared" si="3"/>
        <v>0.25</v>
      </c>
      <c r="G63" s="68">
        <f t="shared" si="4"/>
        <v>0.405</v>
      </c>
      <c r="H63" s="69"/>
      <c r="I63" s="70" t="b">
        <v>0</v>
      </c>
      <c r="J63" s="70" t="b">
        <v>0</v>
      </c>
      <c r="K63" s="67" t="b">
        <v>1</v>
      </c>
      <c r="L63" s="67" t="b">
        <v>1</v>
      </c>
      <c r="M63" s="67" t="b">
        <v>0</v>
      </c>
      <c r="N63" s="67" t="b">
        <v>0</v>
      </c>
      <c r="O63" s="67" t="b">
        <v>0</v>
      </c>
      <c r="P63" s="67" t="b">
        <v>0</v>
      </c>
      <c r="Q63" s="67" t="b">
        <v>0</v>
      </c>
      <c r="R63" s="67" t="b">
        <v>0</v>
      </c>
      <c r="S63" s="67" t="b">
        <v>0</v>
      </c>
      <c r="T63" s="67" t="b">
        <v>0</v>
      </c>
      <c r="U63" s="67" t="b">
        <v>0</v>
      </c>
      <c r="V63" s="67" t="b">
        <v>0</v>
      </c>
      <c r="W63" s="67" t="b">
        <v>1</v>
      </c>
      <c r="X63" s="67" t="b">
        <v>0</v>
      </c>
      <c r="Y63" s="67" t="b">
        <v>0</v>
      </c>
      <c r="Z63" s="38">
        <f t="shared" si="8"/>
        <v>0.8231197965</v>
      </c>
      <c r="AA63" s="71">
        <v>0.5</v>
      </c>
      <c r="AB63" s="72">
        <f>VLOOKUP(A63,ReferenceTables!$BI$2:$CA$254,MATCH(ShopGenerator!$A$2,ReferenceTables!$BI$1:$CA$1,0),0)</f>
        <v>1</v>
      </c>
      <c r="AC63" s="72">
        <f>VLOOKUP(D63,ReferenceTables!$AQ$2:$BE$27,MATCH(ShopGenerator!$A$4,ReferenceTables!$AQ$1:$BE$1,0),0)</f>
        <v>1</v>
      </c>
    </row>
    <row r="64">
      <c r="A64" s="61" t="s">
        <v>257</v>
      </c>
      <c r="B64" s="62">
        <f t="shared" si="1"/>
        <v>2</v>
      </c>
      <c r="C64" s="61" t="s">
        <v>258</v>
      </c>
      <c r="D64" s="61" t="s">
        <v>47</v>
      </c>
      <c r="E64" s="62">
        <f t="shared" si="2"/>
        <v>1.24</v>
      </c>
      <c r="F64" s="62">
        <f t="shared" si="3"/>
        <v>1</v>
      </c>
      <c r="G64" s="62">
        <f t="shared" si="4"/>
        <v>1.62</v>
      </c>
      <c r="H64" s="63"/>
      <c r="I64" s="64" t="b">
        <v>0</v>
      </c>
      <c r="J64" s="64" t="b">
        <v>0</v>
      </c>
      <c r="K64" s="61" t="b">
        <v>1</v>
      </c>
      <c r="L64" s="61" t="b">
        <v>0</v>
      </c>
      <c r="M64" s="61" t="b">
        <v>0</v>
      </c>
      <c r="N64" s="61" t="b">
        <v>0</v>
      </c>
      <c r="O64" s="61" t="b">
        <v>0</v>
      </c>
      <c r="P64" s="61" t="b">
        <v>0</v>
      </c>
      <c r="Q64" s="61" t="b">
        <v>0</v>
      </c>
      <c r="R64" s="61" t="b">
        <v>0</v>
      </c>
      <c r="S64" s="61" t="b">
        <v>0</v>
      </c>
      <c r="T64" s="61" t="b">
        <v>0</v>
      </c>
      <c r="U64" s="61" t="b">
        <v>0</v>
      </c>
      <c r="V64" s="61" t="b">
        <v>0</v>
      </c>
      <c r="W64" s="61" t="b">
        <v>1</v>
      </c>
      <c r="X64" s="61" t="b">
        <v>0</v>
      </c>
      <c r="Y64" s="61" t="b">
        <v>0</v>
      </c>
      <c r="Z64" s="38">
        <f t="shared" si="8"/>
        <v>0.03062509295</v>
      </c>
      <c r="AA64" s="65">
        <v>2.0</v>
      </c>
      <c r="AB64" s="66">
        <f>VLOOKUP(A64,ReferenceTables!$BI$2:$CA$254,MATCH(ShopGenerator!$A$2,ReferenceTables!$BI$1:$CA$1,0),0)</f>
        <v>1</v>
      </c>
      <c r="AC64" s="66">
        <f>VLOOKUP(D64,ReferenceTables!$AQ$2:$BE$27,MATCH(ShopGenerator!$A$4,ReferenceTables!$AQ$1:$BE$1,0),0)</f>
        <v>1</v>
      </c>
    </row>
    <row r="65">
      <c r="A65" s="67" t="s">
        <v>259</v>
      </c>
      <c r="B65" s="68">
        <f t="shared" si="1"/>
        <v>0.2</v>
      </c>
      <c r="C65" s="67" t="s">
        <v>260</v>
      </c>
      <c r="D65" s="67" t="s">
        <v>47</v>
      </c>
      <c r="E65" s="68">
        <f t="shared" si="2"/>
        <v>0.124</v>
      </c>
      <c r="F65" s="68">
        <f t="shared" si="3"/>
        <v>0.1</v>
      </c>
      <c r="G65" s="68">
        <f t="shared" si="4"/>
        <v>0.162</v>
      </c>
      <c r="H65" s="69"/>
      <c r="I65" s="70" t="b">
        <v>0</v>
      </c>
      <c r="J65" s="70" t="b">
        <v>0</v>
      </c>
      <c r="K65" s="67" t="b">
        <v>1</v>
      </c>
      <c r="L65" s="67" t="b">
        <v>1</v>
      </c>
      <c r="M65" s="67" t="b">
        <v>0</v>
      </c>
      <c r="N65" s="67" t="b">
        <v>1</v>
      </c>
      <c r="O65" s="67" t="b">
        <v>0</v>
      </c>
      <c r="P65" s="67" t="b">
        <v>0</v>
      </c>
      <c r="Q65" s="67" t="b">
        <v>0</v>
      </c>
      <c r="R65" s="67" t="b">
        <v>0</v>
      </c>
      <c r="S65" s="67" t="b">
        <v>0</v>
      </c>
      <c r="T65" s="67" t="b">
        <v>1</v>
      </c>
      <c r="U65" s="67" t="b">
        <v>0</v>
      </c>
      <c r="V65" s="67" t="b">
        <v>0</v>
      </c>
      <c r="W65" s="67" t="b">
        <v>1</v>
      </c>
      <c r="X65" s="67" t="b">
        <v>0</v>
      </c>
      <c r="Y65" s="67" t="b">
        <v>0</v>
      </c>
      <c r="Z65" s="38">
        <f t="shared" si="8"/>
        <v>0.7073969789</v>
      </c>
      <c r="AA65" s="71">
        <v>0.2</v>
      </c>
      <c r="AB65" s="72">
        <f>VLOOKUP(A65,ReferenceTables!$BI$2:$CA$254,MATCH(ShopGenerator!$A$2,ReferenceTables!$BI$1:$CA$1,0),0)</f>
        <v>1</v>
      </c>
      <c r="AC65" s="72">
        <f>VLOOKUP(D65,ReferenceTables!$AQ$2:$BE$27,MATCH(ShopGenerator!$A$4,ReferenceTables!$AQ$1:$BE$1,0),0)</f>
        <v>1</v>
      </c>
    </row>
    <row r="66">
      <c r="A66" s="64" t="s">
        <v>261</v>
      </c>
      <c r="B66" s="62">
        <f t="shared" si="1"/>
        <v>0.1</v>
      </c>
      <c r="C66" s="61" t="s">
        <v>262</v>
      </c>
      <c r="D66" s="64" t="s">
        <v>263</v>
      </c>
      <c r="E66" s="62">
        <f t="shared" si="2"/>
        <v>0.062</v>
      </c>
      <c r="F66" s="62">
        <f t="shared" si="3"/>
        <v>0.05</v>
      </c>
      <c r="G66" s="62">
        <f t="shared" si="4"/>
        <v>0.081</v>
      </c>
      <c r="H66" s="63"/>
      <c r="I66" s="64" t="b">
        <v>0</v>
      </c>
      <c r="J66" s="64" t="b">
        <v>0</v>
      </c>
      <c r="K66" s="64" t="b">
        <v>1</v>
      </c>
      <c r="L66" s="64" t="b">
        <v>1</v>
      </c>
      <c r="M66" s="61" t="b">
        <v>0</v>
      </c>
      <c r="N66" s="61" t="b">
        <v>0</v>
      </c>
      <c r="O66" s="61" t="b">
        <v>0</v>
      </c>
      <c r="P66" s="61" t="b">
        <v>0</v>
      </c>
      <c r="Q66" s="61" t="b">
        <v>0</v>
      </c>
      <c r="R66" s="61" t="b">
        <v>0</v>
      </c>
      <c r="S66" s="61" t="b">
        <v>0</v>
      </c>
      <c r="T66" s="61" t="b">
        <v>0</v>
      </c>
      <c r="U66" s="61" t="b">
        <v>0</v>
      </c>
      <c r="V66" s="61" t="b">
        <v>0</v>
      </c>
      <c r="W66" s="61" t="b">
        <v>1</v>
      </c>
      <c r="X66" s="61" t="b">
        <v>0</v>
      </c>
      <c r="Y66" s="61" t="b">
        <v>0</v>
      </c>
      <c r="Z66" s="38">
        <f t="shared" si="8"/>
        <v>0.6094029636</v>
      </c>
      <c r="AA66" s="65">
        <v>0.1</v>
      </c>
      <c r="AB66" s="66">
        <f>VLOOKUP(A66,ReferenceTables!$BI$2:$CA$254,MATCH(ShopGenerator!$A$2,ReferenceTables!$BI$1:$CA$1,0),0)</f>
        <v>1</v>
      </c>
      <c r="AC66" s="66">
        <f>VLOOKUP(D66,ReferenceTables!$AQ$2:$BE$27,MATCH(ShopGenerator!$A$4,ReferenceTables!$AQ$1:$BE$1,0),0)</f>
        <v>1</v>
      </c>
    </row>
    <row r="67">
      <c r="A67" s="70" t="s">
        <v>264</v>
      </c>
      <c r="B67" s="68">
        <f t="shared" si="1"/>
        <v>0.5</v>
      </c>
      <c r="C67" s="67" t="s">
        <v>265</v>
      </c>
      <c r="D67" s="70" t="s">
        <v>263</v>
      </c>
      <c r="E67" s="68">
        <f t="shared" si="2"/>
        <v>0.31</v>
      </c>
      <c r="F67" s="68">
        <f t="shared" si="3"/>
        <v>0.25</v>
      </c>
      <c r="G67" s="68">
        <f t="shared" si="4"/>
        <v>0.405</v>
      </c>
      <c r="H67" s="69"/>
      <c r="I67" s="70" t="b">
        <v>0</v>
      </c>
      <c r="J67" s="70" t="b">
        <v>0</v>
      </c>
      <c r="K67" s="70" t="b">
        <v>1</v>
      </c>
      <c r="L67" s="70" t="b">
        <v>1</v>
      </c>
      <c r="M67" s="67" t="b">
        <v>0</v>
      </c>
      <c r="N67" s="67" t="b">
        <v>0</v>
      </c>
      <c r="O67" s="67" t="b">
        <v>0</v>
      </c>
      <c r="P67" s="67" t="b">
        <v>0</v>
      </c>
      <c r="Q67" s="67" t="b">
        <v>0</v>
      </c>
      <c r="R67" s="67" t="b">
        <v>0</v>
      </c>
      <c r="S67" s="67" t="b">
        <v>0</v>
      </c>
      <c r="T67" s="67" t="b">
        <v>0</v>
      </c>
      <c r="U67" s="67" t="b">
        <v>0</v>
      </c>
      <c r="V67" s="67" t="b">
        <v>1</v>
      </c>
      <c r="W67" s="67" t="b">
        <v>1</v>
      </c>
      <c r="X67" s="67" t="b">
        <v>0</v>
      </c>
      <c r="Y67" s="67" t="b">
        <v>0</v>
      </c>
      <c r="Z67" s="38">
        <f t="shared" si="8"/>
        <v>0.4189329641</v>
      </c>
      <c r="AA67" s="71">
        <v>0.5</v>
      </c>
      <c r="AB67" s="72">
        <f>VLOOKUP(A67,ReferenceTables!$BI$2:$CA$254,MATCH(ShopGenerator!$A$2,ReferenceTables!$BI$1:$CA$1,0),0)</f>
        <v>1</v>
      </c>
      <c r="AC67" s="72">
        <f>VLOOKUP(D67,ReferenceTables!$AQ$2:$BE$27,MATCH(ShopGenerator!$A$4,ReferenceTables!$AQ$1:$BE$1,0),0)</f>
        <v>1</v>
      </c>
    </row>
    <row r="68">
      <c r="A68" s="64" t="s">
        <v>266</v>
      </c>
      <c r="B68" s="62">
        <f t="shared" si="1"/>
        <v>5</v>
      </c>
      <c r="C68" s="61" t="s">
        <v>267</v>
      </c>
      <c r="D68" s="64" t="s">
        <v>263</v>
      </c>
      <c r="E68" s="62">
        <f t="shared" si="2"/>
        <v>3.1</v>
      </c>
      <c r="F68" s="62">
        <f t="shared" si="3"/>
        <v>2.5</v>
      </c>
      <c r="G68" s="62">
        <f t="shared" si="4"/>
        <v>4.05</v>
      </c>
      <c r="H68" s="63"/>
      <c r="I68" s="64" t="b">
        <v>0</v>
      </c>
      <c r="J68" s="64" t="b">
        <v>0</v>
      </c>
      <c r="K68" s="64" t="b">
        <v>1</v>
      </c>
      <c r="L68" s="64" t="b">
        <v>1</v>
      </c>
      <c r="M68" s="61" t="b">
        <v>0</v>
      </c>
      <c r="N68" s="61" t="b">
        <v>0</v>
      </c>
      <c r="O68" s="61" t="b">
        <v>0</v>
      </c>
      <c r="P68" s="61" t="b">
        <v>0</v>
      </c>
      <c r="Q68" s="61" t="b">
        <v>0</v>
      </c>
      <c r="R68" s="61" t="b">
        <v>0</v>
      </c>
      <c r="S68" s="61" t="b">
        <v>0</v>
      </c>
      <c r="T68" s="61" t="b">
        <v>0</v>
      </c>
      <c r="U68" s="61" t="b">
        <v>0</v>
      </c>
      <c r="V68" s="61" t="b">
        <v>1</v>
      </c>
      <c r="W68" s="61" t="b">
        <v>1</v>
      </c>
      <c r="X68" s="61" t="b">
        <v>0</v>
      </c>
      <c r="Y68" s="61" t="b">
        <v>0</v>
      </c>
      <c r="Z68" s="38">
        <f t="shared" si="8"/>
        <v>0.3024708938</v>
      </c>
      <c r="AA68" s="65">
        <v>5.0</v>
      </c>
      <c r="AB68" s="66">
        <f>VLOOKUP(A68,ReferenceTables!$BI$2:$CA$254,MATCH(ShopGenerator!$A$2,ReferenceTables!$BI$1:$CA$1,0),0)</f>
        <v>1</v>
      </c>
      <c r="AC68" s="66">
        <f>VLOOKUP(D68,ReferenceTables!$AQ$2:$BE$27,MATCH(ShopGenerator!$A$4,ReferenceTables!$AQ$1:$BE$1,0),0)</f>
        <v>1</v>
      </c>
    </row>
    <row r="69">
      <c r="A69" s="70" t="s">
        <v>268</v>
      </c>
      <c r="B69" s="68">
        <f t="shared" si="1"/>
        <v>10</v>
      </c>
      <c r="C69" s="67" t="s">
        <v>269</v>
      </c>
      <c r="D69" s="70" t="s">
        <v>263</v>
      </c>
      <c r="E69" s="68">
        <f t="shared" si="2"/>
        <v>6.2</v>
      </c>
      <c r="F69" s="68">
        <f t="shared" si="3"/>
        <v>5</v>
      </c>
      <c r="G69" s="68">
        <f t="shared" si="4"/>
        <v>8.1</v>
      </c>
      <c r="H69" s="69"/>
      <c r="I69" s="70" t="b">
        <v>0</v>
      </c>
      <c r="J69" s="70" t="b">
        <v>0</v>
      </c>
      <c r="K69" s="70" t="b">
        <v>1</v>
      </c>
      <c r="L69" s="70" t="b">
        <v>0</v>
      </c>
      <c r="M69" s="67" t="b">
        <v>0</v>
      </c>
      <c r="N69" s="67" t="b">
        <v>0</v>
      </c>
      <c r="O69" s="67" t="b">
        <v>0</v>
      </c>
      <c r="P69" s="67" t="b">
        <v>0</v>
      </c>
      <c r="Q69" s="67" t="b">
        <v>0</v>
      </c>
      <c r="R69" s="67" t="b">
        <v>0</v>
      </c>
      <c r="S69" s="67" t="b">
        <v>0</v>
      </c>
      <c r="T69" s="67" t="b">
        <v>0</v>
      </c>
      <c r="U69" s="67" t="b">
        <v>0</v>
      </c>
      <c r="V69" s="67" t="b">
        <v>0</v>
      </c>
      <c r="W69" s="67" t="b">
        <v>1</v>
      </c>
      <c r="X69" s="67" t="b">
        <v>0</v>
      </c>
      <c r="Y69" s="67" t="b">
        <v>0</v>
      </c>
      <c r="Z69" s="38">
        <f t="shared" si="8"/>
        <v>0.1167189571</v>
      </c>
      <c r="AA69" s="71">
        <v>10.0</v>
      </c>
      <c r="AB69" s="72">
        <f>VLOOKUP(A69,ReferenceTables!$BI$2:$CA$254,MATCH(ShopGenerator!$A$2,ReferenceTables!$BI$1:$CA$1,0),0)</f>
        <v>1</v>
      </c>
      <c r="AC69" s="72">
        <f>VLOOKUP(D69,ReferenceTables!$AQ$2:$BE$27,MATCH(ShopGenerator!$A$4,ReferenceTables!$AQ$1:$BE$1,0),0)</f>
        <v>1</v>
      </c>
    </row>
    <row r="70">
      <c r="A70" s="64" t="s">
        <v>270</v>
      </c>
      <c r="B70" s="62">
        <f t="shared" si="1"/>
        <v>1</v>
      </c>
      <c r="C70" s="61" t="s">
        <v>271</v>
      </c>
      <c r="D70" s="64" t="s">
        <v>222</v>
      </c>
      <c r="E70" s="62">
        <f t="shared" si="2"/>
        <v>0.62</v>
      </c>
      <c r="F70" s="62">
        <f t="shared" si="3"/>
        <v>0.5</v>
      </c>
      <c r="G70" s="62">
        <f t="shared" si="4"/>
        <v>0.81</v>
      </c>
      <c r="H70" s="63"/>
      <c r="I70" s="64" t="b">
        <v>0</v>
      </c>
      <c r="J70" s="64" t="b">
        <v>0</v>
      </c>
      <c r="K70" s="64" t="b">
        <v>1</v>
      </c>
      <c r="L70" s="64" t="b">
        <v>0</v>
      </c>
      <c r="M70" s="61" t="b">
        <v>0</v>
      </c>
      <c r="N70" s="61" t="b">
        <v>0</v>
      </c>
      <c r="O70" s="61" t="b">
        <v>0</v>
      </c>
      <c r="P70" s="61" t="b">
        <v>0</v>
      </c>
      <c r="Q70" s="61" t="b">
        <v>0</v>
      </c>
      <c r="R70" s="61" t="b">
        <v>1</v>
      </c>
      <c r="S70" s="61" t="b">
        <v>0</v>
      </c>
      <c r="T70" s="61" t="b">
        <v>0</v>
      </c>
      <c r="U70" s="61" t="b">
        <v>0</v>
      </c>
      <c r="V70" s="61" t="b">
        <v>1</v>
      </c>
      <c r="W70" s="61" t="b">
        <v>1</v>
      </c>
      <c r="X70" s="61" t="b">
        <v>0</v>
      </c>
      <c r="Y70" s="61" t="b">
        <v>0</v>
      </c>
      <c r="Z70" s="38">
        <f t="shared" si="8"/>
        <v>0.894201502</v>
      </c>
      <c r="AA70" s="65">
        <v>1.0</v>
      </c>
      <c r="AB70" s="66">
        <f>VLOOKUP(A70,ReferenceTables!$BI$2:$CA$254,MATCH(ShopGenerator!$A$2,ReferenceTables!$BI$1:$CA$1,0),0)</f>
        <v>1</v>
      </c>
      <c r="AC70" s="66">
        <f>VLOOKUP(D70,ReferenceTables!$AQ$2:$BE$27,MATCH(ShopGenerator!$A$4,ReferenceTables!$AQ$1:$BE$1,0),0)</f>
        <v>1</v>
      </c>
    </row>
    <row r="71">
      <c r="A71" s="70" t="s">
        <v>272</v>
      </c>
      <c r="B71" s="68">
        <f t="shared" si="1"/>
        <v>2</v>
      </c>
      <c r="C71" s="67" t="s">
        <v>273</v>
      </c>
      <c r="D71" s="70" t="s">
        <v>222</v>
      </c>
      <c r="E71" s="68">
        <f t="shared" si="2"/>
        <v>1.24</v>
      </c>
      <c r="F71" s="68">
        <f t="shared" si="3"/>
        <v>1</v>
      </c>
      <c r="G71" s="68">
        <f t="shared" si="4"/>
        <v>1.62</v>
      </c>
      <c r="H71" s="69"/>
      <c r="I71" s="70" t="b">
        <v>0</v>
      </c>
      <c r="J71" s="70" t="b">
        <v>0</v>
      </c>
      <c r="K71" s="70" t="b">
        <v>1</v>
      </c>
      <c r="L71" s="70" t="b">
        <v>0</v>
      </c>
      <c r="M71" s="67" t="b">
        <v>0</v>
      </c>
      <c r="N71" s="67" t="b">
        <v>0</v>
      </c>
      <c r="O71" s="67" t="b">
        <v>0</v>
      </c>
      <c r="P71" s="67" t="b">
        <v>0</v>
      </c>
      <c r="Q71" s="67" t="b">
        <v>1</v>
      </c>
      <c r="R71" s="67" t="b">
        <v>1</v>
      </c>
      <c r="S71" s="67" t="b">
        <v>0</v>
      </c>
      <c r="T71" s="67" t="b">
        <v>0</v>
      </c>
      <c r="U71" s="67" t="b">
        <v>0</v>
      </c>
      <c r="V71" s="67" t="b">
        <v>0</v>
      </c>
      <c r="W71" s="67" t="b">
        <v>1</v>
      </c>
      <c r="X71" s="67" t="b">
        <v>0</v>
      </c>
      <c r="Y71" s="67" t="b">
        <v>0</v>
      </c>
      <c r="Z71" s="38">
        <f t="shared" si="8"/>
        <v>0.1852033918</v>
      </c>
      <c r="AA71" s="71">
        <v>2.0</v>
      </c>
      <c r="AB71" s="72">
        <f>VLOOKUP(A71,ReferenceTables!$BI$2:$CA$254,MATCH(ShopGenerator!$A$2,ReferenceTables!$BI$1:$CA$1,0),0)</f>
        <v>1</v>
      </c>
      <c r="AC71" s="72">
        <f>VLOOKUP(D71,ReferenceTables!$AQ$2:$BE$27,MATCH(ShopGenerator!$A$4,ReferenceTables!$AQ$1:$BE$1,0),0)</f>
        <v>1</v>
      </c>
    </row>
    <row r="72">
      <c r="A72" s="64" t="s">
        <v>274</v>
      </c>
      <c r="B72" s="62">
        <f t="shared" si="1"/>
        <v>15</v>
      </c>
      <c r="C72" s="61" t="s">
        <v>275</v>
      </c>
      <c r="D72" s="64" t="s">
        <v>222</v>
      </c>
      <c r="E72" s="62">
        <f t="shared" si="2"/>
        <v>9.3</v>
      </c>
      <c r="F72" s="62">
        <f t="shared" si="3"/>
        <v>7.5</v>
      </c>
      <c r="G72" s="62">
        <f t="shared" si="4"/>
        <v>12.15</v>
      </c>
      <c r="H72" s="63"/>
      <c r="I72" s="64" t="b">
        <v>0</v>
      </c>
      <c r="J72" s="64" t="b">
        <v>0</v>
      </c>
      <c r="K72" s="64" t="b">
        <v>1</v>
      </c>
      <c r="L72" s="64" t="b">
        <v>0</v>
      </c>
      <c r="M72" s="61" t="b">
        <v>0</v>
      </c>
      <c r="N72" s="61" t="b">
        <v>0</v>
      </c>
      <c r="O72" s="61" t="b">
        <v>0</v>
      </c>
      <c r="P72" s="61" t="b">
        <v>0</v>
      </c>
      <c r="Q72" s="61" t="b">
        <v>1</v>
      </c>
      <c r="R72" s="61" t="b">
        <v>1</v>
      </c>
      <c r="S72" s="61" t="b">
        <v>0</v>
      </c>
      <c r="T72" s="61" t="b">
        <v>0</v>
      </c>
      <c r="U72" s="61" t="b">
        <v>0</v>
      </c>
      <c r="V72" s="61" t="b">
        <v>0</v>
      </c>
      <c r="W72" s="61" t="b">
        <v>1</v>
      </c>
      <c r="X72" s="61" t="b">
        <v>0</v>
      </c>
      <c r="Y72" s="61" t="b">
        <v>0</v>
      </c>
      <c r="Z72" s="38">
        <f t="shared" si="8"/>
        <v>0.851176906</v>
      </c>
      <c r="AA72" s="65">
        <v>15.0</v>
      </c>
      <c r="AB72" s="66">
        <f>VLOOKUP(A72,ReferenceTables!$BI$2:$CA$254,MATCH(ShopGenerator!$A$2,ReferenceTables!$BI$1:$CA$1,0),0)</f>
        <v>1</v>
      </c>
      <c r="AC72" s="66">
        <f>VLOOKUP(D72,ReferenceTables!$AQ$2:$BE$27,MATCH(ShopGenerator!$A$4,ReferenceTables!$AQ$1:$BE$1,0),0)</f>
        <v>1</v>
      </c>
    </row>
    <row r="73">
      <c r="A73" s="70" t="s">
        <v>276</v>
      </c>
      <c r="B73" s="68">
        <f t="shared" si="1"/>
        <v>0.05</v>
      </c>
      <c r="C73" s="67" t="s">
        <v>277</v>
      </c>
      <c r="D73" s="70" t="s">
        <v>222</v>
      </c>
      <c r="E73" s="68">
        <f t="shared" si="2"/>
        <v>0.031</v>
      </c>
      <c r="F73" s="68">
        <f t="shared" si="3"/>
        <v>0.025</v>
      </c>
      <c r="G73" s="68">
        <f t="shared" si="4"/>
        <v>0.0405</v>
      </c>
      <c r="H73" s="69"/>
      <c r="I73" s="70" t="b">
        <v>0</v>
      </c>
      <c r="J73" s="70" t="b">
        <v>0</v>
      </c>
      <c r="K73" s="70" t="b">
        <v>1</v>
      </c>
      <c r="L73" s="70" t="b">
        <v>1</v>
      </c>
      <c r="M73" s="67" t="b">
        <v>0</v>
      </c>
      <c r="N73" s="67" t="b">
        <v>0</v>
      </c>
      <c r="O73" s="67" t="b">
        <v>0</v>
      </c>
      <c r="P73" s="67" t="b">
        <v>0</v>
      </c>
      <c r="Q73" s="67" t="b">
        <v>0</v>
      </c>
      <c r="R73" s="67" t="b">
        <v>1</v>
      </c>
      <c r="S73" s="67" t="b">
        <v>1</v>
      </c>
      <c r="T73" s="67" t="b">
        <v>0</v>
      </c>
      <c r="U73" s="67" t="b">
        <v>0</v>
      </c>
      <c r="V73" s="67" t="b">
        <v>0</v>
      </c>
      <c r="W73" s="67" t="b">
        <v>1</v>
      </c>
      <c r="X73" s="67" t="b">
        <v>0</v>
      </c>
      <c r="Y73" s="67" t="b">
        <v>1</v>
      </c>
      <c r="Z73" s="38">
        <f t="shared" si="8"/>
        <v>0.3530270551</v>
      </c>
      <c r="AA73" s="71">
        <v>0.05</v>
      </c>
      <c r="AB73" s="72">
        <f>VLOOKUP(A73,ReferenceTables!$BI$2:$CA$254,MATCH(ShopGenerator!$A$2,ReferenceTables!$BI$1:$CA$1,0),0)</f>
        <v>1</v>
      </c>
      <c r="AC73" s="72">
        <f>VLOOKUP(D73,ReferenceTables!$AQ$2:$BE$27,MATCH(ShopGenerator!$A$4,ReferenceTables!$AQ$1:$BE$1,0),0)</f>
        <v>1</v>
      </c>
    </row>
    <row r="74">
      <c r="A74" s="61" t="s">
        <v>278</v>
      </c>
      <c r="B74" s="62">
        <f t="shared" si="1"/>
        <v>1</v>
      </c>
      <c r="C74" s="61" t="s">
        <v>211</v>
      </c>
      <c r="D74" s="61" t="s">
        <v>279</v>
      </c>
      <c r="E74" s="62">
        <f t="shared" si="2"/>
        <v>0.62</v>
      </c>
      <c r="F74" s="62">
        <f t="shared" si="3"/>
        <v>0.5</v>
      </c>
      <c r="G74" s="62">
        <f t="shared" si="4"/>
        <v>0.81</v>
      </c>
      <c r="H74" s="63"/>
      <c r="I74" s="64" t="b">
        <v>0</v>
      </c>
      <c r="J74" s="64" t="b">
        <v>0</v>
      </c>
      <c r="K74" s="61" t="b">
        <v>1</v>
      </c>
      <c r="L74" s="61" t="b">
        <v>1</v>
      </c>
      <c r="M74" s="61" t="b">
        <v>0</v>
      </c>
      <c r="N74" s="61" t="b">
        <v>0</v>
      </c>
      <c r="O74" s="61" t="b">
        <v>0</v>
      </c>
      <c r="P74" s="61" t="b">
        <v>0</v>
      </c>
      <c r="Q74" s="61" t="b">
        <v>1</v>
      </c>
      <c r="R74" s="61" t="b">
        <v>1</v>
      </c>
      <c r="S74" s="61" t="b">
        <v>1</v>
      </c>
      <c r="T74" s="61" t="b">
        <v>0</v>
      </c>
      <c r="U74" s="61" t="b">
        <v>0</v>
      </c>
      <c r="V74" s="61" t="b">
        <v>0</v>
      </c>
      <c r="W74" s="61" t="b">
        <v>1</v>
      </c>
      <c r="X74" s="61" t="b">
        <v>0</v>
      </c>
      <c r="Y74" s="61" t="b">
        <v>0</v>
      </c>
      <c r="Z74" s="38">
        <f t="shared" si="8"/>
        <v>0.452606104</v>
      </c>
      <c r="AA74" s="65">
        <v>0.2</v>
      </c>
      <c r="AB74" s="66">
        <f>VLOOKUP(A74,ReferenceTables!$BI$2:$CA$254,MATCH(ShopGenerator!$A$2,ReferenceTables!$BI$1:$CA$1,0),0)</f>
        <v>1</v>
      </c>
      <c r="AC74" s="66">
        <f>VLOOKUP(D74,ReferenceTables!$AQ$2:$BE$27,MATCH(ShopGenerator!$A$4,ReferenceTables!$AQ$1:$BE$1,0),0)</f>
        <v>5</v>
      </c>
    </row>
    <row r="75">
      <c r="A75" s="67" t="s">
        <v>280</v>
      </c>
      <c r="B75" s="68">
        <f t="shared" si="1"/>
        <v>0.2</v>
      </c>
      <c r="C75" s="67" t="s">
        <v>211</v>
      </c>
      <c r="D75" s="67" t="s">
        <v>279</v>
      </c>
      <c r="E75" s="68">
        <f t="shared" si="2"/>
        <v>0.124</v>
      </c>
      <c r="F75" s="68">
        <f t="shared" si="3"/>
        <v>0.1</v>
      </c>
      <c r="G75" s="68">
        <f t="shared" si="4"/>
        <v>0.162</v>
      </c>
      <c r="H75" s="69"/>
      <c r="I75" s="70" t="b">
        <v>0</v>
      </c>
      <c r="J75" s="70" t="b">
        <v>0</v>
      </c>
      <c r="K75" s="67" t="b">
        <v>0</v>
      </c>
      <c r="L75" s="67" t="b">
        <v>0</v>
      </c>
      <c r="M75" s="67" t="b">
        <v>0</v>
      </c>
      <c r="N75" s="67" t="b">
        <v>0</v>
      </c>
      <c r="O75" s="67" t="b">
        <v>0</v>
      </c>
      <c r="P75" s="67" t="b">
        <v>1</v>
      </c>
      <c r="Q75" s="67" t="b">
        <v>1</v>
      </c>
      <c r="R75" s="67" t="b">
        <v>1</v>
      </c>
      <c r="S75" s="67" t="b">
        <v>1</v>
      </c>
      <c r="T75" s="67" t="b">
        <v>0</v>
      </c>
      <c r="U75" s="67" t="b">
        <v>0</v>
      </c>
      <c r="V75" s="67" t="b">
        <v>0</v>
      </c>
      <c r="W75" s="67" t="b">
        <v>1</v>
      </c>
      <c r="X75" s="67" t="b">
        <v>0</v>
      </c>
      <c r="Y75" s="67" t="b">
        <v>0</v>
      </c>
      <c r="Z75" s="2">
        <v>0.1245498745</v>
      </c>
      <c r="AA75" s="71">
        <v>0.04</v>
      </c>
      <c r="AB75" s="72">
        <f>VLOOKUP(A75,ReferenceTables!$BI$2:$CA$254,MATCH(ShopGenerator!$A$2,ReferenceTables!$BI$1:$CA$1,0),0)</f>
        <v>1</v>
      </c>
      <c r="AC75" s="72">
        <f>VLOOKUP(D75,ReferenceTables!$AQ$2:$BE$27,MATCH(ShopGenerator!$A$4,ReferenceTables!$AQ$1:$BE$1,0),0)</f>
        <v>5</v>
      </c>
    </row>
    <row r="76">
      <c r="A76" s="61" t="s">
        <v>281</v>
      </c>
      <c r="B76" s="62">
        <f t="shared" si="1"/>
        <v>0.1</v>
      </c>
      <c r="C76" s="61" t="s">
        <v>282</v>
      </c>
      <c r="D76" s="61" t="s">
        <v>279</v>
      </c>
      <c r="E76" s="62">
        <f t="shared" si="2"/>
        <v>0.062</v>
      </c>
      <c r="F76" s="62">
        <f t="shared" si="3"/>
        <v>0.05</v>
      </c>
      <c r="G76" s="62">
        <f t="shared" si="4"/>
        <v>0.081</v>
      </c>
      <c r="H76" s="63"/>
      <c r="I76" s="64" t="b">
        <v>0</v>
      </c>
      <c r="J76" s="64" t="b">
        <v>0</v>
      </c>
      <c r="K76" s="61" t="b">
        <v>1</v>
      </c>
      <c r="L76" s="61" t="b">
        <v>1</v>
      </c>
      <c r="M76" s="61" t="b">
        <v>0</v>
      </c>
      <c r="N76" s="61" t="b">
        <v>1</v>
      </c>
      <c r="O76" s="61" t="b">
        <v>0</v>
      </c>
      <c r="P76" s="61" t="b">
        <v>1</v>
      </c>
      <c r="Q76" s="61" t="b">
        <v>1</v>
      </c>
      <c r="R76" s="61" t="b">
        <v>1</v>
      </c>
      <c r="S76" s="61" t="b">
        <v>1</v>
      </c>
      <c r="T76" s="61" t="b">
        <v>0</v>
      </c>
      <c r="U76" s="61" t="b">
        <v>0</v>
      </c>
      <c r="V76" s="61" t="b">
        <v>1</v>
      </c>
      <c r="W76" s="61" t="b">
        <v>1</v>
      </c>
      <c r="X76" s="61" t="b">
        <v>0</v>
      </c>
      <c r="Y76" s="61" t="b">
        <v>0</v>
      </c>
      <c r="Z76" s="38">
        <f t="shared" ref="Z76:Z141" si="9">RAND()</f>
        <v>0.8781134973</v>
      </c>
      <c r="AA76" s="65">
        <v>0.02</v>
      </c>
      <c r="AB76" s="66">
        <f>VLOOKUP(A76,ReferenceTables!$BI$2:$CA$254,MATCH(ShopGenerator!$A$2,ReferenceTables!$BI$1:$CA$1,0),0)</f>
        <v>1</v>
      </c>
      <c r="AC76" s="66">
        <f>VLOOKUP(D76,ReferenceTables!$AQ$2:$BE$27,MATCH(ShopGenerator!$A$4,ReferenceTables!$AQ$1:$BE$1,0),0)</f>
        <v>5</v>
      </c>
    </row>
    <row r="77">
      <c r="A77" s="67" t="s">
        <v>283</v>
      </c>
      <c r="B77" s="68">
        <f t="shared" si="1"/>
        <v>0.5</v>
      </c>
      <c r="C77" s="67" t="s">
        <v>284</v>
      </c>
      <c r="D77" s="67" t="s">
        <v>279</v>
      </c>
      <c r="E77" s="68">
        <f t="shared" si="2"/>
        <v>0.31</v>
      </c>
      <c r="F77" s="68">
        <f t="shared" si="3"/>
        <v>0.25</v>
      </c>
      <c r="G77" s="68">
        <f t="shared" si="4"/>
        <v>0.405</v>
      </c>
      <c r="H77" s="69"/>
      <c r="I77" s="70" t="b">
        <v>0</v>
      </c>
      <c r="J77" s="70" t="b">
        <v>0</v>
      </c>
      <c r="K77" s="67" t="b">
        <v>1</v>
      </c>
      <c r="L77" s="67" t="b">
        <v>1</v>
      </c>
      <c r="M77" s="67" t="b">
        <v>0</v>
      </c>
      <c r="N77" s="67" t="b">
        <v>1</v>
      </c>
      <c r="O77" s="67" t="b">
        <v>0</v>
      </c>
      <c r="P77" s="67" t="b">
        <v>0</v>
      </c>
      <c r="Q77" s="67" t="b">
        <v>1</v>
      </c>
      <c r="R77" s="67" t="b">
        <v>1</v>
      </c>
      <c r="S77" s="67" t="b">
        <v>1</v>
      </c>
      <c r="T77" s="67" t="b">
        <v>0</v>
      </c>
      <c r="U77" s="67" t="b">
        <v>1</v>
      </c>
      <c r="V77" s="67" t="b">
        <v>0</v>
      </c>
      <c r="W77" s="67" t="b">
        <v>1</v>
      </c>
      <c r="X77" s="67" t="b">
        <v>0</v>
      </c>
      <c r="Y77" s="67" t="b">
        <v>0</v>
      </c>
      <c r="Z77" s="38">
        <f t="shared" si="9"/>
        <v>0.4760567966</v>
      </c>
      <c r="AA77" s="71">
        <v>0.1</v>
      </c>
      <c r="AB77" s="72">
        <f>VLOOKUP(A77,ReferenceTables!$BI$2:$CA$254,MATCH(ShopGenerator!$A$2,ReferenceTables!$BI$1:$CA$1,0),0)</f>
        <v>1</v>
      </c>
      <c r="AC77" s="72">
        <f>VLOOKUP(D77,ReferenceTables!$AQ$2:$BE$27,MATCH(ShopGenerator!$A$4,ReferenceTables!$AQ$1:$BE$1,0),0)</f>
        <v>5</v>
      </c>
    </row>
    <row r="78">
      <c r="A78" s="61" t="s">
        <v>285</v>
      </c>
      <c r="B78" s="62">
        <f t="shared" si="1"/>
        <v>2.5</v>
      </c>
      <c r="C78" s="61" t="s">
        <v>182</v>
      </c>
      <c r="D78" s="61" t="s">
        <v>279</v>
      </c>
      <c r="E78" s="62">
        <f t="shared" si="2"/>
        <v>1.55</v>
      </c>
      <c r="F78" s="62">
        <f t="shared" si="3"/>
        <v>1.25</v>
      </c>
      <c r="G78" s="62">
        <f t="shared" si="4"/>
        <v>2.025</v>
      </c>
      <c r="H78" s="63"/>
      <c r="I78" s="64" t="b">
        <v>0</v>
      </c>
      <c r="J78" s="64" t="b">
        <v>0</v>
      </c>
      <c r="K78" s="61" t="b">
        <v>0</v>
      </c>
      <c r="L78" s="61" t="b">
        <v>0</v>
      </c>
      <c r="M78" s="61" t="b">
        <v>0</v>
      </c>
      <c r="N78" s="61" t="b">
        <v>0</v>
      </c>
      <c r="O78" s="61" t="b">
        <v>0</v>
      </c>
      <c r="P78" s="61" t="b">
        <v>0</v>
      </c>
      <c r="Q78" s="61" t="b">
        <v>1</v>
      </c>
      <c r="R78" s="61" t="b">
        <v>1</v>
      </c>
      <c r="S78" s="61" t="b">
        <v>0</v>
      </c>
      <c r="T78" s="61" t="b">
        <v>0</v>
      </c>
      <c r="U78" s="61" t="b">
        <v>0</v>
      </c>
      <c r="V78" s="61" t="b">
        <v>0</v>
      </c>
      <c r="W78" s="61" t="b">
        <v>1</v>
      </c>
      <c r="X78" s="61" t="b">
        <v>0</v>
      </c>
      <c r="Y78" s="61" t="b">
        <v>0</v>
      </c>
      <c r="Z78" s="38">
        <f t="shared" si="9"/>
        <v>0.1149593301</v>
      </c>
      <c r="AA78" s="65">
        <v>0.5</v>
      </c>
      <c r="AB78" s="66">
        <f>VLOOKUP(A78,ReferenceTables!$BI$2:$CA$254,MATCH(ShopGenerator!$A$2,ReferenceTables!$BI$1:$CA$1,0),0)</f>
        <v>1</v>
      </c>
      <c r="AC78" s="66">
        <f>VLOOKUP(D78,ReferenceTables!$AQ$2:$BE$27,MATCH(ShopGenerator!$A$4,ReferenceTables!$AQ$1:$BE$1,0),0)</f>
        <v>5</v>
      </c>
    </row>
    <row r="79">
      <c r="A79" s="67" t="s">
        <v>286</v>
      </c>
      <c r="B79" s="68">
        <f t="shared" si="1"/>
        <v>1.5</v>
      </c>
      <c r="C79" s="67" t="s">
        <v>182</v>
      </c>
      <c r="D79" s="67" t="s">
        <v>279</v>
      </c>
      <c r="E79" s="68">
        <f t="shared" si="2"/>
        <v>0.93</v>
      </c>
      <c r="F79" s="68">
        <f t="shared" si="3"/>
        <v>0.75</v>
      </c>
      <c r="G79" s="68">
        <f t="shared" si="4"/>
        <v>1.215</v>
      </c>
      <c r="H79" s="69"/>
      <c r="I79" s="70" t="b">
        <v>0</v>
      </c>
      <c r="J79" s="70" t="b">
        <v>0</v>
      </c>
      <c r="K79" s="67" t="b">
        <v>0</v>
      </c>
      <c r="L79" s="67" t="b">
        <v>0</v>
      </c>
      <c r="M79" s="67" t="b">
        <v>0</v>
      </c>
      <c r="N79" s="67" t="b">
        <v>0</v>
      </c>
      <c r="O79" s="67" t="b">
        <v>0</v>
      </c>
      <c r="P79" s="67" t="b">
        <v>1</v>
      </c>
      <c r="Q79" s="67" t="b">
        <v>1</v>
      </c>
      <c r="R79" s="67" t="b">
        <v>0</v>
      </c>
      <c r="S79" s="67" t="b">
        <v>0</v>
      </c>
      <c r="T79" s="67" t="b">
        <v>0</v>
      </c>
      <c r="U79" s="67" t="b">
        <v>0</v>
      </c>
      <c r="V79" s="67" t="b">
        <v>1</v>
      </c>
      <c r="W79" s="67" t="b">
        <v>1</v>
      </c>
      <c r="X79" s="67" t="b">
        <v>0</v>
      </c>
      <c r="Y79" s="67" t="b">
        <v>0</v>
      </c>
      <c r="Z79" s="38">
        <f t="shared" si="9"/>
        <v>0.6648252384</v>
      </c>
      <c r="AA79" s="71">
        <v>0.3</v>
      </c>
      <c r="AB79" s="72">
        <f>VLOOKUP(A79,ReferenceTables!$BI$2:$CA$254,MATCH(ShopGenerator!$A$2,ReferenceTables!$BI$1:$CA$1,0),0)</f>
        <v>1</v>
      </c>
      <c r="AC79" s="72">
        <f>VLOOKUP(D79,ReferenceTables!$AQ$2:$BE$27,MATCH(ShopGenerator!$A$4,ReferenceTables!$AQ$1:$BE$1,0),0)</f>
        <v>5</v>
      </c>
    </row>
    <row r="80">
      <c r="A80" s="61" t="s">
        <v>287</v>
      </c>
      <c r="B80" s="62">
        <f t="shared" si="1"/>
        <v>0.3</v>
      </c>
      <c r="C80" s="61" t="s">
        <v>182</v>
      </c>
      <c r="D80" s="61" t="s">
        <v>279</v>
      </c>
      <c r="E80" s="62">
        <f t="shared" si="2"/>
        <v>0.186</v>
      </c>
      <c r="F80" s="62">
        <f t="shared" si="3"/>
        <v>0.15</v>
      </c>
      <c r="G80" s="62">
        <f t="shared" si="4"/>
        <v>0.243</v>
      </c>
      <c r="H80" s="63"/>
      <c r="I80" s="64" t="b">
        <v>0</v>
      </c>
      <c r="J80" s="64" t="b">
        <v>0</v>
      </c>
      <c r="K80" s="61" t="b">
        <v>0</v>
      </c>
      <c r="L80" s="61" t="b">
        <v>0</v>
      </c>
      <c r="M80" s="61" t="b">
        <v>0</v>
      </c>
      <c r="N80" s="61" t="b">
        <v>0</v>
      </c>
      <c r="O80" s="61" t="b">
        <v>0</v>
      </c>
      <c r="P80" s="61" t="b">
        <v>1</v>
      </c>
      <c r="Q80" s="61" t="b">
        <v>0</v>
      </c>
      <c r="R80" s="61" t="b">
        <v>0</v>
      </c>
      <c r="S80" s="61" t="b">
        <v>0</v>
      </c>
      <c r="T80" s="61" t="b">
        <v>0</v>
      </c>
      <c r="U80" s="61" t="b">
        <v>1</v>
      </c>
      <c r="V80" s="61" t="b">
        <v>0</v>
      </c>
      <c r="W80" s="61" t="b">
        <v>1</v>
      </c>
      <c r="X80" s="61" t="b">
        <v>0</v>
      </c>
      <c r="Y80" s="61" t="b">
        <v>0</v>
      </c>
      <c r="Z80" s="38">
        <f t="shared" si="9"/>
        <v>0.1158953485</v>
      </c>
      <c r="AA80" s="65">
        <v>0.06</v>
      </c>
      <c r="AB80" s="66">
        <f>VLOOKUP(A80,ReferenceTables!$BI$2:$CA$254,MATCH(ShopGenerator!$A$2,ReferenceTables!$BI$1:$CA$1,0),0)</f>
        <v>1</v>
      </c>
      <c r="AC80" s="66">
        <f>VLOOKUP(D80,ReferenceTables!$AQ$2:$BE$27,MATCH(ShopGenerator!$A$4,ReferenceTables!$AQ$1:$BE$1,0),0)</f>
        <v>5</v>
      </c>
    </row>
    <row r="81">
      <c r="A81" s="67" t="s">
        <v>288</v>
      </c>
      <c r="B81" s="68">
        <f t="shared" si="1"/>
        <v>0.15</v>
      </c>
      <c r="C81" s="67" t="s">
        <v>182</v>
      </c>
      <c r="D81" s="67" t="s">
        <v>279</v>
      </c>
      <c r="E81" s="68">
        <f t="shared" si="2"/>
        <v>0.093</v>
      </c>
      <c r="F81" s="68">
        <f t="shared" si="3"/>
        <v>0.075</v>
      </c>
      <c r="G81" s="68">
        <f t="shared" si="4"/>
        <v>0.1215</v>
      </c>
      <c r="H81" s="69"/>
      <c r="I81" s="70" t="b">
        <v>0</v>
      </c>
      <c r="J81" s="70" t="b">
        <v>0</v>
      </c>
      <c r="K81" s="67" t="b">
        <v>0</v>
      </c>
      <c r="L81" s="67" t="b">
        <v>0</v>
      </c>
      <c r="M81" s="67" t="b">
        <v>0</v>
      </c>
      <c r="N81" s="67" t="b">
        <v>0</v>
      </c>
      <c r="O81" s="67" t="b">
        <v>0</v>
      </c>
      <c r="P81" s="67" t="b">
        <v>1</v>
      </c>
      <c r="Q81" s="67" t="b">
        <v>0</v>
      </c>
      <c r="R81" s="67" t="b">
        <v>0</v>
      </c>
      <c r="S81" s="67" t="b">
        <v>1</v>
      </c>
      <c r="T81" s="67" t="b">
        <v>0</v>
      </c>
      <c r="U81" s="67" t="b">
        <v>0</v>
      </c>
      <c r="V81" s="67" t="b">
        <v>0</v>
      </c>
      <c r="W81" s="67" t="b">
        <v>1</v>
      </c>
      <c r="X81" s="67" t="b">
        <v>0</v>
      </c>
      <c r="Y81" s="67" t="b">
        <v>0</v>
      </c>
      <c r="Z81" s="38">
        <f t="shared" si="9"/>
        <v>0.4462065816</v>
      </c>
      <c r="AA81" s="71">
        <v>0.03</v>
      </c>
      <c r="AB81" s="72">
        <f>VLOOKUP(A81,ReferenceTables!$BI$2:$CA$254,MATCH(ShopGenerator!$A$2,ReferenceTables!$BI$1:$CA$1,0),0)</f>
        <v>1</v>
      </c>
      <c r="AC81" s="72">
        <f>VLOOKUP(D81,ReferenceTables!$AQ$2:$BE$27,MATCH(ShopGenerator!$A$4,ReferenceTables!$AQ$1:$BE$1,0),0)</f>
        <v>5</v>
      </c>
    </row>
    <row r="82">
      <c r="A82" s="61" t="s">
        <v>289</v>
      </c>
      <c r="B82" s="62">
        <f t="shared" si="1"/>
        <v>1.5</v>
      </c>
      <c r="C82" s="61" t="s">
        <v>211</v>
      </c>
      <c r="D82" s="61" t="s">
        <v>279</v>
      </c>
      <c r="E82" s="62">
        <f t="shared" si="2"/>
        <v>0.93</v>
      </c>
      <c r="F82" s="62">
        <f t="shared" si="3"/>
        <v>0.75</v>
      </c>
      <c r="G82" s="62">
        <f t="shared" si="4"/>
        <v>1.215</v>
      </c>
      <c r="H82" s="63"/>
      <c r="I82" s="64" t="b">
        <v>0</v>
      </c>
      <c r="J82" s="64" t="b">
        <v>0</v>
      </c>
      <c r="K82" s="61" t="b">
        <v>0</v>
      </c>
      <c r="L82" s="61" t="b">
        <v>0</v>
      </c>
      <c r="M82" s="61" t="b">
        <v>0</v>
      </c>
      <c r="N82" s="61" t="b">
        <v>0</v>
      </c>
      <c r="O82" s="61" t="b">
        <v>0</v>
      </c>
      <c r="P82" s="61" t="b">
        <v>0</v>
      </c>
      <c r="Q82" s="61" t="b">
        <v>1</v>
      </c>
      <c r="R82" s="61" t="b">
        <v>0</v>
      </c>
      <c r="S82" s="61" t="b">
        <v>1</v>
      </c>
      <c r="T82" s="61" t="b">
        <v>0</v>
      </c>
      <c r="U82" s="61" t="b">
        <v>0</v>
      </c>
      <c r="V82" s="61" t="b">
        <v>0</v>
      </c>
      <c r="W82" s="61" t="b">
        <v>1</v>
      </c>
      <c r="X82" s="61" t="b">
        <v>0</v>
      </c>
      <c r="Y82" s="61" t="b">
        <v>0</v>
      </c>
      <c r="Z82" s="38">
        <f t="shared" si="9"/>
        <v>0.3505118926</v>
      </c>
      <c r="AA82" s="65">
        <v>0.3</v>
      </c>
      <c r="AB82" s="66">
        <f>VLOOKUP(A82,ReferenceTables!$BI$2:$CA$254,MATCH(ShopGenerator!$A$2,ReferenceTables!$BI$1:$CA$1,0),0)</f>
        <v>1</v>
      </c>
      <c r="AC82" s="66">
        <f>VLOOKUP(D82,ReferenceTables!$AQ$2:$BE$27,MATCH(ShopGenerator!$A$4,ReferenceTables!$AQ$1:$BE$1,0),0)</f>
        <v>5</v>
      </c>
    </row>
    <row r="83">
      <c r="A83" s="67" t="s">
        <v>290</v>
      </c>
      <c r="B83" s="68">
        <f t="shared" si="1"/>
        <v>2.5</v>
      </c>
      <c r="C83" s="67" t="s">
        <v>51</v>
      </c>
      <c r="D83" s="67" t="s">
        <v>279</v>
      </c>
      <c r="E83" s="68">
        <f t="shared" si="2"/>
        <v>1.55</v>
      </c>
      <c r="F83" s="68">
        <f t="shared" si="3"/>
        <v>1.25</v>
      </c>
      <c r="G83" s="68">
        <f t="shared" si="4"/>
        <v>2.025</v>
      </c>
      <c r="H83" s="69"/>
      <c r="I83" s="70" t="b">
        <v>0</v>
      </c>
      <c r="J83" s="70" t="b">
        <v>0</v>
      </c>
      <c r="K83" s="67" t="b">
        <v>1</v>
      </c>
      <c r="L83" s="67" t="b">
        <v>1</v>
      </c>
      <c r="M83" s="67" t="b">
        <v>0</v>
      </c>
      <c r="N83" s="67" t="b">
        <v>0</v>
      </c>
      <c r="O83" s="67" t="b">
        <v>0</v>
      </c>
      <c r="P83" s="67" t="b">
        <v>1</v>
      </c>
      <c r="Q83" s="67" t="b">
        <v>1</v>
      </c>
      <c r="R83" s="67" t="b">
        <v>0</v>
      </c>
      <c r="S83" s="67" t="b">
        <v>1</v>
      </c>
      <c r="T83" s="67" t="b">
        <v>0</v>
      </c>
      <c r="U83" s="67" t="b">
        <v>0</v>
      </c>
      <c r="V83" s="67" t="b">
        <v>0</v>
      </c>
      <c r="W83" s="67" t="b">
        <v>1</v>
      </c>
      <c r="X83" s="67" t="b">
        <v>0</v>
      </c>
      <c r="Y83" s="67" t="b">
        <v>0</v>
      </c>
      <c r="Z83" s="38">
        <f t="shared" si="9"/>
        <v>0.7762577171</v>
      </c>
      <c r="AA83" s="71">
        <v>0.5</v>
      </c>
      <c r="AB83" s="72">
        <f>VLOOKUP(A83,ReferenceTables!$BI$2:$CA$254,MATCH(ShopGenerator!$A$2,ReferenceTables!$BI$1:$CA$1,0),0)</f>
        <v>1</v>
      </c>
      <c r="AC83" s="72">
        <f>VLOOKUP(D83,ReferenceTables!$AQ$2:$BE$27,MATCH(ShopGenerator!$A$4,ReferenceTables!$AQ$1:$BE$1,0),0)</f>
        <v>5</v>
      </c>
    </row>
    <row r="84">
      <c r="A84" s="61" t="s">
        <v>291</v>
      </c>
      <c r="B84" s="62">
        <f t="shared" si="1"/>
        <v>1</v>
      </c>
      <c r="C84" s="61" t="s">
        <v>292</v>
      </c>
      <c r="D84" s="61" t="s">
        <v>279</v>
      </c>
      <c r="E84" s="62">
        <f t="shared" si="2"/>
        <v>0.62</v>
      </c>
      <c r="F84" s="62">
        <f t="shared" si="3"/>
        <v>0.5</v>
      </c>
      <c r="G84" s="62">
        <f t="shared" si="4"/>
        <v>0.81</v>
      </c>
      <c r="H84" s="63"/>
      <c r="I84" s="64" t="b">
        <v>0</v>
      </c>
      <c r="J84" s="64" t="b">
        <v>0</v>
      </c>
      <c r="K84" s="61" t="b">
        <v>0</v>
      </c>
      <c r="L84" s="61" t="b">
        <v>0</v>
      </c>
      <c r="M84" s="61" t="b">
        <v>0</v>
      </c>
      <c r="N84" s="61" t="b">
        <v>0</v>
      </c>
      <c r="O84" s="61" t="b">
        <v>0</v>
      </c>
      <c r="P84" s="61" t="b">
        <v>0</v>
      </c>
      <c r="Q84" s="61" t="b">
        <v>1</v>
      </c>
      <c r="R84" s="61" t="b">
        <v>0</v>
      </c>
      <c r="S84" s="61" t="b">
        <v>1</v>
      </c>
      <c r="T84" s="61" t="b">
        <v>0</v>
      </c>
      <c r="U84" s="61" t="b">
        <v>0</v>
      </c>
      <c r="V84" s="61" t="b">
        <v>0</v>
      </c>
      <c r="W84" s="61" t="b">
        <v>1</v>
      </c>
      <c r="X84" s="61" t="b">
        <v>0</v>
      </c>
      <c r="Y84" s="61" t="b">
        <v>0</v>
      </c>
      <c r="Z84" s="38">
        <f t="shared" si="9"/>
        <v>0.4971813829</v>
      </c>
      <c r="AA84" s="65">
        <v>0.2</v>
      </c>
      <c r="AB84" s="66">
        <f>VLOOKUP(A84,ReferenceTables!$BI$2:$CA$254,MATCH(ShopGenerator!$A$2,ReferenceTables!$BI$1:$CA$1,0),0)</f>
        <v>1</v>
      </c>
      <c r="AC84" s="66">
        <f>VLOOKUP(D84,ReferenceTables!$AQ$2:$BE$27,MATCH(ShopGenerator!$A$4,ReferenceTables!$AQ$1:$BE$1,0),0)</f>
        <v>5</v>
      </c>
    </row>
    <row r="85">
      <c r="A85" s="67" t="s">
        <v>293</v>
      </c>
      <c r="B85" s="68">
        <f t="shared" si="1"/>
        <v>2</v>
      </c>
      <c r="C85" s="67" t="s">
        <v>43</v>
      </c>
      <c r="D85" s="67" t="s">
        <v>294</v>
      </c>
      <c r="E85" s="68">
        <f t="shared" si="2"/>
        <v>1.24</v>
      </c>
      <c r="F85" s="68">
        <f t="shared" si="3"/>
        <v>1</v>
      </c>
      <c r="G85" s="68">
        <f t="shared" si="4"/>
        <v>1.62</v>
      </c>
      <c r="H85" s="69"/>
      <c r="I85" s="70" t="b">
        <v>0</v>
      </c>
      <c r="J85" s="70" t="b">
        <v>1</v>
      </c>
      <c r="K85" s="67" t="b">
        <v>0</v>
      </c>
      <c r="L85" s="67" t="b">
        <v>0</v>
      </c>
      <c r="M85" s="67" t="b">
        <v>0</v>
      </c>
      <c r="N85" s="67" t="b">
        <v>0</v>
      </c>
      <c r="O85" s="67" t="b">
        <v>0</v>
      </c>
      <c r="P85" s="67" t="b">
        <v>0</v>
      </c>
      <c r="Q85" s="67" t="b">
        <v>0</v>
      </c>
      <c r="R85" s="67" t="b">
        <v>0</v>
      </c>
      <c r="S85" s="67" t="b">
        <v>0</v>
      </c>
      <c r="T85" s="67" t="b">
        <v>1</v>
      </c>
      <c r="U85" s="67" t="b">
        <v>0</v>
      </c>
      <c r="V85" s="67" t="b">
        <v>0</v>
      </c>
      <c r="W85" s="67" t="b">
        <v>1</v>
      </c>
      <c r="X85" s="67" t="b">
        <v>0</v>
      </c>
      <c r="Y85" s="67" t="b">
        <v>0</v>
      </c>
      <c r="Z85" s="38">
        <f t="shared" si="9"/>
        <v>0.8424998134</v>
      </c>
      <c r="AA85" s="71">
        <v>2.0</v>
      </c>
      <c r="AB85" s="72">
        <f>VLOOKUP(A85,ReferenceTables!$BI$2:$CA$254,MATCH(ShopGenerator!$A$2,ReferenceTables!$BI$1:$CA$1,0),0)</f>
        <v>1</v>
      </c>
      <c r="AC85" s="72">
        <f>VLOOKUP(D85,ReferenceTables!$AQ$2:$BE$27,MATCH(ShopGenerator!$A$4,ReferenceTables!$AQ$1:$BE$1,0),0)</f>
        <v>1</v>
      </c>
    </row>
    <row r="86">
      <c r="A86" s="61" t="s">
        <v>295</v>
      </c>
      <c r="B86" s="62">
        <f t="shared" si="1"/>
        <v>0.05</v>
      </c>
      <c r="C86" s="61" t="s">
        <v>296</v>
      </c>
      <c r="D86" s="61" t="s">
        <v>294</v>
      </c>
      <c r="E86" s="62" t="s">
        <v>297</v>
      </c>
      <c r="F86" s="62" t="s">
        <v>297</v>
      </c>
      <c r="G86" s="62" t="s">
        <v>297</v>
      </c>
      <c r="H86" s="61" t="s">
        <v>298</v>
      </c>
      <c r="I86" s="64" t="b">
        <v>0</v>
      </c>
      <c r="J86" s="64" t="b">
        <v>0</v>
      </c>
      <c r="K86" s="61" t="b">
        <v>1</v>
      </c>
      <c r="L86" s="61" t="b">
        <v>1</v>
      </c>
      <c r="M86" s="61" t="b">
        <v>0</v>
      </c>
      <c r="N86" s="61" t="b">
        <v>0</v>
      </c>
      <c r="O86" s="61" t="b">
        <v>0</v>
      </c>
      <c r="P86" s="61" t="b">
        <v>0</v>
      </c>
      <c r="Q86" s="61" t="b">
        <v>0</v>
      </c>
      <c r="R86" s="61" t="b">
        <v>0</v>
      </c>
      <c r="S86" s="61" t="b">
        <v>0</v>
      </c>
      <c r="T86" s="61" t="b">
        <v>0</v>
      </c>
      <c r="U86" s="61" t="b">
        <v>0</v>
      </c>
      <c r="V86" s="61" t="b">
        <v>0</v>
      </c>
      <c r="W86" s="61" t="b">
        <v>1</v>
      </c>
      <c r="X86" s="61" t="b">
        <v>0</v>
      </c>
      <c r="Y86" s="61" t="b">
        <v>0</v>
      </c>
      <c r="Z86" s="38">
        <f t="shared" si="9"/>
        <v>0.1116130843</v>
      </c>
      <c r="AA86" s="65">
        <v>0.05</v>
      </c>
      <c r="AB86" s="66">
        <f>VLOOKUP(A86,ReferenceTables!$BI$2:$CA$254,MATCH(ShopGenerator!$A$2,ReferenceTables!$BI$1:$CA$1,0),0)</f>
        <v>1</v>
      </c>
      <c r="AC86" s="66">
        <f>VLOOKUP(D86,ReferenceTables!$AQ$2:$BE$27,MATCH(ShopGenerator!$A$4,ReferenceTables!$AQ$1:$BE$1,0),0)</f>
        <v>1</v>
      </c>
    </row>
    <row r="87">
      <c r="A87" s="67" t="s">
        <v>299</v>
      </c>
      <c r="B87" s="68">
        <f t="shared" si="1"/>
        <v>60</v>
      </c>
      <c r="C87" s="67" t="s">
        <v>300</v>
      </c>
      <c r="D87" s="67" t="s">
        <v>294</v>
      </c>
      <c r="E87" s="68">
        <f t="shared" ref="E87:E92" si="10">IF(B87&lt;22,B87*0.62,B87*0.82)</f>
        <v>49.2</v>
      </c>
      <c r="F87" s="68">
        <f t="shared" ref="F87:F91" si="11">B87/2</f>
        <v>30</v>
      </c>
      <c r="G87" s="68">
        <f t="shared" ref="G87:G91" si="12">B87-((B87-E87)/2)</f>
        <v>54.6</v>
      </c>
      <c r="H87" s="69"/>
      <c r="I87" s="70" t="b">
        <v>0</v>
      </c>
      <c r="J87" s="70" t="b">
        <v>0</v>
      </c>
      <c r="K87" s="67" t="b">
        <v>0</v>
      </c>
      <c r="L87" s="67" t="b">
        <v>0</v>
      </c>
      <c r="M87" s="67" t="b">
        <v>0</v>
      </c>
      <c r="N87" s="67" t="b">
        <v>0</v>
      </c>
      <c r="O87" s="67" t="b">
        <v>0</v>
      </c>
      <c r="P87" s="67" t="b">
        <v>0</v>
      </c>
      <c r="Q87" s="67" t="b">
        <v>0</v>
      </c>
      <c r="R87" s="67" t="b">
        <v>0</v>
      </c>
      <c r="S87" s="67" t="b">
        <v>0</v>
      </c>
      <c r="T87" s="67" t="b">
        <v>0</v>
      </c>
      <c r="U87" s="67" t="b">
        <v>0</v>
      </c>
      <c r="V87" s="67" t="b">
        <v>0</v>
      </c>
      <c r="W87" s="67" t="b">
        <v>1</v>
      </c>
      <c r="X87" s="67" t="b">
        <v>0</v>
      </c>
      <c r="Y87" s="67" t="b">
        <v>0</v>
      </c>
      <c r="Z87" s="38">
        <f t="shared" si="9"/>
        <v>0.275642132</v>
      </c>
      <c r="AA87" s="71">
        <v>60.0</v>
      </c>
      <c r="AB87" s="72">
        <f>VLOOKUP(A87,ReferenceTables!$BI$2:$CA$254,MATCH(ShopGenerator!$A$2,ReferenceTables!$BI$1:$CA$1,0),0)</f>
        <v>1</v>
      </c>
      <c r="AC87" s="72">
        <f>VLOOKUP(D87,ReferenceTables!$AQ$2:$BE$27,MATCH(ShopGenerator!$A$4,ReferenceTables!$AQ$1:$BE$1,0),0)</f>
        <v>1</v>
      </c>
    </row>
    <row r="88">
      <c r="A88" s="61" t="s">
        <v>301</v>
      </c>
      <c r="B88" s="62">
        <f t="shared" si="1"/>
        <v>20</v>
      </c>
      <c r="C88" s="61" t="s">
        <v>302</v>
      </c>
      <c r="D88" s="61" t="s">
        <v>294</v>
      </c>
      <c r="E88" s="62">
        <f t="shared" si="10"/>
        <v>12.4</v>
      </c>
      <c r="F88" s="62">
        <f t="shared" si="11"/>
        <v>10</v>
      </c>
      <c r="G88" s="62">
        <f t="shared" si="12"/>
        <v>16.2</v>
      </c>
      <c r="H88" s="63"/>
      <c r="I88" s="64" t="b">
        <v>0</v>
      </c>
      <c r="J88" s="64" t="b">
        <v>0</v>
      </c>
      <c r="K88" s="61" t="b">
        <v>0</v>
      </c>
      <c r="L88" s="61" t="b">
        <v>0</v>
      </c>
      <c r="M88" s="61" t="b">
        <v>0</v>
      </c>
      <c r="N88" s="61" t="b">
        <v>0</v>
      </c>
      <c r="O88" s="61" t="b">
        <v>0</v>
      </c>
      <c r="P88" s="61" t="b">
        <v>0</v>
      </c>
      <c r="Q88" s="61" t="b">
        <v>0</v>
      </c>
      <c r="R88" s="61" t="b">
        <v>0</v>
      </c>
      <c r="S88" s="61" t="b">
        <v>0</v>
      </c>
      <c r="T88" s="61" t="b">
        <v>0</v>
      </c>
      <c r="U88" s="61" t="b">
        <v>0</v>
      </c>
      <c r="V88" s="61" t="b">
        <v>0</v>
      </c>
      <c r="W88" s="61" t="b">
        <v>1</v>
      </c>
      <c r="X88" s="61" t="b">
        <v>0</v>
      </c>
      <c r="Y88" s="61" t="b">
        <v>0</v>
      </c>
      <c r="Z88" s="38">
        <f t="shared" si="9"/>
        <v>0.8067086346</v>
      </c>
      <c r="AA88" s="65">
        <v>20.0</v>
      </c>
      <c r="AB88" s="66">
        <f>VLOOKUP(A88,ReferenceTables!$BI$2:$CA$254,MATCH(ShopGenerator!$A$2,ReferenceTables!$BI$1:$CA$1,0),0)</f>
        <v>1</v>
      </c>
      <c r="AC88" s="66">
        <f>VLOOKUP(D88,ReferenceTables!$AQ$2:$BE$27,MATCH(ShopGenerator!$A$4,ReferenceTables!$AQ$1:$BE$1,0),0)</f>
        <v>1</v>
      </c>
    </row>
    <row r="89">
      <c r="A89" s="67" t="s">
        <v>303</v>
      </c>
      <c r="B89" s="68">
        <f t="shared" si="1"/>
        <v>5</v>
      </c>
      <c r="C89" s="67" t="s">
        <v>304</v>
      </c>
      <c r="D89" s="67" t="s">
        <v>294</v>
      </c>
      <c r="E89" s="68">
        <f t="shared" si="10"/>
        <v>3.1</v>
      </c>
      <c r="F89" s="68">
        <f t="shared" si="11"/>
        <v>2.5</v>
      </c>
      <c r="G89" s="68">
        <f t="shared" si="12"/>
        <v>4.05</v>
      </c>
      <c r="H89" s="69"/>
      <c r="I89" s="70" t="b">
        <v>0</v>
      </c>
      <c r="J89" s="70" t="b">
        <v>0</v>
      </c>
      <c r="K89" s="67" t="b">
        <v>0</v>
      </c>
      <c r="L89" s="67" t="b">
        <v>0</v>
      </c>
      <c r="M89" s="67" t="b">
        <v>0</v>
      </c>
      <c r="N89" s="67" t="b">
        <v>0</v>
      </c>
      <c r="O89" s="67" t="b">
        <v>0</v>
      </c>
      <c r="P89" s="67" t="b">
        <v>0</v>
      </c>
      <c r="Q89" s="67" t="b">
        <v>0</v>
      </c>
      <c r="R89" s="67" t="b">
        <v>0</v>
      </c>
      <c r="S89" s="67" t="b">
        <v>0</v>
      </c>
      <c r="T89" s="67" t="b">
        <v>0</v>
      </c>
      <c r="U89" s="67" t="b">
        <v>0</v>
      </c>
      <c r="V89" s="67" t="b">
        <v>0</v>
      </c>
      <c r="W89" s="67" t="b">
        <v>1</v>
      </c>
      <c r="X89" s="67" t="b">
        <v>0</v>
      </c>
      <c r="Y89" s="67" t="b">
        <v>0</v>
      </c>
      <c r="Z89" s="38">
        <f t="shared" si="9"/>
        <v>0.6972102336</v>
      </c>
      <c r="AA89" s="71">
        <v>5.0</v>
      </c>
      <c r="AB89" s="72">
        <f>VLOOKUP(A89,ReferenceTables!$BI$2:$CA$254,MATCH(ShopGenerator!$A$2,ReferenceTables!$BI$1:$CA$1,0),0)</f>
        <v>1</v>
      </c>
      <c r="AC89" s="72">
        <f>VLOOKUP(D89,ReferenceTables!$AQ$2:$BE$27,MATCH(ShopGenerator!$A$4,ReferenceTables!$AQ$1:$BE$1,0),0)</f>
        <v>1</v>
      </c>
    </row>
    <row r="90">
      <c r="A90" s="61" t="s">
        <v>305</v>
      </c>
      <c r="B90" s="62">
        <f t="shared" si="1"/>
        <v>10</v>
      </c>
      <c r="C90" s="61" t="s">
        <v>306</v>
      </c>
      <c r="D90" s="61" t="s">
        <v>294</v>
      </c>
      <c r="E90" s="62">
        <f t="shared" si="10"/>
        <v>6.2</v>
      </c>
      <c r="F90" s="62">
        <f t="shared" si="11"/>
        <v>5</v>
      </c>
      <c r="G90" s="62">
        <f t="shared" si="12"/>
        <v>8.1</v>
      </c>
      <c r="H90" s="63"/>
      <c r="I90" s="64" t="b">
        <v>0</v>
      </c>
      <c r="J90" s="64" t="b">
        <v>0</v>
      </c>
      <c r="K90" s="61" t="b">
        <v>0</v>
      </c>
      <c r="L90" s="61" t="b">
        <v>0</v>
      </c>
      <c r="M90" s="61" t="b">
        <v>0</v>
      </c>
      <c r="N90" s="61" t="b">
        <v>0</v>
      </c>
      <c r="O90" s="61" t="b">
        <v>0</v>
      </c>
      <c r="P90" s="61" t="b">
        <v>0</v>
      </c>
      <c r="Q90" s="61" t="b">
        <v>0</v>
      </c>
      <c r="R90" s="61" t="b">
        <v>0</v>
      </c>
      <c r="S90" s="61" t="b">
        <v>0</v>
      </c>
      <c r="T90" s="61" t="b">
        <v>1</v>
      </c>
      <c r="U90" s="61" t="b">
        <v>0</v>
      </c>
      <c r="V90" s="61" t="b">
        <v>0</v>
      </c>
      <c r="W90" s="61" t="b">
        <v>1</v>
      </c>
      <c r="X90" s="61" t="b">
        <v>0</v>
      </c>
      <c r="Y90" s="61" t="b">
        <v>0</v>
      </c>
      <c r="Z90" s="38">
        <f t="shared" si="9"/>
        <v>0.08584972727</v>
      </c>
      <c r="AA90" s="65">
        <v>10.0</v>
      </c>
      <c r="AB90" s="66">
        <f>VLOOKUP(A90,ReferenceTables!$BI$2:$CA$254,MATCH(ShopGenerator!$A$2,ReferenceTables!$BI$1:$CA$1,0),0)</f>
        <v>1</v>
      </c>
      <c r="AC90" s="66">
        <f>VLOOKUP(D90,ReferenceTables!$AQ$2:$BE$27,MATCH(ShopGenerator!$A$4,ReferenceTables!$AQ$1:$BE$1,0),0)</f>
        <v>1</v>
      </c>
    </row>
    <row r="91">
      <c r="A91" s="67" t="s">
        <v>307</v>
      </c>
      <c r="B91" s="68">
        <f t="shared" si="1"/>
        <v>4</v>
      </c>
      <c r="C91" s="67" t="s">
        <v>308</v>
      </c>
      <c r="D91" s="67" t="s">
        <v>294</v>
      </c>
      <c r="E91" s="68">
        <f t="shared" si="10"/>
        <v>2.48</v>
      </c>
      <c r="F91" s="68">
        <f t="shared" si="11"/>
        <v>2</v>
      </c>
      <c r="G91" s="68">
        <f t="shared" si="12"/>
        <v>3.24</v>
      </c>
      <c r="H91" s="69"/>
      <c r="I91" s="70" t="b">
        <v>0</v>
      </c>
      <c r="J91" s="70" t="b">
        <v>0</v>
      </c>
      <c r="K91" s="67" t="b">
        <v>1</v>
      </c>
      <c r="L91" s="67" t="b">
        <v>1</v>
      </c>
      <c r="M91" s="67" t="b">
        <v>0</v>
      </c>
      <c r="N91" s="67" t="b">
        <v>0</v>
      </c>
      <c r="O91" s="67" t="b">
        <v>0</v>
      </c>
      <c r="P91" s="67" t="b">
        <v>0</v>
      </c>
      <c r="Q91" s="67" t="b">
        <v>0</v>
      </c>
      <c r="R91" s="67" t="b">
        <v>0</v>
      </c>
      <c r="S91" s="67" t="b">
        <v>0</v>
      </c>
      <c r="T91" s="67" t="b">
        <v>1</v>
      </c>
      <c r="U91" s="67" t="b">
        <v>0</v>
      </c>
      <c r="V91" s="67" t="b">
        <v>0</v>
      </c>
      <c r="W91" s="67" t="b">
        <v>1</v>
      </c>
      <c r="X91" s="67" t="b">
        <v>0</v>
      </c>
      <c r="Y91" s="67" t="b">
        <v>0</v>
      </c>
      <c r="Z91" s="38">
        <f t="shared" si="9"/>
        <v>0.8824335241</v>
      </c>
      <c r="AA91" s="71">
        <v>4.0</v>
      </c>
      <c r="AB91" s="72">
        <f>VLOOKUP(A91,ReferenceTables!$BI$2:$CA$254,MATCH(ShopGenerator!$A$2,ReferenceTables!$BI$1:$CA$1,0),0)</f>
        <v>1</v>
      </c>
      <c r="AC91" s="72">
        <f>VLOOKUP(D91,ReferenceTables!$AQ$2:$BE$27,MATCH(ShopGenerator!$A$4,ReferenceTables!$AQ$1:$BE$1,0),0)</f>
        <v>1</v>
      </c>
    </row>
    <row r="92">
      <c r="A92" s="61" t="s">
        <v>309</v>
      </c>
      <c r="B92" s="62">
        <f t="shared" si="1"/>
        <v>0.5</v>
      </c>
      <c r="C92" s="61" t="s">
        <v>182</v>
      </c>
      <c r="D92" s="61" t="s">
        <v>294</v>
      </c>
      <c r="E92" s="62">
        <f t="shared" si="10"/>
        <v>0.31</v>
      </c>
      <c r="F92" s="62" t="s">
        <v>297</v>
      </c>
      <c r="G92" s="62" t="s">
        <v>297</v>
      </c>
      <c r="H92" s="61" t="s">
        <v>310</v>
      </c>
      <c r="I92" s="64" t="b">
        <v>0</v>
      </c>
      <c r="J92" s="64" t="b">
        <v>0</v>
      </c>
      <c r="K92" s="61" t="b">
        <v>0</v>
      </c>
      <c r="L92" s="61" t="b">
        <v>0</v>
      </c>
      <c r="M92" s="61" t="b">
        <v>0</v>
      </c>
      <c r="N92" s="61" t="b">
        <v>0</v>
      </c>
      <c r="O92" s="61" t="b">
        <v>1</v>
      </c>
      <c r="P92" s="61" t="b">
        <v>0</v>
      </c>
      <c r="Q92" s="61" t="b">
        <v>0</v>
      </c>
      <c r="R92" s="61" t="b">
        <v>0</v>
      </c>
      <c r="S92" s="61" t="b">
        <v>0</v>
      </c>
      <c r="T92" s="61" t="b">
        <v>0</v>
      </c>
      <c r="U92" s="61" t="b">
        <v>0</v>
      </c>
      <c r="V92" s="61" t="b">
        <v>0</v>
      </c>
      <c r="W92" s="61" t="b">
        <v>1</v>
      </c>
      <c r="X92" s="61" t="b">
        <v>0</v>
      </c>
      <c r="Y92" s="61" t="b">
        <v>0</v>
      </c>
      <c r="Z92" s="38">
        <f t="shared" si="9"/>
        <v>0.8114592549</v>
      </c>
      <c r="AA92" s="65">
        <v>0.5</v>
      </c>
      <c r="AB92" s="66">
        <f>VLOOKUP(A92,ReferenceTables!$BI$2:$CA$254,MATCH(ShopGenerator!$A$2,ReferenceTables!$BI$1:$CA$1,0),0)</f>
        <v>1</v>
      </c>
      <c r="AC92" s="66">
        <f>VLOOKUP(D92,ReferenceTables!$AQ$2:$BE$27,MATCH(ShopGenerator!$A$4,ReferenceTables!$AQ$1:$BE$1,0),0)</f>
        <v>1</v>
      </c>
    </row>
    <row r="93">
      <c r="A93" s="67" t="s">
        <v>311</v>
      </c>
      <c r="B93" s="68">
        <f t="shared" si="1"/>
        <v>0.02</v>
      </c>
      <c r="C93" s="67" t="s">
        <v>312</v>
      </c>
      <c r="D93" s="67" t="s">
        <v>313</v>
      </c>
      <c r="E93" s="68" t="s">
        <v>297</v>
      </c>
      <c r="F93" s="68" t="s">
        <v>297</v>
      </c>
      <c r="G93" s="68" t="s">
        <v>297</v>
      </c>
      <c r="H93" s="69"/>
      <c r="I93" s="70" t="b">
        <v>0</v>
      </c>
      <c r="J93" s="70" t="b">
        <v>0</v>
      </c>
      <c r="K93" s="67" t="b">
        <v>0</v>
      </c>
      <c r="L93" s="67" t="b">
        <v>0</v>
      </c>
      <c r="M93" s="67" t="b">
        <v>0</v>
      </c>
      <c r="N93" s="67" t="b">
        <v>0</v>
      </c>
      <c r="O93" s="67" t="b">
        <v>0</v>
      </c>
      <c r="P93" s="67" t="b">
        <v>0</v>
      </c>
      <c r="Q93" s="67" t="b">
        <v>1</v>
      </c>
      <c r="R93" s="67" t="b">
        <v>1</v>
      </c>
      <c r="S93" s="67" t="b">
        <v>0</v>
      </c>
      <c r="T93" s="67" t="b">
        <v>0</v>
      </c>
      <c r="U93" s="67" t="b">
        <v>0</v>
      </c>
      <c r="V93" s="67" t="b">
        <v>0</v>
      </c>
      <c r="W93" s="67" t="b">
        <v>1</v>
      </c>
      <c r="X93" s="67" t="b">
        <v>0</v>
      </c>
      <c r="Y93" s="67" t="b">
        <v>0</v>
      </c>
      <c r="Z93" s="38">
        <f t="shared" si="9"/>
        <v>0.645525621</v>
      </c>
      <c r="AA93" s="71">
        <v>0.02</v>
      </c>
      <c r="AB93" s="72">
        <f>VLOOKUP(A93,ReferenceTables!$BI$2:$CA$254,MATCH(ShopGenerator!$A$2,ReferenceTables!$BI$1:$CA$1,0),0)</f>
        <v>1</v>
      </c>
      <c r="AC93" s="72">
        <f>VLOOKUP(D93,ReferenceTables!$AQ$2:$BE$27,MATCH(ShopGenerator!$A$4,ReferenceTables!$AQ$1:$BE$1,0),0)</f>
        <v>1</v>
      </c>
    </row>
    <row r="94">
      <c r="A94" s="61" t="s">
        <v>314</v>
      </c>
      <c r="B94" s="62">
        <f t="shared" si="1"/>
        <v>2</v>
      </c>
      <c r="C94" s="61" t="s">
        <v>315</v>
      </c>
      <c r="D94" s="61" t="s">
        <v>313</v>
      </c>
      <c r="E94" s="62" t="s">
        <v>297</v>
      </c>
      <c r="F94" s="62" t="s">
        <v>297</v>
      </c>
      <c r="G94" s="62" t="s">
        <v>297</v>
      </c>
      <c r="H94" s="61" t="s">
        <v>316</v>
      </c>
      <c r="I94" s="64" t="b">
        <v>0</v>
      </c>
      <c r="J94" s="64" t="b">
        <v>0</v>
      </c>
      <c r="K94" s="61" t="b">
        <v>0</v>
      </c>
      <c r="L94" s="61" t="b">
        <v>0</v>
      </c>
      <c r="M94" s="61" t="b">
        <v>0</v>
      </c>
      <c r="N94" s="61" t="b">
        <v>0</v>
      </c>
      <c r="O94" s="61" t="b">
        <v>0</v>
      </c>
      <c r="P94" s="61" t="b">
        <v>0</v>
      </c>
      <c r="Q94" s="61" t="b">
        <v>1</v>
      </c>
      <c r="R94" s="61" t="b">
        <v>1</v>
      </c>
      <c r="S94" s="61" t="b">
        <v>1</v>
      </c>
      <c r="T94" s="61" t="b">
        <v>0</v>
      </c>
      <c r="U94" s="61" t="b">
        <v>0</v>
      </c>
      <c r="V94" s="61" t="b">
        <v>1</v>
      </c>
      <c r="W94" s="61" t="b">
        <v>1</v>
      </c>
      <c r="X94" s="61" t="b">
        <v>1</v>
      </c>
      <c r="Y94" s="61" t="b">
        <v>1</v>
      </c>
      <c r="Z94" s="38">
        <f t="shared" si="9"/>
        <v>0.3186808243</v>
      </c>
      <c r="AA94" s="65">
        <v>2.0</v>
      </c>
      <c r="AB94" s="66">
        <f>VLOOKUP(A94,ReferenceTables!$BI$2:$CA$254,MATCH(ShopGenerator!$A$2,ReferenceTables!$BI$1:$CA$1,0),0)</f>
        <v>1</v>
      </c>
      <c r="AC94" s="66">
        <f>VLOOKUP(D94,ReferenceTables!$AQ$2:$BE$27,MATCH(ShopGenerator!$A$4,ReferenceTables!$AQ$1:$BE$1,0),0)</f>
        <v>1</v>
      </c>
    </row>
    <row r="95">
      <c r="A95" s="67" t="s">
        <v>317</v>
      </c>
      <c r="B95" s="68">
        <f t="shared" si="1"/>
        <v>0.2</v>
      </c>
      <c r="C95" s="67" t="s">
        <v>315</v>
      </c>
      <c r="D95" s="67" t="s">
        <v>313</v>
      </c>
      <c r="E95" s="68" t="s">
        <v>297</v>
      </c>
      <c r="F95" s="68" t="s">
        <v>297</v>
      </c>
      <c r="G95" s="68" t="s">
        <v>297</v>
      </c>
      <c r="H95" s="67" t="s">
        <v>318</v>
      </c>
      <c r="I95" s="70" t="b">
        <v>0</v>
      </c>
      <c r="J95" s="70" t="b">
        <v>0</v>
      </c>
      <c r="K95" s="67" t="b">
        <v>0</v>
      </c>
      <c r="L95" s="67" t="b">
        <v>0</v>
      </c>
      <c r="M95" s="67" t="b">
        <v>0</v>
      </c>
      <c r="N95" s="67" t="b">
        <v>0</v>
      </c>
      <c r="O95" s="67" t="b">
        <v>0</v>
      </c>
      <c r="P95" s="67" t="b">
        <v>1</v>
      </c>
      <c r="Q95" s="67" t="b">
        <v>1</v>
      </c>
      <c r="R95" s="67" t="b">
        <v>1</v>
      </c>
      <c r="S95" s="67" t="b">
        <v>1</v>
      </c>
      <c r="T95" s="67" t="b">
        <v>0</v>
      </c>
      <c r="U95" s="67" t="b">
        <v>0</v>
      </c>
      <c r="V95" s="67" t="b">
        <v>0</v>
      </c>
      <c r="W95" s="67" t="b">
        <v>1</v>
      </c>
      <c r="X95" s="67" t="b">
        <v>1</v>
      </c>
      <c r="Y95" s="67" t="b">
        <v>0</v>
      </c>
      <c r="Z95" s="38">
        <f t="shared" si="9"/>
        <v>0.1843311491</v>
      </c>
      <c r="AA95" s="71">
        <v>0.2</v>
      </c>
      <c r="AB95" s="72">
        <f>VLOOKUP(A95,ReferenceTables!$BI$2:$CA$254,MATCH(ShopGenerator!$A$2,ReferenceTables!$BI$1:$CA$1,0),0)</f>
        <v>1</v>
      </c>
      <c r="AC95" s="72">
        <f>VLOOKUP(D95,ReferenceTables!$AQ$2:$BE$27,MATCH(ShopGenerator!$A$4,ReferenceTables!$AQ$1:$BE$1,0),0)</f>
        <v>1</v>
      </c>
    </row>
    <row r="96">
      <c r="A96" s="61" t="s">
        <v>319</v>
      </c>
      <c r="B96" s="62">
        <f t="shared" si="1"/>
        <v>1</v>
      </c>
      <c r="C96" s="61" t="s">
        <v>211</v>
      </c>
      <c r="D96" s="61" t="s">
        <v>320</v>
      </c>
      <c r="E96" s="62">
        <f t="shared" ref="E96:E141" si="13">IF(B96&lt;22,B96*0.62,B96*0.82)</f>
        <v>0.62</v>
      </c>
      <c r="F96" s="62">
        <f t="shared" ref="F96:F141" si="14">B96/2</f>
        <v>0.5</v>
      </c>
      <c r="G96" s="62">
        <f t="shared" ref="G96:G141" si="15">B96-((B96-E96)/2)</f>
        <v>0.81</v>
      </c>
      <c r="H96" s="63"/>
      <c r="I96" s="64" t="b">
        <v>0</v>
      </c>
      <c r="J96" s="64" t="b">
        <v>0</v>
      </c>
      <c r="K96" s="61" t="b">
        <v>1</v>
      </c>
      <c r="L96" s="61" t="b">
        <v>0</v>
      </c>
      <c r="M96" s="61" t="b">
        <v>0</v>
      </c>
      <c r="N96" s="61" t="b">
        <v>0</v>
      </c>
      <c r="O96" s="61" t="b">
        <v>0</v>
      </c>
      <c r="P96" s="61" t="b">
        <v>0</v>
      </c>
      <c r="Q96" s="61" t="b">
        <v>0</v>
      </c>
      <c r="R96" s="61" t="b">
        <v>1</v>
      </c>
      <c r="S96" s="61" t="b">
        <v>0</v>
      </c>
      <c r="T96" s="61" t="b">
        <v>0</v>
      </c>
      <c r="U96" s="61" t="b">
        <v>0</v>
      </c>
      <c r="V96" s="61" t="b">
        <v>0</v>
      </c>
      <c r="W96" s="61" t="b">
        <v>1</v>
      </c>
      <c r="X96" s="61" t="b">
        <v>0</v>
      </c>
      <c r="Y96" s="61" t="b">
        <v>0</v>
      </c>
      <c r="Z96" s="38">
        <f t="shared" si="9"/>
        <v>0.7098892576</v>
      </c>
      <c r="AA96" s="65">
        <v>1.0</v>
      </c>
      <c r="AB96" s="66">
        <f>VLOOKUP(A96,ReferenceTables!$BI$2:$CA$254,MATCH(ShopGenerator!$A$2,ReferenceTables!$BI$1:$CA$1,0),0)</f>
        <v>1</v>
      </c>
      <c r="AC96" s="66">
        <f>VLOOKUP(D96,ReferenceTables!$AQ$2:$BE$27,MATCH(ShopGenerator!$A$4,ReferenceTables!$AQ$1:$BE$1,0),0)</f>
        <v>1</v>
      </c>
    </row>
    <row r="97">
      <c r="A97" s="67" t="s">
        <v>321</v>
      </c>
      <c r="B97" s="68">
        <f t="shared" si="1"/>
        <v>1</v>
      </c>
      <c r="C97" s="67" t="s">
        <v>57</v>
      </c>
      <c r="D97" s="67" t="s">
        <v>320</v>
      </c>
      <c r="E97" s="68">
        <f t="shared" si="13"/>
        <v>0.62</v>
      </c>
      <c r="F97" s="68">
        <f t="shared" si="14"/>
        <v>0.5</v>
      </c>
      <c r="G97" s="68">
        <f t="shared" si="15"/>
        <v>0.81</v>
      </c>
      <c r="H97" s="67" t="s">
        <v>322</v>
      </c>
      <c r="I97" s="70" t="b">
        <v>0</v>
      </c>
      <c r="J97" s="70" t="b">
        <v>0</v>
      </c>
      <c r="K97" s="67" t="b">
        <v>1</v>
      </c>
      <c r="L97" s="67" t="b">
        <v>0</v>
      </c>
      <c r="M97" s="67" t="b">
        <v>0</v>
      </c>
      <c r="N97" s="67" t="b">
        <v>0</v>
      </c>
      <c r="O97" s="67" t="b">
        <v>0</v>
      </c>
      <c r="P97" s="67" t="b">
        <v>0</v>
      </c>
      <c r="Q97" s="67" t="b">
        <v>0</v>
      </c>
      <c r="R97" s="67" t="b">
        <v>0</v>
      </c>
      <c r="S97" s="67" t="b">
        <v>0</v>
      </c>
      <c r="T97" s="67" t="b">
        <v>0</v>
      </c>
      <c r="U97" s="67" t="b">
        <v>0</v>
      </c>
      <c r="V97" s="67" t="b">
        <v>0</v>
      </c>
      <c r="W97" s="67" t="b">
        <v>1</v>
      </c>
      <c r="X97" s="67" t="b">
        <v>0</v>
      </c>
      <c r="Y97" s="67" t="b">
        <v>0</v>
      </c>
      <c r="Z97" s="38">
        <f t="shared" si="9"/>
        <v>0.05809996859</v>
      </c>
      <c r="AA97" s="71">
        <v>1.0</v>
      </c>
      <c r="AB97" s="72">
        <f>VLOOKUP(A97,ReferenceTables!$BI$2:$CA$254,MATCH(ShopGenerator!$A$2,ReferenceTables!$BI$1:$CA$1,0),0)</f>
        <v>1</v>
      </c>
      <c r="AC97" s="72">
        <f>VLOOKUP(D97,ReferenceTables!$AQ$2:$BE$27,MATCH(ShopGenerator!$A$4,ReferenceTables!$AQ$1:$BE$1,0),0)</f>
        <v>1</v>
      </c>
    </row>
    <row r="98">
      <c r="A98" s="61" t="s">
        <v>323</v>
      </c>
      <c r="B98" s="62">
        <f t="shared" si="1"/>
        <v>25</v>
      </c>
      <c r="C98" s="61" t="s">
        <v>57</v>
      </c>
      <c r="D98" s="61" t="s">
        <v>320</v>
      </c>
      <c r="E98" s="62">
        <f t="shared" si="13"/>
        <v>20.5</v>
      </c>
      <c r="F98" s="62">
        <f t="shared" si="14"/>
        <v>12.5</v>
      </c>
      <c r="G98" s="62">
        <f t="shared" si="15"/>
        <v>22.75</v>
      </c>
      <c r="H98" s="63"/>
      <c r="I98" s="64" t="b">
        <v>0</v>
      </c>
      <c r="J98" s="64" t="b">
        <v>0</v>
      </c>
      <c r="K98" s="61" t="b">
        <v>0</v>
      </c>
      <c r="L98" s="61" t="b">
        <v>0</v>
      </c>
      <c r="M98" s="61" t="b">
        <v>1</v>
      </c>
      <c r="N98" s="61" t="b">
        <v>0</v>
      </c>
      <c r="O98" s="61" t="b">
        <v>0</v>
      </c>
      <c r="P98" s="61" t="b">
        <v>0</v>
      </c>
      <c r="Q98" s="61" t="b">
        <v>0</v>
      </c>
      <c r="R98" s="61" t="b">
        <v>0</v>
      </c>
      <c r="S98" s="61" t="b">
        <v>0</v>
      </c>
      <c r="T98" s="61" t="b">
        <v>0</v>
      </c>
      <c r="U98" s="61" t="b">
        <v>0</v>
      </c>
      <c r="V98" s="61" t="b">
        <v>1</v>
      </c>
      <c r="W98" s="61" t="b">
        <v>1</v>
      </c>
      <c r="X98" s="61" t="b">
        <v>0</v>
      </c>
      <c r="Y98" s="61" t="b">
        <v>0</v>
      </c>
      <c r="Z98" s="38">
        <f t="shared" si="9"/>
        <v>0.902170924</v>
      </c>
      <c r="AA98" s="65">
        <v>25.0</v>
      </c>
      <c r="AB98" s="66">
        <f>VLOOKUP(A98,ReferenceTables!$BI$2:$CA$254,MATCH(ShopGenerator!$A$2,ReferenceTables!$BI$1:$CA$1,0),0)</f>
        <v>1</v>
      </c>
      <c r="AC98" s="66">
        <f>VLOOKUP(D98,ReferenceTables!$AQ$2:$BE$27,MATCH(ShopGenerator!$A$4,ReferenceTables!$AQ$1:$BE$1,0),0)</f>
        <v>1</v>
      </c>
    </row>
    <row r="99">
      <c r="A99" s="67" t="s">
        <v>324</v>
      </c>
      <c r="B99" s="68">
        <f t="shared" si="1"/>
        <v>0.01</v>
      </c>
      <c r="C99" s="67" t="s">
        <v>211</v>
      </c>
      <c r="D99" s="67" t="s">
        <v>320</v>
      </c>
      <c r="E99" s="68">
        <f t="shared" si="13"/>
        <v>0.0062</v>
      </c>
      <c r="F99" s="68">
        <f t="shared" si="14"/>
        <v>0.005</v>
      </c>
      <c r="G99" s="68">
        <f t="shared" si="15"/>
        <v>0.0081</v>
      </c>
      <c r="H99" s="69"/>
      <c r="I99" s="70" t="b">
        <v>0</v>
      </c>
      <c r="J99" s="70" t="b">
        <v>0</v>
      </c>
      <c r="K99" s="67" t="b">
        <v>1</v>
      </c>
      <c r="L99" s="67" t="b">
        <v>1</v>
      </c>
      <c r="M99" s="67" t="b">
        <v>0</v>
      </c>
      <c r="N99" s="67" t="b">
        <v>1</v>
      </c>
      <c r="O99" s="67" t="b">
        <v>0</v>
      </c>
      <c r="P99" s="67" t="b">
        <v>0</v>
      </c>
      <c r="Q99" s="67" t="b">
        <v>0</v>
      </c>
      <c r="R99" s="67" t="b">
        <v>0</v>
      </c>
      <c r="S99" s="67" t="b">
        <v>0</v>
      </c>
      <c r="T99" s="67" t="b">
        <v>0</v>
      </c>
      <c r="U99" s="67" t="b">
        <v>0</v>
      </c>
      <c r="V99" s="67" t="b">
        <v>1</v>
      </c>
      <c r="W99" s="67" t="b">
        <v>1</v>
      </c>
      <c r="X99" s="67" t="b">
        <v>0</v>
      </c>
      <c r="Y99" s="67" t="b">
        <v>1</v>
      </c>
      <c r="Z99" s="38">
        <f t="shared" si="9"/>
        <v>0.04888951686</v>
      </c>
      <c r="AA99" s="71">
        <v>0.01</v>
      </c>
      <c r="AB99" s="72">
        <f>VLOOKUP(A99,ReferenceTables!$BI$2:$CA$254,MATCH(ShopGenerator!$A$2,ReferenceTables!$BI$1:$CA$1,0),0)</f>
        <v>1</v>
      </c>
      <c r="AC99" s="72">
        <f>VLOOKUP(D99,ReferenceTables!$AQ$2:$BE$27,MATCH(ShopGenerator!$A$4,ReferenceTables!$AQ$1:$BE$1,0),0)</f>
        <v>1</v>
      </c>
    </row>
    <row r="100">
      <c r="A100" s="61" t="s">
        <v>325</v>
      </c>
      <c r="B100" s="62">
        <f t="shared" si="1"/>
        <v>0.01</v>
      </c>
      <c r="C100" s="61" t="s">
        <v>211</v>
      </c>
      <c r="D100" s="61" t="s">
        <v>320</v>
      </c>
      <c r="E100" s="62">
        <f t="shared" si="13"/>
        <v>0.0062</v>
      </c>
      <c r="F100" s="62">
        <f t="shared" si="14"/>
        <v>0.005</v>
      </c>
      <c r="G100" s="62">
        <f t="shared" si="15"/>
        <v>0.0081</v>
      </c>
      <c r="H100" s="63"/>
      <c r="I100" s="64" t="b">
        <v>0</v>
      </c>
      <c r="J100" s="64" t="b">
        <v>0</v>
      </c>
      <c r="K100" s="61" t="b">
        <v>1</v>
      </c>
      <c r="L100" s="61" t="b">
        <v>1</v>
      </c>
      <c r="M100" s="61" t="b">
        <v>0</v>
      </c>
      <c r="N100" s="61" t="b">
        <v>0</v>
      </c>
      <c r="O100" s="61" t="b">
        <v>0</v>
      </c>
      <c r="P100" s="61" t="b">
        <v>0</v>
      </c>
      <c r="Q100" s="61" t="b">
        <v>0</v>
      </c>
      <c r="R100" s="61" t="b">
        <v>0</v>
      </c>
      <c r="S100" s="61" t="b">
        <v>0</v>
      </c>
      <c r="T100" s="61" t="b">
        <v>0</v>
      </c>
      <c r="U100" s="61" t="b">
        <v>0</v>
      </c>
      <c r="V100" s="61" t="b">
        <v>1</v>
      </c>
      <c r="W100" s="61" t="b">
        <v>1</v>
      </c>
      <c r="X100" s="61" t="b">
        <v>0</v>
      </c>
      <c r="Y100" s="61" t="b">
        <v>0</v>
      </c>
      <c r="Z100" s="38">
        <f t="shared" si="9"/>
        <v>0.5127190258</v>
      </c>
      <c r="AA100" s="65">
        <v>0.01</v>
      </c>
      <c r="AB100" s="66">
        <f>VLOOKUP(A100,ReferenceTables!$BI$2:$CA$254,MATCH(ShopGenerator!$A$2,ReferenceTables!$BI$1:$CA$1,0),0)</f>
        <v>1</v>
      </c>
      <c r="AC100" s="66">
        <f>VLOOKUP(D100,ReferenceTables!$AQ$2:$BE$27,MATCH(ShopGenerator!$A$4,ReferenceTables!$AQ$1:$BE$1,0),0)</f>
        <v>1</v>
      </c>
    </row>
    <row r="101">
      <c r="A101" s="67" t="s">
        <v>326</v>
      </c>
      <c r="B101" s="68">
        <f t="shared" si="1"/>
        <v>25</v>
      </c>
      <c r="C101" s="67" t="s">
        <v>43</v>
      </c>
      <c r="D101" s="67" t="s">
        <v>320</v>
      </c>
      <c r="E101" s="68">
        <f t="shared" si="13"/>
        <v>20.5</v>
      </c>
      <c r="F101" s="68">
        <f t="shared" si="14"/>
        <v>12.5</v>
      </c>
      <c r="G101" s="68">
        <f t="shared" si="15"/>
        <v>22.75</v>
      </c>
      <c r="H101" s="69"/>
      <c r="I101" s="70" t="b">
        <v>0</v>
      </c>
      <c r="J101" s="70" t="b">
        <v>0</v>
      </c>
      <c r="K101" s="67" t="b">
        <v>0</v>
      </c>
      <c r="L101" s="67" t="b">
        <v>0</v>
      </c>
      <c r="M101" s="67" t="b">
        <v>0</v>
      </c>
      <c r="N101" s="67" t="b">
        <v>0</v>
      </c>
      <c r="O101" s="67" t="b">
        <v>0</v>
      </c>
      <c r="P101" s="67" t="b">
        <v>0</v>
      </c>
      <c r="Q101" s="67" t="b">
        <v>0</v>
      </c>
      <c r="R101" s="67" t="b">
        <v>1</v>
      </c>
      <c r="S101" s="67" t="b">
        <v>0</v>
      </c>
      <c r="T101" s="67" t="b">
        <v>0</v>
      </c>
      <c r="U101" s="67" t="b">
        <v>0</v>
      </c>
      <c r="V101" s="67" t="b">
        <v>1</v>
      </c>
      <c r="W101" s="67" t="b">
        <v>1</v>
      </c>
      <c r="X101" s="67" t="b">
        <v>0</v>
      </c>
      <c r="Y101" s="67" t="b">
        <v>0</v>
      </c>
      <c r="Z101" s="38">
        <f t="shared" si="9"/>
        <v>0.7849230526</v>
      </c>
      <c r="AA101" s="71">
        <v>25.0</v>
      </c>
      <c r="AB101" s="72">
        <f>VLOOKUP(A101,ReferenceTables!$BI$2:$CA$254,MATCH(ShopGenerator!$A$2,ReferenceTables!$BI$1:$CA$1,0),0)</f>
        <v>1</v>
      </c>
      <c r="AC101" s="72">
        <f>VLOOKUP(D101,ReferenceTables!$AQ$2:$BE$27,MATCH(ShopGenerator!$A$4,ReferenceTables!$AQ$1:$BE$1,0),0)</f>
        <v>1</v>
      </c>
    </row>
    <row r="102">
      <c r="A102" s="61" t="s">
        <v>327</v>
      </c>
      <c r="B102" s="62">
        <f t="shared" si="1"/>
        <v>0.1</v>
      </c>
      <c r="C102" s="61" t="s">
        <v>43</v>
      </c>
      <c r="D102" s="61" t="s">
        <v>320</v>
      </c>
      <c r="E102" s="62">
        <f t="shared" si="13"/>
        <v>0.062</v>
      </c>
      <c r="F102" s="62">
        <f t="shared" si="14"/>
        <v>0.05</v>
      </c>
      <c r="G102" s="62">
        <f t="shared" si="15"/>
        <v>0.081</v>
      </c>
      <c r="H102" s="63"/>
      <c r="I102" s="64" t="b">
        <v>0</v>
      </c>
      <c r="J102" s="64" t="b">
        <v>0</v>
      </c>
      <c r="K102" s="61" t="b">
        <v>0</v>
      </c>
      <c r="L102" s="61" t="b">
        <v>0</v>
      </c>
      <c r="M102" s="61" t="b">
        <v>0</v>
      </c>
      <c r="N102" s="61" t="b">
        <v>0</v>
      </c>
      <c r="O102" s="61" t="b">
        <v>0</v>
      </c>
      <c r="P102" s="61" t="b">
        <v>0</v>
      </c>
      <c r="Q102" s="61" t="b">
        <v>0</v>
      </c>
      <c r="R102" s="61" t="b">
        <v>0</v>
      </c>
      <c r="S102" s="61" t="b">
        <v>0</v>
      </c>
      <c r="T102" s="61" t="b">
        <v>0</v>
      </c>
      <c r="U102" s="61" t="b">
        <v>0</v>
      </c>
      <c r="V102" s="61" t="b">
        <v>0</v>
      </c>
      <c r="W102" s="61" t="b">
        <v>1</v>
      </c>
      <c r="X102" s="61" t="b">
        <v>0</v>
      </c>
      <c r="Y102" s="61" t="b">
        <v>0</v>
      </c>
      <c r="Z102" s="38">
        <f t="shared" si="9"/>
        <v>0.8252194582</v>
      </c>
      <c r="AA102" s="65">
        <v>0.1</v>
      </c>
      <c r="AB102" s="66">
        <f>VLOOKUP(A102,ReferenceTables!$BI$2:$CA$254,MATCH(ShopGenerator!$A$2,ReferenceTables!$BI$1:$CA$1,0),0)</f>
        <v>1</v>
      </c>
      <c r="AC102" s="66">
        <f>VLOOKUP(D102,ReferenceTables!$AQ$2:$BE$27,MATCH(ShopGenerator!$A$4,ReferenceTables!$AQ$1:$BE$1,0),0)</f>
        <v>1</v>
      </c>
    </row>
    <row r="103">
      <c r="A103" s="67" t="s">
        <v>328</v>
      </c>
      <c r="B103" s="68">
        <f t="shared" si="1"/>
        <v>0.2</v>
      </c>
      <c r="C103" s="67" t="s">
        <v>211</v>
      </c>
      <c r="D103" s="67" t="s">
        <v>320</v>
      </c>
      <c r="E103" s="68">
        <f t="shared" si="13"/>
        <v>0.124</v>
      </c>
      <c r="F103" s="68">
        <f t="shared" si="14"/>
        <v>0.1</v>
      </c>
      <c r="G103" s="68">
        <f t="shared" si="15"/>
        <v>0.162</v>
      </c>
      <c r="H103" s="69"/>
      <c r="I103" s="70" t="b">
        <v>0</v>
      </c>
      <c r="J103" s="70" t="b">
        <v>0</v>
      </c>
      <c r="K103" s="67" t="b">
        <v>0</v>
      </c>
      <c r="L103" s="67" t="b">
        <v>0</v>
      </c>
      <c r="M103" s="67" t="b">
        <v>0</v>
      </c>
      <c r="N103" s="67" t="b">
        <v>0</v>
      </c>
      <c r="O103" s="67" t="b">
        <v>0</v>
      </c>
      <c r="P103" s="67" t="b">
        <v>0</v>
      </c>
      <c r="Q103" s="67" t="b">
        <v>0</v>
      </c>
      <c r="R103" s="67" t="b">
        <v>1</v>
      </c>
      <c r="S103" s="67" t="b">
        <v>0</v>
      </c>
      <c r="T103" s="67" t="b">
        <v>0</v>
      </c>
      <c r="U103" s="67" t="b">
        <v>0</v>
      </c>
      <c r="V103" s="67" t="b">
        <v>0</v>
      </c>
      <c r="W103" s="67" t="b">
        <v>1</v>
      </c>
      <c r="X103" s="67" t="b">
        <v>0</v>
      </c>
      <c r="Y103" s="67" t="b">
        <v>0</v>
      </c>
      <c r="Z103" s="38">
        <f t="shared" si="9"/>
        <v>0.4224021851</v>
      </c>
      <c r="AA103" s="71">
        <v>0.2</v>
      </c>
      <c r="AB103" s="72">
        <f>VLOOKUP(A103,ReferenceTables!$BI$2:$CA$254,MATCH(ShopGenerator!$A$2,ReferenceTables!$BI$1:$CA$1,0),0)</f>
        <v>1</v>
      </c>
      <c r="AC103" s="72">
        <f>VLOOKUP(D103,ReferenceTables!$AQ$2:$BE$27,MATCH(ShopGenerator!$A$4,ReferenceTables!$AQ$1:$BE$1,0),0)</f>
        <v>1</v>
      </c>
    </row>
    <row r="104">
      <c r="A104" s="61" t="s">
        <v>329</v>
      </c>
      <c r="B104" s="62">
        <f t="shared" si="1"/>
        <v>0.1</v>
      </c>
      <c r="C104" s="61" t="s">
        <v>211</v>
      </c>
      <c r="D104" s="61" t="s">
        <v>320</v>
      </c>
      <c r="E104" s="62">
        <f t="shared" si="13"/>
        <v>0.062</v>
      </c>
      <c r="F104" s="62">
        <f t="shared" si="14"/>
        <v>0.05</v>
      </c>
      <c r="G104" s="62">
        <f t="shared" si="15"/>
        <v>0.081</v>
      </c>
      <c r="H104" s="63"/>
      <c r="I104" s="64" t="b">
        <v>0</v>
      </c>
      <c r="J104" s="64" t="b">
        <v>0</v>
      </c>
      <c r="K104" s="61" t="b">
        <v>1</v>
      </c>
      <c r="L104" s="61" t="b">
        <v>0</v>
      </c>
      <c r="M104" s="61" t="b">
        <v>1</v>
      </c>
      <c r="N104" s="61" t="b">
        <v>0</v>
      </c>
      <c r="O104" s="61" t="b">
        <v>0</v>
      </c>
      <c r="P104" s="61" t="b">
        <v>0</v>
      </c>
      <c r="Q104" s="61" t="b">
        <v>1</v>
      </c>
      <c r="R104" s="61" t="b">
        <v>0</v>
      </c>
      <c r="S104" s="61" t="b">
        <v>0</v>
      </c>
      <c r="T104" s="61" t="b">
        <v>0</v>
      </c>
      <c r="U104" s="61" t="b">
        <v>0</v>
      </c>
      <c r="V104" s="61" t="b">
        <v>1</v>
      </c>
      <c r="W104" s="61" t="b">
        <v>1</v>
      </c>
      <c r="X104" s="61" t="b">
        <v>0</v>
      </c>
      <c r="Y104" s="61" t="b">
        <v>0</v>
      </c>
      <c r="Z104" s="38">
        <f t="shared" si="9"/>
        <v>0.5058283097</v>
      </c>
      <c r="AA104" s="65">
        <v>0.1</v>
      </c>
      <c r="AB104" s="66">
        <f>VLOOKUP(A104,ReferenceTables!$BI$2:$CA$254,MATCH(ShopGenerator!$A$2,ReferenceTables!$BI$1:$CA$1,0),0)</f>
        <v>1</v>
      </c>
      <c r="AC104" s="66">
        <f>VLOOKUP(D104,ReferenceTables!$AQ$2:$BE$27,MATCH(ShopGenerator!$A$4,ReferenceTables!$AQ$1:$BE$1,0),0)</f>
        <v>1</v>
      </c>
    </row>
    <row r="105">
      <c r="A105" s="67" t="s">
        <v>330</v>
      </c>
      <c r="B105" s="68">
        <f t="shared" si="1"/>
        <v>0.05</v>
      </c>
      <c r="C105" s="67" t="s">
        <v>231</v>
      </c>
      <c r="D105" s="67" t="s">
        <v>320</v>
      </c>
      <c r="E105" s="68">
        <f t="shared" si="13"/>
        <v>0.031</v>
      </c>
      <c r="F105" s="68">
        <f t="shared" si="14"/>
        <v>0.025</v>
      </c>
      <c r="G105" s="68">
        <f t="shared" si="15"/>
        <v>0.0405</v>
      </c>
      <c r="H105" s="69"/>
      <c r="I105" s="70" t="b">
        <v>1</v>
      </c>
      <c r="J105" s="70" t="b">
        <v>0</v>
      </c>
      <c r="K105" s="67" t="b">
        <v>1</v>
      </c>
      <c r="L105" s="67" t="b">
        <v>1</v>
      </c>
      <c r="M105" s="67" t="b">
        <v>0</v>
      </c>
      <c r="N105" s="67" t="b">
        <v>0</v>
      </c>
      <c r="O105" s="67" t="b">
        <v>0</v>
      </c>
      <c r="P105" s="67" t="b">
        <v>0</v>
      </c>
      <c r="Q105" s="67" t="b">
        <v>0</v>
      </c>
      <c r="R105" s="67" t="b">
        <v>0</v>
      </c>
      <c r="S105" s="67" t="b">
        <v>0</v>
      </c>
      <c r="T105" s="67" t="b">
        <v>0</v>
      </c>
      <c r="U105" s="67" t="b">
        <v>0</v>
      </c>
      <c r="V105" s="67" t="b">
        <v>0</v>
      </c>
      <c r="W105" s="67" t="b">
        <v>1</v>
      </c>
      <c r="X105" s="67" t="b">
        <v>0</v>
      </c>
      <c r="Y105" s="67" t="b">
        <v>0</v>
      </c>
      <c r="Z105" s="38">
        <f t="shared" si="9"/>
        <v>0.708170223</v>
      </c>
      <c r="AA105" s="71">
        <v>0.05</v>
      </c>
      <c r="AB105" s="72">
        <f>VLOOKUP(A105,ReferenceTables!$BI$2:$CA$254,MATCH(ShopGenerator!$A$2,ReferenceTables!$BI$1:$CA$1,0),0)</f>
        <v>1</v>
      </c>
      <c r="AC105" s="72">
        <f>VLOOKUP(D105,ReferenceTables!$AQ$2:$BE$27,MATCH(ShopGenerator!$A$4,ReferenceTables!$AQ$1:$BE$1,0),0)</f>
        <v>1</v>
      </c>
    </row>
    <row r="106">
      <c r="A106" s="61" t="s">
        <v>331</v>
      </c>
      <c r="B106" s="62">
        <f t="shared" si="1"/>
        <v>0.5</v>
      </c>
      <c r="C106" s="61" t="s">
        <v>211</v>
      </c>
      <c r="D106" s="61" t="s">
        <v>320</v>
      </c>
      <c r="E106" s="62">
        <f t="shared" si="13"/>
        <v>0.31</v>
      </c>
      <c r="F106" s="62">
        <f t="shared" si="14"/>
        <v>0.25</v>
      </c>
      <c r="G106" s="62">
        <f t="shared" si="15"/>
        <v>0.405</v>
      </c>
      <c r="H106" s="63"/>
      <c r="I106" s="64" t="b">
        <v>0</v>
      </c>
      <c r="J106" s="64" t="b">
        <v>0</v>
      </c>
      <c r="K106" s="61" t="b">
        <v>1</v>
      </c>
      <c r="L106" s="61" t="b">
        <v>1</v>
      </c>
      <c r="M106" s="61" t="b">
        <v>1</v>
      </c>
      <c r="N106" s="61" t="b">
        <v>0</v>
      </c>
      <c r="O106" s="61" t="b">
        <v>0</v>
      </c>
      <c r="P106" s="61" t="b">
        <v>0</v>
      </c>
      <c r="Q106" s="61" t="b">
        <v>1</v>
      </c>
      <c r="R106" s="61" t="b">
        <v>1</v>
      </c>
      <c r="S106" s="61" t="b">
        <v>0</v>
      </c>
      <c r="T106" s="61" t="b">
        <v>0</v>
      </c>
      <c r="U106" s="61" t="b">
        <v>0</v>
      </c>
      <c r="V106" s="61" t="b">
        <v>0</v>
      </c>
      <c r="W106" s="61" t="b">
        <v>1</v>
      </c>
      <c r="X106" s="61" t="b">
        <v>0</v>
      </c>
      <c r="Y106" s="61" t="b">
        <v>0</v>
      </c>
      <c r="Z106" s="38">
        <f t="shared" si="9"/>
        <v>0.7554585395</v>
      </c>
      <c r="AA106" s="65">
        <v>0.5</v>
      </c>
      <c r="AB106" s="66">
        <f>VLOOKUP(A106,ReferenceTables!$BI$2:$CA$254,MATCH(ShopGenerator!$A$2,ReferenceTables!$BI$1:$CA$1,0),0)</f>
        <v>1</v>
      </c>
      <c r="AC106" s="66">
        <f>VLOOKUP(D106,ReferenceTables!$AQ$2:$BE$27,MATCH(ShopGenerator!$A$4,ReferenceTables!$AQ$1:$BE$1,0),0)</f>
        <v>1</v>
      </c>
    </row>
    <row r="107">
      <c r="A107" s="67" t="s">
        <v>332</v>
      </c>
      <c r="B107" s="68">
        <f t="shared" si="1"/>
        <v>0.02</v>
      </c>
      <c r="C107" s="67" t="s">
        <v>211</v>
      </c>
      <c r="D107" s="67" t="s">
        <v>320</v>
      </c>
      <c r="E107" s="68">
        <f t="shared" si="13"/>
        <v>0.0124</v>
      </c>
      <c r="F107" s="68">
        <f t="shared" si="14"/>
        <v>0.01</v>
      </c>
      <c r="G107" s="68">
        <f t="shared" si="15"/>
        <v>0.0162</v>
      </c>
      <c r="H107" s="69"/>
      <c r="I107" s="70" t="b">
        <v>0</v>
      </c>
      <c r="J107" s="70" t="b">
        <v>0</v>
      </c>
      <c r="K107" s="67" t="b">
        <v>1</v>
      </c>
      <c r="L107" s="67" t="b">
        <v>1</v>
      </c>
      <c r="M107" s="67" t="b">
        <v>0</v>
      </c>
      <c r="N107" s="67" t="b">
        <v>0</v>
      </c>
      <c r="O107" s="67" t="b">
        <v>0</v>
      </c>
      <c r="P107" s="67" t="b">
        <v>0</v>
      </c>
      <c r="Q107" s="67" t="b">
        <v>1</v>
      </c>
      <c r="R107" s="67" t="b">
        <v>1</v>
      </c>
      <c r="S107" s="67" t="b">
        <v>0</v>
      </c>
      <c r="T107" s="67" t="b">
        <v>0</v>
      </c>
      <c r="U107" s="67" t="b">
        <v>0</v>
      </c>
      <c r="V107" s="67" t="b">
        <v>0</v>
      </c>
      <c r="W107" s="67" t="b">
        <v>1</v>
      </c>
      <c r="X107" s="67" t="b">
        <v>0</v>
      </c>
      <c r="Y107" s="67" t="b">
        <v>1</v>
      </c>
      <c r="Z107" s="38">
        <f t="shared" si="9"/>
        <v>0.02475594384</v>
      </c>
      <c r="AA107" s="71">
        <v>0.02</v>
      </c>
      <c r="AB107" s="72">
        <f>VLOOKUP(A107,ReferenceTables!$BI$2:$CA$254,MATCH(ShopGenerator!$A$2,ReferenceTables!$BI$1:$CA$1,0),0)</f>
        <v>1</v>
      </c>
      <c r="AC107" s="72">
        <f>VLOOKUP(D107,ReferenceTables!$AQ$2:$BE$27,MATCH(ShopGenerator!$A$4,ReferenceTables!$AQ$1:$BE$1,0),0)</f>
        <v>1</v>
      </c>
    </row>
    <row r="108">
      <c r="A108" s="61" t="s">
        <v>333</v>
      </c>
      <c r="B108" s="62">
        <f t="shared" si="1"/>
        <v>5</v>
      </c>
      <c r="C108" s="61" t="s">
        <v>211</v>
      </c>
      <c r="D108" s="61" t="s">
        <v>334</v>
      </c>
      <c r="E108" s="62">
        <f t="shared" si="13"/>
        <v>3.1</v>
      </c>
      <c r="F108" s="62">
        <f t="shared" si="14"/>
        <v>2.5</v>
      </c>
      <c r="G108" s="62">
        <f t="shared" si="15"/>
        <v>4.05</v>
      </c>
      <c r="H108" s="63"/>
      <c r="I108" s="64" t="b">
        <v>0</v>
      </c>
      <c r="J108" s="64" t="b">
        <v>0</v>
      </c>
      <c r="K108" s="61" t="b">
        <v>0</v>
      </c>
      <c r="L108" s="61" t="b">
        <v>0</v>
      </c>
      <c r="M108" s="61" t="b">
        <v>0</v>
      </c>
      <c r="N108" s="61" t="b">
        <v>0</v>
      </c>
      <c r="O108" s="61" t="b">
        <v>0</v>
      </c>
      <c r="P108" s="61" t="b">
        <v>0</v>
      </c>
      <c r="Q108" s="61" t="b">
        <v>0</v>
      </c>
      <c r="R108" s="61" t="b">
        <v>0</v>
      </c>
      <c r="S108" s="61" t="b">
        <v>0</v>
      </c>
      <c r="T108" s="61" t="b">
        <v>0</v>
      </c>
      <c r="U108" s="61" t="b">
        <v>0</v>
      </c>
      <c r="V108" s="61" t="b">
        <v>0</v>
      </c>
      <c r="W108" s="61" t="b">
        <v>1</v>
      </c>
      <c r="X108" s="61" t="b">
        <v>0</v>
      </c>
      <c r="Y108" s="61" t="b">
        <v>0</v>
      </c>
      <c r="Z108" s="38">
        <f t="shared" si="9"/>
        <v>0.4741195429</v>
      </c>
      <c r="AA108" s="65">
        <v>5.0</v>
      </c>
      <c r="AB108" s="66">
        <f>VLOOKUP(A108,ReferenceTables!$BI$2:$CA$254,MATCH(ShopGenerator!$A$2,ReferenceTables!$BI$1:$CA$1,0),0)</f>
        <v>1</v>
      </c>
      <c r="AC108" s="66">
        <f>VLOOKUP(D108,ReferenceTables!$AQ$2:$BE$27,MATCH(ShopGenerator!$A$4,ReferenceTables!$AQ$1:$BE$1,0),0)</f>
        <v>1</v>
      </c>
    </row>
    <row r="109">
      <c r="A109" s="67" t="s">
        <v>53</v>
      </c>
      <c r="B109" s="68">
        <f t="shared" si="1"/>
        <v>10</v>
      </c>
      <c r="C109" s="67" t="s">
        <v>51</v>
      </c>
      <c r="D109" s="67" t="s">
        <v>52</v>
      </c>
      <c r="E109" s="68">
        <f t="shared" si="13"/>
        <v>6.2</v>
      </c>
      <c r="F109" s="68">
        <f t="shared" si="14"/>
        <v>5</v>
      </c>
      <c r="G109" s="68">
        <f t="shared" si="15"/>
        <v>8.1</v>
      </c>
      <c r="H109" s="69"/>
      <c r="I109" s="70" t="b">
        <v>0</v>
      </c>
      <c r="J109" s="70" t="b">
        <v>1</v>
      </c>
      <c r="K109" s="67" t="b">
        <v>0</v>
      </c>
      <c r="L109" s="67" t="b">
        <v>0</v>
      </c>
      <c r="M109" s="67" t="b">
        <v>0</v>
      </c>
      <c r="N109" s="67" t="b">
        <v>1</v>
      </c>
      <c r="O109" s="67" t="b">
        <v>0</v>
      </c>
      <c r="P109" s="67" t="b">
        <v>0</v>
      </c>
      <c r="Q109" s="67" t="b">
        <v>0</v>
      </c>
      <c r="R109" s="67" t="b">
        <v>0</v>
      </c>
      <c r="S109" s="67" t="b">
        <v>0</v>
      </c>
      <c r="T109" s="67" t="b">
        <v>0</v>
      </c>
      <c r="U109" s="67" t="b">
        <v>0</v>
      </c>
      <c r="V109" s="67" t="b">
        <v>0</v>
      </c>
      <c r="W109" s="67" t="b">
        <v>1</v>
      </c>
      <c r="X109" s="67" t="b">
        <v>0</v>
      </c>
      <c r="Y109" s="67" t="b">
        <v>0</v>
      </c>
      <c r="Z109" s="38">
        <f t="shared" si="9"/>
        <v>0.2753272173</v>
      </c>
      <c r="AA109" s="71">
        <v>10.0</v>
      </c>
      <c r="AB109" s="72">
        <f>VLOOKUP(A109,ReferenceTables!$BI$2:$CA$254,MATCH(ShopGenerator!$A$2,ReferenceTables!$BI$1:$CA$1,0),0)</f>
        <v>1</v>
      </c>
      <c r="AC109" s="72">
        <f>VLOOKUP(D109,ReferenceTables!$AQ$2:$BE$27,MATCH(ShopGenerator!$A$4,ReferenceTables!$AQ$1:$BE$1,0),0)</f>
        <v>1</v>
      </c>
    </row>
    <row r="110">
      <c r="A110" s="61" t="s">
        <v>50</v>
      </c>
      <c r="B110" s="62">
        <f t="shared" si="1"/>
        <v>5</v>
      </c>
      <c r="C110" s="61" t="s">
        <v>51</v>
      </c>
      <c r="D110" s="61" t="s">
        <v>52</v>
      </c>
      <c r="E110" s="62">
        <f t="shared" si="13"/>
        <v>3.1</v>
      </c>
      <c r="F110" s="62">
        <f t="shared" si="14"/>
        <v>2.5</v>
      </c>
      <c r="G110" s="62">
        <f t="shared" si="15"/>
        <v>4.05</v>
      </c>
      <c r="H110" s="63"/>
      <c r="I110" s="64" t="b">
        <v>0</v>
      </c>
      <c r="J110" s="64" t="b">
        <v>1</v>
      </c>
      <c r="K110" s="61" t="b">
        <v>0</v>
      </c>
      <c r="L110" s="61" t="b">
        <v>0</v>
      </c>
      <c r="M110" s="61" t="b">
        <v>0</v>
      </c>
      <c r="N110" s="61" t="b">
        <v>0</v>
      </c>
      <c r="O110" s="61" t="b">
        <v>0</v>
      </c>
      <c r="P110" s="61" t="b">
        <v>0</v>
      </c>
      <c r="Q110" s="61" t="b">
        <v>0</v>
      </c>
      <c r="R110" s="61" t="b">
        <v>0</v>
      </c>
      <c r="S110" s="61" t="b">
        <v>0</v>
      </c>
      <c r="T110" s="61" t="b">
        <v>0</v>
      </c>
      <c r="U110" s="61" t="b">
        <v>0</v>
      </c>
      <c r="V110" s="61" t="b">
        <v>0</v>
      </c>
      <c r="W110" s="61" t="b">
        <v>1</v>
      </c>
      <c r="X110" s="61" t="b">
        <v>0</v>
      </c>
      <c r="Y110" s="61" t="b">
        <v>0</v>
      </c>
      <c r="Z110" s="38">
        <f t="shared" si="9"/>
        <v>0.2544362298</v>
      </c>
      <c r="AA110" s="65">
        <v>5.0</v>
      </c>
      <c r="AB110" s="66">
        <f>VLOOKUP(A110,ReferenceTables!$BI$2:$CA$254,MATCH(ShopGenerator!$A$2,ReferenceTables!$BI$1:$CA$1,0),0)</f>
        <v>1</v>
      </c>
      <c r="AC110" s="66">
        <f>VLOOKUP(D110,ReferenceTables!$AQ$2:$BE$27,MATCH(ShopGenerator!$A$4,ReferenceTables!$AQ$1:$BE$1,0),0)</f>
        <v>1</v>
      </c>
    </row>
    <row r="111">
      <c r="A111" s="67" t="s">
        <v>335</v>
      </c>
      <c r="B111" s="68">
        <f t="shared" si="1"/>
        <v>0.5</v>
      </c>
      <c r="C111" s="67" t="s">
        <v>43</v>
      </c>
      <c r="D111" s="67" t="s">
        <v>52</v>
      </c>
      <c r="E111" s="68">
        <f t="shared" si="13"/>
        <v>0.31</v>
      </c>
      <c r="F111" s="68">
        <f t="shared" si="14"/>
        <v>0.25</v>
      </c>
      <c r="G111" s="68">
        <f t="shared" si="15"/>
        <v>0.405</v>
      </c>
      <c r="H111" s="69"/>
      <c r="I111" s="70" t="b">
        <v>0</v>
      </c>
      <c r="J111" s="70" t="b">
        <v>1</v>
      </c>
      <c r="K111" s="67" t="b">
        <v>0</v>
      </c>
      <c r="L111" s="67" t="b">
        <v>0</v>
      </c>
      <c r="M111" s="67" t="b">
        <v>0</v>
      </c>
      <c r="N111" s="67" t="b">
        <v>0</v>
      </c>
      <c r="O111" s="67" t="b">
        <v>0</v>
      </c>
      <c r="P111" s="67" t="b">
        <v>0</v>
      </c>
      <c r="Q111" s="67" t="b">
        <v>0</v>
      </c>
      <c r="R111" s="67" t="b">
        <v>0</v>
      </c>
      <c r="S111" s="67" t="b">
        <v>0</v>
      </c>
      <c r="T111" s="67" t="b">
        <v>0</v>
      </c>
      <c r="U111" s="67" t="b">
        <v>0</v>
      </c>
      <c r="V111" s="67" t="b">
        <v>1</v>
      </c>
      <c r="W111" s="67" t="b">
        <v>1</v>
      </c>
      <c r="X111" s="67" t="b">
        <v>0</v>
      </c>
      <c r="Y111" s="67" t="b">
        <v>0</v>
      </c>
      <c r="Z111" s="38">
        <f t="shared" si="9"/>
        <v>0.7507107137</v>
      </c>
      <c r="AA111" s="71">
        <v>0.5</v>
      </c>
      <c r="AB111" s="72">
        <f>VLOOKUP(A111,ReferenceTables!$BI$2:$CA$254,MATCH(ShopGenerator!$A$2,ReferenceTables!$BI$1:$CA$1,0),0)</f>
        <v>1</v>
      </c>
      <c r="AC111" s="72">
        <f>VLOOKUP(D111,ReferenceTables!$AQ$2:$BE$27,MATCH(ShopGenerator!$A$4,ReferenceTables!$AQ$1:$BE$1,0),0)</f>
        <v>1</v>
      </c>
    </row>
    <row r="112">
      <c r="A112" s="61" t="s">
        <v>336</v>
      </c>
      <c r="B112" s="62">
        <f t="shared" si="1"/>
        <v>0.01</v>
      </c>
      <c r="C112" s="61" t="s">
        <v>43</v>
      </c>
      <c r="D112" s="61" t="s">
        <v>52</v>
      </c>
      <c r="E112" s="62">
        <f t="shared" si="13"/>
        <v>0.0062</v>
      </c>
      <c r="F112" s="62">
        <f t="shared" si="14"/>
        <v>0.005</v>
      </c>
      <c r="G112" s="62">
        <f t="shared" si="15"/>
        <v>0.0081</v>
      </c>
      <c r="H112" s="63"/>
      <c r="I112" s="64" t="b">
        <v>0</v>
      </c>
      <c r="J112" s="64" t="b">
        <v>0</v>
      </c>
      <c r="K112" s="61" t="b">
        <v>1</v>
      </c>
      <c r="L112" s="61" t="b">
        <v>1</v>
      </c>
      <c r="M112" s="61" t="b">
        <v>1</v>
      </c>
      <c r="N112" s="61" t="b">
        <v>0</v>
      </c>
      <c r="O112" s="61" t="b">
        <v>0</v>
      </c>
      <c r="P112" s="61" t="b">
        <v>0</v>
      </c>
      <c r="Q112" s="61" t="b">
        <v>0</v>
      </c>
      <c r="R112" s="61" t="b">
        <v>0</v>
      </c>
      <c r="S112" s="61" t="b">
        <v>0</v>
      </c>
      <c r="T112" s="61" t="b">
        <v>0</v>
      </c>
      <c r="U112" s="61" t="b">
        <v>0</v>
      </c>
      <c r="V112" s="61" t="b">
        <v>0</v>
      </c>
      <c r="W112" s="61" t="b">
        <v>1</v>
      </c>
      <c r="X112" s="61" t="b">
        <v>0</v>
      </c>
      <c r="Y112" s="61" t="b">
        <v>0</v>
      </c>
      <c r="Z112" s="38">
        <f t="shared" si="9"/>
        <v>0.5497830661</v>
      </c>
      <c r="AA112" s="65">
        <v>0.01</v>
      </c>
      <c r="AB112" s="66">
        <f>VLOOKUP(A112,ReferenceTables!$BI$2:$CA$254,MATCH(ShopGenerator!$A$2,ReferenceTables!$BI$1:$CA$1,0),0)</f>
        <v>1</v>
      </c>
      <c r="AC112" s="66">
        <f>VLOOKUP(D112,ReferenceTables!$AQ$2:$BE$27,MATCH(ShopGenerator!$A$4,ReferenceTables!$AQ$1:$BE$1,0),0)</f>
        <v>1</v>
      </c>
    </row>
    <row r="113">
      <c r="A113" s="67" t="s">
        <v>337</v>
      </c>
      <c r="B113" s="68">
        <f t="shared" si="1"/>
        <v>30</v>
      </c>
      <c r="C113" s="67" t="s">
        <v>338</v>
      </c>
      <c r="D113" s="67" t="s">
        <v>339</v>
      </c>
      <c r="E113" s="68">
        <f t="shared" si="13"/>
        <v>24.6</v>
      </c>
      <c r="F113" s="68">
        <f t="shared" si="14"/>
        <v>15</v>
      </c>
      <c r="G113" s="68">
        <f t="shared" si="15"/>
        <v>27.3</v>
      </c>
      <c r="H113" s="67" t="s">
        <v>340</v>
      </c>
      <c r="I113" s="70" t="b">
        <v>0</v>
      </c>
      <c r="J113" s="70" t="b">
        <v>0</v>
      </c>
      <c r="K113" s="70" t="b">
        <v>0</v>
      </c>
      <c r="L113" s="70" t="b">
        <v>0</v>
      </c>
      <c r="M113" s="67" t="b">
        <v>0</v>
      </c>
      <c r="N113" s="67" t="b">
        <v>0</v>
      </c>
      <c r="O113" s="67" t="b">
        <v>0</v>
      </c>
      <c r="P113" s="67" t="b">
        <v>0</v>
      </c>
      <c r="Q113" s="67" t="b">
        <v>0</v>
      </c>
      <c r="R113" s="67" t="b">
        <v>0</v>
      </c>
      <c r="S113" s="67" t="b">
        <v>0</v>
      </c>
      <c r="T113" s="67" t="b">
        <v>0</v>
      </c>
      <c r="U113" s="67" t="b">
        <v>0</v>
      </c>
      <c r="V113" s="67" t="b">
        <v>0</v>
      </c>
      <c r="W113" s="67" t="b">
        <v>1</v>
      </c>
      <c r="X113" s="67" t="b">
        <v>0</v>
      </c>
      <c r="Y113" s="67" t="b">
        <v>0</v>
      </c>
      <c r="Z113" s="38">
        <f t="shared" si="9"/>
        <v>0.06376800449</v>
      </c>
      <c r="AA113" s="71">
        <v>50.0</v>
      </c>
      <c r="AB113" s="72">
        <f>VLOOKUP(A113,ReferenceTables!$BI$2:$CA$254,MATCH(ShopGenerator!$A$2,ReferenceTables!$BI$1:$CA$1,0),0)</f>
        <v>1</v>
      </c>
      <c r="AC113" s="72">
        <f>VLOOKUP(D113,ReferenceTables!$AQ$2:$BE$27,MATCH(ShopGenerator!$A$4,ReferenceTables!$AQ$1:$BE$1,0),0)</f>
        <v>0.6</v>
      </c>
    </row>
    <row r="114">
      <c r="A114" s="64" t="s">
        <v>341</v>
      </c>
      <c r="B114" s="62">
        <f t="shared" si="1"/>
        <v>0.12</v>
      </c>
      <c r="C114" s="61" t="s">
        <v>342</v>
      </c>
      <c r="D114" s="64" t="s">
        <v>339</v>
      </c>
      <c r="E114" s="62">
        <f t="shared" si="13"/>
        <v>0.0744</v>
      </c>
      <c r="F114" s="62">
        <f t="shared" si="14"/>
        <v>0.06</v>
      </c>
      <c r="G114" s="62">
        <f t="shared" si="15"/>
        <v>0.0972</v>
      </c>
      <c r="H114" s="63"/>
      <c r="I114" s="64" t="b">
        <v>0</v>
      </c>
      <c r="J114" s="64" t="b">
        <v>0</v>
      </c>
      <c r="K114" s="64" t="b">
        <v>1</v>
      </c>
      <c r="L114" s="64" t="b">
        <v>0</v>
      </c>
      <c r="M114" s="61" t="b">
        <v>0</v>
      </c>
      <c r="N114" s="61" t="b">
        <v>0</v>
      </c>
      <c r="O114" s="61" t="b">
        <v>0</v>
      </c>
      <c r="P114" s="61" t="b">
        <v>0</v>
      </c>
      <c r="Q114" s="61" t="b">
        <v>0</v>
      </c>
      <c r="R114" s="61" t="b">
        <v>0</v>
      </c>
      <c r="S114" s="61" t="b">
        <v>0</v>
      </c>
      <c r="T114" s="61" t="b">
        <v>0</v>
      </c>
      <c r="U114" s="61" t="b">
        <v>1</v>
      </c>
      <c r="V114" s="61" t="b">
        <v>0</v>
      </c>
      <c r="W114" s="61" t="b">
        <v>1</v>
      </c>
      <c r="X114" s="61" t="b">
        <v>0</v>
      </c>
      <c r="Y114" s="61" t="b">
        <v>0</v>
      </c>
      <c r="Z114" s="38">
        <f t="shared" si="9"/>
        <v>0.8153985511</v>
      </c>
      <c r="AA114" s="65">
        <v>0.2</v>
      </c>
      <c r="AB114" s="66">
        <f>VLOOKUP(A114,ReferenceTables!$BI$2:$CA$254,MATCH(ShopGenerator!$A$2,ReferenceTables!$BI$1:$CA$1,0),0)</f>
        <v>1</v>
      </c>
      <c r="AC114" s="66">
        <f>VLOOKUP(D114,ReferenceTables!$AQ$2:$BE$27,MATCH(ShopGenerator!$A$4,ReferenceTables!$AQ$1:$BE$1,0),0)</f>
        <v>0.6</v>
      </c>
    </row>
    <row r="115">
      <c r="A115" s="70" t="s">
        <v>343</v>
      </c>
      <c r="B115" s="68">
        <f t="shared" si="1"/>
        <v>6</v>
      </c>
      <c r="C115" s="67" t="s">
        <v>344</v>
      </c>
      <c r="D115" s="70" t="s">
        <v>339</v>
      </c>
      <c r="E115" s="68">
        <f t="shared" si="13"/>
        <v>3.72</v>
      </c>
      <c r="F115" s="68">
        <f t="shared" si="14"/>
        <v>3</v>
      </c>
      <c r="G115" s="68">
        <f t="shared" si="15"/>
        <v>4.86</v>
      </c>
      <c r="H115" s="69"/>
      <c r="I115" s="70" t="b">
        <v>0</v>
      </c>
      <c r="J115" s="70" t="b">
        <v>0</v>
      </c>
      <c r="K115" s="70" t="b">
        <v>0</v>
      </c>
      <c r="L115" s="70" t="b">
        <v>0</v>
      </c>
      <c r="M115" s="67" t="b">
        <v>0</v>
      </c>
      <c r="N115" s="67" t="b">
        <v>0</v>
      </c>
      <c r="O115" s="67" t="b">
        <v>0</v>
      </c>
      <c r="P115" s="67" t="b">
        <v>0</v>
      </c>
      <c r="Q115" s="67" t="b">
        <v>0</v>
      </c>
      <c r="R115" s="67" t="b">
        <v>0</v>
      </c>
      <c r="S115" s="67" t="b">
        <v>0</v>
      </c>
      <c r="T115" s="67" t="b">
        <v>1</v>
      </c>
      <c r="U115" s="67" t="b">
        <v>1</v>
      </c>
      <c r="V115" s="67" t="b">
        <v>0</v>
      </c>
      <c r="W115" s="67" t="b">
        <v>1</v>
      </c>
      <c r="X115" s="67" t="b">
        <v>0</v>
      </c>
      <c r="Y115" s="67" t="b">
        <v>0</v>
      </c>
      <c r="Z115" s="38">
        <f t="shared" si="9"/>
        <v>0.2960680769</v>
      </c>
      <c r="AA115" s="71">
        <v>10.0</v>
      </c>
      <c r="AB115" s="72">
        <f>VLOOKUP(A115,ReferenceTables!$BI$2:$CA$254,MATCH(ShopGenerator!$A$2,ReferenceTables!$BI$1:$CA$1,0),0)</f>
        <v>1</v>
      </c>
      <c r="AC115" s="72">
        <f>VLOOKUP(D115,ReferenceTables!$AQ$2:$BE$27,MATCH(ShopGenerator!$A$4,ReferenceTables!$AQ$1:$BE$1,0),0)</f>
        <v>0.6</v>
      </c>
    </row>
    <row r="116">
      <c r="A116" s="61" t="s">
        <v>345</v>
      </c>
      <c r="B116" s="62">
        <f t="shared" si="1"/>
        <v>4.8</v>
      </c>
      <c r="C116" s="61" t="s">
        <v>346</v>
      </c>
      <c r="D116" s="61" t="s">
        <v>339</v>
      </c>
      <c r="E116" s="62">
        <f t="shared" si="13"/>
        <v>2.976</v>
      </c>
      <c r="F116" s="62">
        <f t="shared" si="14"/>
        <v>2.4</v>
      </c>
      <c r="G116" s="62">
        <f t="shared" si="15"/>
        <v>3.888</v>
      </c>
      <c r="H116" s="61" t="s">
        <v>347</v>
      </c>
      <c r="I116" s="64" t="b">
        <v>0</v>
      </c>
      <c r="J116" s="64" t="b">
        <v>0</v>
      </c>
      <c r="K116" s="64" t="b">
        <v>0</v>
      </c>
      <c r="L116" s="64" t="b">
        <v>0</v>
      </c>
      <c r="M116" s="61" t="b">
        <v>0</v>
      </c>
      <c r="N116" s="61" t="b">
        <v>0</v>
      </c>
      <c r="O116" s="61" t="b">
        <v>0</v>
      </c>
      <c r="P116" s="61" t="b">
        <v>0</v>
      </c>
      <c r="Q116" s="61" t="b">
        <v>0</v>
      </c>
      <c r="R116" s="61" t="b">
        <v>0</v>
      </c>
      <c r="S116" s="61" t="b">
        <v>0</v>
      </c>
      <c r="T116" s="61" t="b">
        <v>0</v>
      </c>
      <c r="U116" s="61" t="b">
        <v>1</v>
      </c>
      <c r="V116" s="61" t="b">
        <v>0</v>
      </c>
      <c r="W116" s="61" t="b">
        <v>1</v>
      </c>
      <c r="X116" s="61" t="b">
        <v>0</v>
      </c>
      <c r="Y116" s="61" t="b">
        <v>0</v>
      </c>
      <c r="Z116" s="38">
        <f t="shared" si="9"/>
        <v>0.3892188125</v>
      </c>
      <c r="AA116" s="65">
        <v>8.0</v>
      </c>
      <c r="AB116" s="66">
        <f>VLOOKUP(A116,ReferenceTables!$BI$2:$CA$254,MATCH(ShopGenerator!$A$2,ReferenceTables!$BI$1:$CA$1,0),0)</f>
        <v>1</v>
      </c>
      <c r="AC116" s="66">
        <f>VLOOKUP(D116,ReferenceTables!$AQ$2:$BE$27,MATCH(ShopGenerator!$A$4,ReferenceTables!$AQ$1:$BE$1,0),0)</f>
        <v>0.6</v>
      </c>
    </row>
    <row r="117">
      <c r="A117" s="70" t="s">
        <v>348</v>
      </c>
      <c r="B117" s="68">
        <f t="shared" si="1"/>
        <v>0.6</v>
      </c>
      <c r="C117" s="67" t="s">
        <v>349</v>
      </c>
      <c r="D117" s="70" t="s">
        <v>339</v>
      </c>
      <c r="E117" s="68">
        <f t="shared" si="13"/>
        <v>0.372</v>
      </c>
      <c r="F117" s="68">
        <f t="shared" si="14"/>
        <v>0.3</v>
      </c>
      <c r="G117" s="68">
        <f t="shared" si="15"/>
        <v>0.486</v>
      </c>
      <c r="H117" s="69"/>
      <c r="I117" s="70" t="b">
        <v>0</v>
      </c>
      <c r="J117" s="70" t="b">
        <v>0</v>
      </c>
      <c r="K117" s="70" t="b">
        <v>1</v>
      </c>
      <c r="L117" s="70" t="b">
        <v>0</v>
      </c>
      <c r="M117" s="67" t="b">
        <v>0</v>
      </c>
      <c r="N117" s="67" t="b">
        <v>0</v>
      </c>
      <c r="O117" s="67" t="b">
        <v>0</v>
      </c>
      <c r="P117" s="67" t="b">
        <v>0</v>
      </c>
      <c r="Q117" s="67" t="b">
        <v>0</v>
      </c>
      <c r="R117" s="67" t="b">
        <v>0</v>
      </c>
      <c r="S117" s="67" t="b">
        <v>0</v>
      </c>
      <c r="T117" s="67" t="b">
        <v>0</v>
      </c>
      <c r="U117" s="67" t="b">
        <v>1</v>
      </c>
      <c r="V117" s="67" t="b">
        <v>0</v>
      </c>
      <c r="W117" s="67" t="b">
        <v>1</v>
      </c>
      <c r="X117" s="67" t="b">
        <v>0</v>
      </c>
      <c r="Y117" s="67" t="b">
        <v>0</v>
      </c>
      <c r="Z117" s="38">
        <f t="shared" si="9"/>
        <v>0.2140969148</v>
      </c>
      <c r="AA117" s="71">
        <v>1.0</v>
      </c>
      <c r="AB117" s="72">
        <f>VLOOKUP(A117,ReferenceTables!$BI$2:$CA$254,MATCH(ShopGenerator!$A$2,ReferenceTables!$BI$1:$CA$1,0),0)</f>
        <v>1</v>
      </c>
      <c r="AC117" s="72">
        <f>VLOOKUP(D117,ReferenceTables!$AQ$2:$BE$27,MATCH(ShopGenerator!$A$4,ReferenceTables!$AQ$1:$BE$1,0),0)</f>
        <v>0.6</v>
      </c>
    </row>
    <row r="118">
      <c r="A118" s="64" t="s">
        <v>350</v>
      </c>
      <c r="B118" s="62">
        <f t="shared" si="1"/>
        <v>9</v>
      </c>
      <c r="C118" s="61" t="s">
        <v>351</v>
      </c>
      <c r="D118" s="64" t="s">
        <v>339</v>
      </c>
      <c r="E118" s="62">
        <f t="shared" si="13"/>
        <v>5.58</v>
      </c>
      <c r="F118" s="62">
        <f t="shared" si="14"/>
        <v>4.5</v>
      </c>
      <c r="G118" s="62">
        <f t="shared" si="15"/>
        <v>7.29</v>
      </c>
      <c r="H118" s="63"/>
      <c r="I118" s="64" t="b">
        <v>0</v>
      </c>
      <c r="J118" s="64" t="b">
        <v>0</v>
      </c>
      <c r="K118" s="64" t="b">
        <v>0</v>
      </c>
      <c r="L118" s="64" t="b">
        <v>0</v>
      </c>
      <c r="M118" s="61" t="b">
        <v>0</v>
      </c>
      <c r="N118" s="61" t="b">
        <v>0</v>
      </c>
      <c r="O118" s="61" t="b">
        <v>0</v>
      </c>
      <c r="P118" s="61" t="b">
        <v>0</v>
      </c>
      <c r="Q118" s="61" t="b">
        <v>0</v>
      </c>
      <c r="R118" s="61" t="b">
        <v>0</v>
      </c>
      <c r="S118" s="61" t="b">
        <v>0</v>
      </c>
      <c r="T118" s="61" t="b">
        <v>0</v>
      </c>
      <c r="U118" s="61" t="b">
        <v>1</v>
      </c>
      <c r="V118" s="61" t="b">
        <v>0</v>
      </c>
      <c r="W118" s="61" t="b">
        <v>1</v>
      </c>
      <c r="X118" s="61" t="b">
        <v>0</v>
      </c>
      <c r="Y118" s="61" t="b">
        <v>0</v>
      </c>
      <c r="Z118" s="38">
        <f t="shared" si="9"/>
        <v>0.1569277178</v>
      </c>
      <c r="AA118" s="65">
        <v>15.0</v>
      </c>
      <c r="AB118" s="66">
        <f>VLOOKUP(A118,ReferenceTables!$BI$2:$CA$254,MATCH(ShopGenerator!$A$2,ReferenceTables!$BI$1:$CA$1,0),0)</f>
        <v>1</v>
      </c>
      <c r="AC118" s="66">
        <f>VLOOKUP(D118,ReferenceTables!$AQ$2:$BE$27,MATCH(ShopGenerator!$A$4,ReferenceTables!$AQ$1:$BE$1,0),0)</f>
        <v>0.6</v>
      </c>
    </row>
    <row r="119">
      <c r="A119" s="70" t="s">
        <v>352</v>
      </c>
      <c r="B119" s="68">
        <f t="shared" si="1"/>
        <v>1.8</v>
      </c>
      <c r="C119" s="67" t="s">
        <v>353</v>
      </c>
      <c r="D119" s="70" t="s">
        <v>339</v>
      </c>
      <c r="E119" s="68">
        <f t="shared" si="13"/>
        <v>1.116</v>
      </c>
      <c r="F119" s="68">
        <f t="shared" si="14"/>
        <v>0.9</v>
      </c>
      <c r="G119" s="68">
        <f t="shared" si="15"/>
        <v>1.458</v>
      </c>
      <c r="H119" s="69"/>
      <c r="I119" s="70" t="b">
        <v>0</v>
      </c>
      <c r="J119" s="70" t="b">
        <v>0</v>
      </c>
      <c r="K119" s="70" t="b">
        <v>0</v>
      </c>
      <c r="L119" s="70" t="b">
        <v>0</v>
      </c>
      <c r="M119" s="67" t="b">
        <v>0</v>
      </c>
      <c r="N119" s="67" t="b">
        <v>0</v>
      </c>
      <c r="O119" s="67" t="b">
        <v>0</v>
      </c>
      <c r="P119" s="67" t="b">
        <v>0</v>
      </c>
      <c r="Q119" s="67" t="b">
        <v>0</v>
      </c>
      <c r="R119" s="67" t="b">
        <v>0</v>
      </c>
      <c r="S119" s="67" t="b">
        <v>0</v>
      </c>
      <c r="T119" s="67" t="b">
        <v>0</v>
      </c>
      <c r="U119" s="67" t="b">
        <v>1</v>
      </c>
      <c r="V119" s="67" t="b">
        <v>0</v>
      </c>
      <c r="W119" s="67" t="b">
        <v>1</v>
      </c>
      <c r="X119" s="67" t="b">
        <v>0</v>
      </c>
      <c r="Y119" s="67" t="b">
        <v>0</v>
      </c>
      <c r="Z119" s="38">
        <f t="shared" si="9"/>
        <v>0.6414497255</v>
      </c>
      <c r="AA119" s="71">
        <v>3.0</v>
      </c>
      <c r="AB119" s="72">
        <f>VLOOKUP(A119,ReferenceTables!$BI$2:$CA$254,MATCH(ShopGenerator!$A$2,ReferenceTables!$BI$1:$CA$1,0),0)</f>
        <v>1</v>
      </c>
      <c r="AC119" s="72">
        <f>VLOOKUP(D119,ReferenceTables!$AQ$2:$BE$27,MATCH(ShopGenerator!$A$4,ReferenceTables!$AQ$1:$BE$1,0),0)</f>
        <v>0.6</v>
      </c>
    </row>
    <row r="120">
      <c r="A120" s="64" t="s">
        <v>354</v>
      </c>
      <c r="B120" s="62">
        <f t="shared" si="1"/>
        <v>1.2</v>
      </c>
      <c r="C120" s="61" t="s">
        <v>355</v>
      </c>
      <c r="D120" s="64" t="s">
        <v>339</v>
      </c>
      <c r="E120" s="62">
        <f t="shared" si="13"/>
        <v>0.744</v>
      </c>
      <c r="F120" s="62">
        <f t="shared" si="14"/>
        <v>0.6</v>
      </c>
      <c r="G120" s="62">
        <f t="shared" si="15"/>
        <v>0.972</v>
      </c>
      <c r="H120" s="63"/>
      <c r="I120" s="64" t="b">
        <v>0</v>
      </c>
      <c r="J120" s="64" t="b">
        <v>0</v>
      </c>
      <c r="K120" s="64" t="b">
        <v>0</v>
      </c>
      <c r="L120" s="64" t="b">
        <v>0</v>
      </c>
      <c r="M120" s="61" t="b">
        <v>0</v>
      </c>
      <c r="N120" s="61" t="b">
        <v>0</v>
      </c>
      <c r="O120" s="61" t="b">
        <v>0</v>
      </c>
      <c r="P120" s="61" t="b">
        <v>0</v>
      </c>
      <c r="Q120" s="61" t="b">
        <v>0</v>
      </c>
      <c r="R120" s="61" t="b">
        <v>0</v>
      </c>
      <c r="S120" s="61" t="b">
        <v>0</v>
      </c>
      <c r="T120" s="61" t="b">
        <v>0</v>
      </c>
      <c r="U120" s="61" t="b">
        <v>1</v>
      </c>
      <c r="V120" s="61" t="b">
        <v>0</v>
      </c>
      <c r="W120" s="61" t="b">
        <v>1</v>
      </c>
      <c r="X120" s="61" t="b">
        <v>0</v>
      </c>
      <c r="Y120" s="61" t="b">
        <v>0</v>
      </c>
      <c r="Z120" s="38">
        <f t="shared" si="9"/>
        <v>0.8799383228</v>
      </c>
      <c r="AA120" s="65">
        <v>2.0</v>
      </c>
      <c r="AB120" s="66">
        <f>VLOOKUP(A120,ReferenceTables!$BI$2:$CA$254,MATCH(ShopGenerator!$A$2,ReferenceTables!$BI$1:$CA$1,0),0)</f>
        <v>1</v>
      </c>
      <c r="AC120" s="66">
        <f>VLOOKUP(D120,ReferenceTables!$AQ$2:$BE$27,MATCH(ShopGenerator!$A$4,ReferenceTables!$AQ$1:$BE$1,0),0)</f>
        <v>0.6</v>
      </c>
    </row>
    <row r="121">
      <c r="A121" s="67" t="s">
        <v>356</v>
      </c>
      <c r="B121" s="68">
        <f t="shared" si="1"/>
        <v>20</v>
      </c>
      <c r="C121" s="67" t="s">
        <v>357</v>
      </c>
      <c r="D121" s="67" t="s">
        <v>358</v>
      </c>
      <c r="E121" s="68">
        <f t="shared" si="13"/>
        <v>12.4</v>
      </c>
      <c r="F121" s="68">
        <f t="shared" si="14"/>
        <v>10</v>
      </c>
      <c r="G121" s="68">
        <f t="shared" si="15"/>
        <v>16.2</v>
      </c>
      <c r="H121" s="69"/>
      <c r="I121" s="70" t="b">
        <v>0</v>
      </c>
      <c r="J121" s="70" t="b">
        <v>0</v>
      </c>
      <c r="K121" s="67" t="b">
        <v>0</v>
      </c>
      <c r="L121" s="67" t="b">
        <v>0</v>
      </c>
      <c r="M121" s="67" t="b">
        <v>0</v>
      </c>
      <c r="N121" s="67" t="b">
        <v>0</v>
      </c>
      <c r="O121" s="67" t="b">
        <v>0</v>
      </c>
      <c r="P121" s="67" t="b">
        <v>0</v>
      </c>
      <c r="Q121" s="67" t="b">
        <v>0</v>
      </c>
      <c r="R121" s="67" t="b">
        <v>1</v>
      </c>
      <c r="S121" s="67" t="b">
        <v>0</v>
      </c>
      <c r="T121" s="67" t="b">
        <v>0</v>
      </c>
      <c r="U121" s="67" t="b">
        <v>0</v>
      </c>
      <c r="V121" s="67" t="b">
        <v>0</v>
      </c>
      <c r="W121" s="67" t="b">
        <v>0</v>
      </c>
      <c r="X121" s="67" t="b">
        <v>0</v>
      </c>
      <c r="Y121" s="67" t="b">
        <v>0</v>
      </c>
      <c r="Z121" s="38">
        <f t="shared" si="9"/>
        <v>0.2619477944</v>
      </c>
      <c r="AA121" s="71">
        <v>10.0</v>
      </c>
      <c r="AB121" s="72">
        <f>VLOOKUP(A121,ReferenceTables!$BI$2:$CA$254,MATCH(ShopGenerator!$A$2,ReferenceTables!$BI$1:$CA$1,0),0)</f>
        <v>1</v>
      </c>
      <c r="AC121" s="72">
        <f>VLOOKUP(D121,ReferenceTables!$AQ$2:$BE$27,MATCH(ShopGenerator!$A$4,ReferenceTables!$AQ$1:$BE$1,0),0)</f>
        <v>2</v>
      </c>
    </row>
    <row r="122">
      <c r="A122" s="61" t="s">
        <v>359</v>
      </c>
      <c r="B122" s="62">
        <f t="shared" si="1"/>
        <v>4</v>
      </c>
      <c r="C122" s="61" t="s">
        <v>182</v>
      </c>
      <c r="D122" s="61" t="s">
        <v>358</v>
      </c>
      <c r="E122" s="62">
        <f t="shared" si="13"/>
        <v>2.48</v>
      </c>
      <c r="F122" s="62">
        <f t="shared" si="14"/>
        <v>2</v>
      </c>
      <c r="G122" s="62">
        <f t="shared" si="15"/>
        <v>3.24</v>
      </c>
      <c r="H122" s="63"/>
      <c r="I122" s="64" t="b">
        <v>0</v>
      </c>
      <c r="J122" s="64" t="b">
        <v>0</v>
      </c>
      <c r="K122" s="61" t="b">
        <v>0</v>
      </c>
      <c r="L122" s="61" t="b">
        <v>0</v>
      </c>
      <c r="M122" s="61" t="b">
        <v>0</v>
      </c>
      <c r="N122" s="61" t="b">
        <v>0</v>
      </c>
      <c r="O122" s="61" t="b">
        <v>0</v>
      </c>
      <c r="P122" s="61" t="b">
        <v>0</v>
      </c>
      <c r="Q122" s="61" t="b">
        <v>0</v>
      </c>
      <c r="R122" s="61" t="b">
        <v>1</v>
      </c>
      <c r="S122" s="61" t="b">
        <v>0</v>
      </c>
      <c r="T122" s="61" t="b">
        <v>0</v>
      </c>
      <c r="U122" s="61" t="b">
        <v>0</v>
      </c>
      <c r="V122" s="61" t="b">
        <v>0</v>
      </c>
      <c r="W122" s="61" t="b">
        <v>0</v>
      </c>
      <c r="X122" s="61" t="b">
        <v>0</v>
      </c>
      <c r="Y122" s="61" t="b">
        <v>0</v>
      </c>
      <c r="Z122" s="38">
        <f t="shared" si="9"/>
        <v>0.4058905253</v>
      </c>
      <c r="AA122" s="65">
        <v>2.0</v>
      </c>
      <c r="AB122" s="66">
        <f>VLOOKUP(A122,ReferenceTables!$BI$2:$CA$254,MATCH(ShopGenerator!$A$2,ReferenceTables!$BI$1:$CA$1,0),0)</f>
        <v>1</v>
      </c>
      <c r="AC122" s="66">
        <f>VLOOKUP(D122,ReferenceTables!$AQ$2:$BE$27,MATCH(ShopGenerator!$A$4,ReferenceTables!$AQ$1:$BE$1,0),0)</f>
        <v>2</v>
      </c>
    </row>
    <row r="123">
      <c r="A123" s="67" t="s">
        <v>360</v>
      </c>
      <c r="B123" s="68">
        <f t="shared" si="1"/>
        <v>1.6</v>
      </c>
      <c r="C123" s="67" t="s">
        <v>182</v>
      </c>
      <c r="D123" s="67" t="s">
        <v>358</v>
      </c>
      <c r="E123" s="68">
        <f t="shared" si="13"/>
        <v>0.992</v>
      </c>
      <c r="F123" s="68">
        <f t="shared" si="14"/>
        <v>0.8</v>
      </c>
      <c r="G123" s="68">
        <f t="shared" si="15"/>
        <v>1.296</v>
      </c>
      <c r="H123" s="69"/>
      <c r="I123" s="70" t="b">
        <v>0</v>
      </c>
      <c r="J123" s="70" t="b">
        <v>0</v>
      </c>
      <c r="K123" s="67" t="b">
        <v>0</v>
      </c>
      <c r="L123" s="67" t="b">
        <v>0</v>
      </c>
      <c r="M123" s="67" t="b">
        <v>0</v>
      </c>
      <c r="N123" s="67" t="b">
        <v>0</v>
      </c>
      <c r="O123" s="67" t="b">
        <v>0</v>
      </c>
      <c r="P123" s="67" t="b">
        <v>0</v>
      </c>
      <c r="Q123" s="67" t="b">
        <v>0</v>
      </c>
      <c r="R123" s="67" t="b">
        <v>1</v>
      </c>
      <c r="S123" s="67" t="b">
        <v>0</v>
      </c>
      <c r="T123" s="67" t="b">
        <v>0</v>
      </c>
      <c r="U123" s="67" t="b">
        <v>0</v>
      </c>
      <c r="V123" s="67" t="b">
        <v>0</v>
      </c>
      <c r="W123" s="67" t="b">
        <v>0</v>
      </c>
      <c r="X123" s="67" t="b">
        <v>0</v>
      </c>
      <c r="Y123" s="67" t="b">
        <v>0</v>
      </c>
      <c r="Z123" s="38">
        <f t="shared" si="9"/>
        <v>0.5469143307</v>
      </c>
      <c r="AA123" s="71">
        <v>0.8</v>
      </c>
      <c r="AB123" s="72">
        <f>VLOOKUP(A123,ReferenceTables!$BI$2:$CA$254,MATCH(ShopGenerator!$A$2,ReferenceTables!$BI$1:$CA$1,0),0)</f>
        <v>1</v>
      </c>
      <c r="AC123" s="72">
        <f>VLOOKUP(D123,ReferenceTables!$AQ$2:$BE$27,MATCH(ShopGenerator!$A$4,ReferenceTables!$AQ$1:$BE$1,0),0)</f>
        <v>2</v>
      </c>
    </row>
    <row r="124">
      <c r="A124" s="61" t="s">
        <v>361</v>
      </c>
      <c r="B124" s="62">
        <f t="shared" si="1"/>
        <v>10</v>
      </c>
      <c r="C124" s="61" t="s">
        <v>362</v>
      </c>
      <c r="D124" s="61" t="s">
        <v>358</v>
      </c>
      <c r="E124" s="62">
        <f t="shared" si="13"/>
        <v>6.2</v>
      </c>
      <c r="F124" s="62">
        <f t="shared" si="14"/>
        <v>5</v>
      </c>
      <c r="G124" s="62">
        <f t="shared" si="15"/>
        <v>8.1</v>
      </c>
      <c r="H124" s="63"/>
      <c r="I124" s="64" t="b">
        <v>0</v>
      </c>
      <c r="J124" s="64" t="b">
        <v>0</v>
      </c>
      <c r="K124" s="61" t="b">
        <v>0</v>
      </c>
      <c r="L124" s="61" t="b">
        <v>0</v>
      </c>
      <c r="M124" s="61" t="b">
        <v>0</v>
      </c>
      <c r="N124" s="61" t="b">
        <v>0</v>
      </c>
      <c r="O124" s="61" t="b">
        <v>0</v>
      </c>
      <c r="P124" s="61" t="b">
        <v>0</v>
      </c>
      <c r="Q124" s="61" t="b">
        <v>0</v>
      </c>
      <c r="R124" s="61" t="b">
        <v>1</v>
      </c>
      <c r="S124" s="61" t="b">
        <v>0</v>
      </c>
      <c r="T124" s="61" t="b">
        <v>0</v>
      </c>
      <c r="U124" s="61" t="b">
        <v>0</v>
      </c>
      <c r="V124" s="61" t="b">
        <v>0</v>
      </c>
      <c r="W124" s="61" t="b">
        <v>1</v>
      </c>
      <c r="X124" s="61" t="b">
        <v>0</v>
      </c>
      <c r="Y124" s="61" t="b">
        <v>0</v>
      </c>
      <c r="Z124" s="38">
        <f t="shared" si="9"/>
        <v>0.7320924602</v>
      </c>
      <c r="AA124" s="65">
        <v>5.0</v>
      </c>
      <c r="AB124" s="66">
        <f>VLOOKUP(A124,ReferenceTables!$BI$2:$CA$254,MATCH(ShopGenerator!$A$2,ReferenceTables!$BI$1:$CA$1,0),0)</f>
        <v>1</v>
      </c>
      <c r="AC124" s="66">
        <f>VLOOKUP(D124,ReferenceTables!$AQ$2:$BE$27,MATCH(ShopGenerator!$A$4,ReferenceTables!$AQ$1:$BE$1,0),0)</f>
        <v>2</v>
      </c>
    </row>
    <row r="125">
      <c r="A125" s="67" t="s">
        <v>363</v>
      </c>
      <c r="B125" s="68">
        <f t="shared" si="1"/>
        <v>20</v>
      </c>
      <c r="C125" s="67" t="s">
        <v>364</v>
      </c>
      <c r="D125" s="67" t="s">
        <v>358</v>
      </c>
      <c r="E125" s="68">
        <f t="shared" si="13"/>
        <v>12.4</v>
      </c>
      <c r="F125" s="68">
        <f t="shared" si="14"/>
        <v>10</v>
      </c>
      <c r="G125" s="68">
        <f t="shared" si="15"/>
        <v>16.2</v>
      </c>
      <c r="H125" s="69"/>
      <c r="I125" s="70" t="b">
        <v>0</v>
      </c>
      <c r="J125" s="70" t="b">
        <v>0</v>
      </c>
      <c r="K125" s="67" t="b">
        <v>0</v>
      </c>
      <c r="L125" s="67" t="b">
        <v>0</v>
      </c>
      <c r="M125" s="67" t="b">
        <v>0</v>
      </c>
      <c r="N125" s="67" t="b">
        <v>0</v>
      </c>
      <c r="O125" s="67" t="b">
        <v>0</v>
      </c>
      <c r="P125" s="67" t="b">
        <v>0</v>
      </c>
      <c r="Q125" s="67" t="b">
        <v>0</v>
      </c>
      <c r="R125" s="67" t="b">
        <v>1</v>
      </c>
      <c r="S125" s="67" t="b">
        <v>0</v>
      </c>
      <c r="T125" s="67" t="b">
        <v>0</v>
      </c>
      <c r="U125" s="67" t="b">
        <v>0</v>
      </c>
      <c r="V125" s="67" t="b">
        <v>0</v>
      </c>
      <c r="W125" s="67" t="b">
        <v>1</v>
      </c>
      <c r="X125" s="67" t="b">
        <v>0</v>
      </c>
      <c r="Y125" s="67" t="b">
        <v>0</v>
      </c>
      <c r="Z125" s="38">
        <f t="shared" si="9"/>
        <v>0.4965675395</v>
      </c>
      <c r="AA125" s="71">
        <v>10.0</v>
      </c>
      <c r="AB125" s="72">
        <f>VLOOKUP(A125,ReferenceTables!$BI$2:$CA$254,MATCH(ShopGenerator!$A$2,ReferenceTables!$BI$1:$CA$1,0),0)</f>
        <v>1</v>
      </c>
      <c r="AC125" s="72">
        <f>VLOOKUP(D125,ReferenceTables!$AQ$2:$BE$27,MATCH(ShopGenerator!$A$4,ReferenceTables!$AQ$1:$BE$1,0),0)</f>
        <v>2</v>
      </c>
    </row>
    <row r="126">
      <c r="A126" s="61" t="s">
        <v>365</v>
      </c>
      <c r="B126" s="62">
        <f t="shared" si="1"/>
        <v>8</v>
      </c>
      <c r="C126" s="61" t="s">
        <v>182</v>
      </c>
      <c r="D126" s="61" t="s">
        <v>366</v>
      </c>
      <c r="E126" s="62">
        <f t="shared" si="13"/>
        <v>4.96</v>
      </c>
      <c r="F126" s="62">
        <f t="shared" si="14"/>
        <v>4</v>
      </c>
      <c r="G126" s="62">
        <f t="shared" si="15"/>
        <v>6.48</v>
      </c>
      <c r="H126" s="61" t="s">
        <v>367</v>
      </c>
      <c r="I126" s="64" t="b">
        <v>0</v>
      </c>
      <c r="J126" s="64" t="b">
        <v>0</v>
      </c>
      <c r="K126" s="61" t="b">
        <v>0</v>
      </c>
      <c r="L126" s="61" t="b">
        <v>0</v>
      </c>
      <c r="M126" s="61" t="b">
        <v>0</v>
      </c>
      <c r="N126" s="61" t="b">
        <v>0</v>
      </c>
      <c r="O126" s="61" t="b">
        <v>0</v>
      </c>
      <c r="P126" s="61" t="b">
        <v>0</v>
      </c>
      <c r="Q126" s="61" t="b">
        <v>0</v>
      </c>
      <c r="R126" s="61" t="b">
        <v>1</v>
      </c>
      <c r="S126" s="61" t="b">
        <v>0</v>
      </c>
      <c r="T126" s="61" t="b">
        <v>0</v>
      </c>
      <c r="U126" s="61" t="b">
        <v>0</v>
      </c>
      <c r="V126" s="61" t="b">
        <v>0</v>
      </c>
      <c r="W126" s="61" t="b">
        <v>0</v>
      </c>
      <c r="X126" s="61" t="b">
        <v>0</v>
      </c>
      <c r="Y126" s="61" t="b">
        <v>0</v>
      </c>
      <c r="Z126" s="38">
        <f t="shared" si="9"/>
        <v>0.159595114</v>
      </c>
      <c r="AA126" s="65">
        <v>4.0</v>
      </c>
      <c r="AB126" s="66">
        <f>VLOOKUP(A126,ReferenceTables!$BI$2:$CA$254,MATCH(ShopGenerator!$A$2,ReferenceTables!$BI$1:$CA$1,0),0)</f>
        <v>1</v>
      </c>
      <c r="AC126" s="66">
        <f>VLOOKUP(D126,ReferenceTables!$AQ$2:$BE$27,MATCH(ShopGenerator!$A$4,ReferenceTables!$AQ$1:$BE$1,0),0)</f>
        <v>2</v>
      </c>
    </row>
    <row r="127">
      <c r="A127" s="67" t="s">
        <v>368</v>
      </c>
      <c r="B127" s="68">
        <f t="shared" si="1"/>
        <v>4</v>
      </c>
      <c r="C127" s="67" t="s">
        <v>182</v>
      </c>
      <c r="D127" s="67" t="s">
        <v>366</v>
      </c>
      <c r="E127" s="68">
        <f t="shared" si="13"/>
        <v>2.48</v>
      </c>
      <c r="F127" s="68">
        <f t="shared" si="14"/>
        <v>2</v>
      </c>
      <c r="G127" s="68">
        <f t="shared" si="15"/>
        <v>3.24</v>
      </c>
      <c r="H127" s="67" t="s">
        <v>369</v>
      </c>
      <c r="I127" s="70" t="b">
        <v>0</v>
      </c>
      <c r="J127" s="70" t="b">
        <v>0</v>
      </c>
      <c r="K127" s="67" t="b">
        <v>0</v>
      </c>
      <c r="L127" s="67" t="b">
        <v>0</v>
      </c>
      <c r="M127" s="67" t="b">
        <v>0</v>
      </c>
      <c r="N127" s="67" t="b">
        <v>0</v>
      </c>
      <c r="O127" s="67" t="b">
        <v>0</v>
      </c>
      <c r="P127" s="67" t="b">
        <v>0</v>
      </c>
      <c r="Q127" s="67" t="b">
        <v>0</v>
      </c>
      <c r="R127" s="67" t="b">
        <v>1</v>
      </c>
      <c r="S127" s="67" t="b">
        <v>0</v>
      </c>
      <c r="T127" s="67" t="b">
        <v>0</v>
      </c>
      <c r="U127" s="67" t="b">
        <v>0</v>
      </c>
      <c r="V127" s="67" t="b">
        <v>0</v>
      </c>
      <c r="W127" s="67" t="b">
        <v>0</v>
      </c>
      <c r="X127" s="67" t="b">
        <v>0</v>
      </c>
      <c r="Y127" s="67" t="b">
        <v>0</v>
      </c>
      <c r="Z127" s="38">
        <f t="shared" si="9"/>
        <v>0.1373995587</v>
      </c>
      <c r="AA127" s="71">
        <v>2.0</v>
      </c>
      <c r="AB127" s="72">
        <f>VLOOKUP(A127,ReferenceTables!$BI$2:$CA$254,MATCH(ShopGenerator!$A$2,ReferenceTables!$BI$1:$CA$1,0),0)</f>
        <v>1</v>
      </c>
      <c r="AC127" s="72">
        <f>VLOOKUP(D127,ReferenceTables!$AQ$2:$BE$27,MATCH(ShopGenerator!$A$4,ReferenceTables!$AQ$1:$BE$1,0),0)</f>
        <v>2</v>
      </c>
    </row>
    <row r="128">
      <c r="A128" s="64" t="s">
        <v>54</v>
      </c>
      <c r="B128" s="62">
        <f t="shared" si="1"/>
        <v>0.5</v>
      </c>
      <c r="C128" s="61" t="s">
        <v>43</v>
      </c>
      <c r="D128" s="64" t="s">
        <v>55</v>
      </c>
      <c r="E128" s="62">
        <f t="shared" si="13"/>
        <v>0.31</v>
      </c>
      <c r="F128" s="62">
        <f t="shared" si="14"/>
        <v>0.25</v>
      </c>
      <c r="G128" s="62">
        <f t="shared" si="15"/>
        <v>0.405</v>
      </c>
      <c r="H128" s="63"/>
      <c r="I128" s="64" t="b">
        <v>0</v>
      </c>
      <c r="J128" s="64" t="b">
        <v>1</v>
      </c>
      <c r="K128" s="64" t="b">
        <v>1</v>
      </c>
      <c r="L128" s="64" t="b">
        <v>0</v>
      </c>
      <c r="M128" s="61" t="b">
        <v>0</v>
      </c>
      <c r="N128" s="61" t="b">
        <v>0</v>
      </c>
      <c r="O128" s="61" t="b">
        <v>0</v>
      </c>
      <c r="P128" s="61" t="b">
        <v>0</v>
      </c>
      <c r="Q128" s="61" t="b">
        <v>0</v>
      </c>
      <c r="R128" s="61" t="b">
        <v>0</v>
      </c>
      <c r="S128" s="61" t="b">
        <v>0</v>
      </c>
      <c r="T128" s="61" t="b">
        <v>0</v>
      </c>
      <c r="U128" s="61" t="b">
        <v>0</v>
      </c>
      <c r="V128" s="61" t="b">
        <v>0</v>
      </c>
      <c r="W128" s="61" t="b">
        <v>1</v>
      </c>
      <c r="X128" s="61" t="b">
        <v>0</v>
      </c>
      <c r="Y128" s="61" t="b">
        <v>0</v>
      </c>
      <c r="Z128" s="38">
        <f t="shared" si="9"/>
        <v>0.1188394834</v>
      </c>
      <c r="AA128" s="65">
        <v>0.5</v>
      </c>
      <c r="AB128" s="66">
        <f>VLOOKUP(A128,ReferenceTables!$BI$2:$CA$254,MATCH(ShopGenerator!$A$2,ReferenceTables!$BI$1:$CA$1,0),0)</f>
        <v>1</v>
      </c>
      <c r="AC128" s="66">
        <f>VLOOKUP(D128,ReferenceTables!$AQ$2:$BE$27,MATCH(ShopGenerator!$A$4,ReferenceTables!$AQ$1:$BE$1,0),0)</f>
        <v>1</v>
      </c>
    </row>
    <row r="129">
      <c r="A129" s="70" t="s">
        <v>370</v>
      </c>
      <c r="B129" s="68">
        <f t="shared" si="1"/>
        <v>50</v>
      </c>
      <c r="C129" s="67" t="s">
        <v>43</v>
      </c>
      <c r="D129" s="70" t="s">
        <v>55</v>
      </c>
      <c r="E129" s="68">
        <f t="shared" si="13"/>
        <v>41</v>
      </c>
      <c r="F129" s="68">
        <f t="shared" si="14"/>
        <v>25</v>
      </c>
      <c r="G129" s="68">
        <f t="shared" si="15"/>
        <v>45.5</v>
      </c>
      <c r="H129" s="69"/>
      <c r="I129" s="70" t="b">
        <v>0</v>
      </c>
      <c r="J129" s="70" t="b">
        <v>0</v>
      </c>
      <c r="K129" s="70" t="b">
        <v>0</v>
      </c>
      <c r="L129" s="70" t="b">
        <v>0</v>
      </c>
      <c r="M129" s="67" t="b">
        <v>0</v>
      </c>
      <c r="N129" s="67" t="b">
        <v>0</v>
      </c>
      <c r="O129" s="67" t="b">
        <v>0</v>
      </c>
      <c r="P129" s="67" t="b">
        <v>0</v>
      </c>
      <c r="Q129" s="67" t="b">
        <v>0</v>
      </c>
      <c r="R129" s="67" t="b">
        <v>0</v>
      </c>
      <c r="S129" s="67" t="b">
        <v>0</v>
      </c>
      <c r="T129" s="67" t="b">
        <v>0</v>
      </c>
      <c r="U129" s="67" t="b">
        <v>0</v>
      </c>
      <c r="V129" s="67" t="b">
        <v>0</v>
      </c>
      <c r="W129" s="67" t="b">
        <v>1</v>
      </c>
      <c r="X129" s="67" t="b">
        <v>0</v>
      </c>
      <c r="Y129" s="67" t="b">
        <v>0</v>
      </c>
      <c r="Z129" s="38">
        <f t="shared" si="9"/>
        <v>0.4793926013</v>
      </c>
      <c r="AA129" s="71">
        <v>50.0</v>
      </c>
      <c r="AB129" s="72">
        <f>VLOOKUP(A129,ReferenceTables!$BI$2:$CA$254,MATCH(ShopGenerator!$A$2,ReferenceTables!$BI$1:$CA$1,0),0)</f>
        <v>1</v>
      </c>
      <c r="AC129" s="72">
        <f>VLOOKUP(D129,ReferenceTables!$AQ$2:$BE$27,MATCH(ShopGenerator!$A$4,ReferenceTables!$AQ$1:$BE$1,0),0)</f>
        <v>1</v>
      </c>
    </row>
    <row r="130">
      <c r="A130" s="64" t="s">
        <v>371</v>
      </c>
      <c r="B130" s="62">
        <f t="shared" si="1"/>
        <v>0.1</v>
      </c>
      <c r="C130" s="61" t="s">
        <v>43</v>
      </c>
      <c r="D130" s="64" t="s">
        <v>55</v>
      </c>
      <c r="E130" s="62">
        <f t="shared" si="13"/>
        <v>0.062</v>
      </c>
      <c r="F130" s="62">
        <f t="shared" si="14"/>
        <v>0.05</v>
      </c>
      <c r="G130" s="62">
        <f t="shared" si="15"/>
        <v>0.081</v>
      </c>
      <c r="H130" s="63"/>
      <c r="I130" s="64" t="b">
        <v>0</v>
      </c>
      <c r="J130" s="64" t="b">
        <v>1</v>
      </c>
      <c r="K130" s="64" t="b">
        <v>1</v>
      </c>
      <c r="L130" s="64" t="b">
        <v>1</v>
      </c>
      <c r="M130" s="61" t="b">
        <v>0</v>
      </c>
      <c r="N130" s="61" t="b">
        <v>0</v>
      </c>
      <c r="O130" s="61" t="b">
        <v>0</v>
      </c>
      <c r="P130" s="61" t="b">
        <v>0</v>
      </c>
      <c r="Q130" s="61" t="b">
        <v>0</v>
      </c>
      <c r="R130" s="61" t="b">
        <v>0</v>
      </c>
      <c r="S130" s="61" t="b">
        <v>0</v>
      </c>
      <c r="T130" s="61" t="b">
        <v>0</v>
      </c>
      <c r="U130" s="61" t="b">
        <v>0</v>
      </c>
      <c r="V130" s="61" t="b">
        <v>0</v>
      </c>
      <c r="W130" s="61" t="b">
        <v>1</v>
      </c>
      <c r="X130" s="61" t="b">
        <v>0</v>
      </c>
      <c r="Y130" s="61" t="b">
        <v>0</v>
      </c>
      <c r="Z130" s="38">
        <f t="shared" si="9"/>
        <v>0.9297503371</v>
      </c>
      <c r="AA130" s="65">
        <v>0.1</v>
      </c>
      <c r="AB130" s="66">
        <f>VLOOKUP(A130,ReferenceTables!$BI$2:$CA$254,MATCH(ShopGenerator!$A$2,ReferenceTables!$BI$1:$CA$1,0),0)</f>
        <v>1</v>
      </c>
      <c r="AC130" s="66">
        <f>VLOOKUP(D130,ReferenceTables!$AQ$2:$BE$27,MATCH(ShopGenerator!$A$4,ReferenceTables!$AQ$1:$BE$1,0),0)</f>
        <v>1</v>
      </c>
    </row>
    <row r="131">
      <c r="A131" s="70" t="s">
        <v>372</v>
      </c>
      <c r="B131" s="68">
        <f t="shared" si="1"/>
        <v>500</v>
      </c>
      <c r="C131" s="67" t="s">
        <v>43</v>
      </c>
      <c r="D131" s="70" t="s">
        <v>55</v>
      </c>
      <c r="E131" s="68">
        <f t="shared" si="13"/>
        <v>410</v>
      </c>
      <c r="F131" s="68">
        <f t="shared" si="14"/>
        <v>250</v>
      </c>
      <c r="G131" s="68">
        <f t="shared" si="15"/>
        <v>455</v>
      </c>
      <c r="H131" s="69"/>
      <c r="I131" s="70" t="b">
        <v>0</v>
      </c>
      <c r="J131" s="70" t="b">
        <v>0</v>
      </c>
      <c r="K131" s="70" t="b">
        <v>0</v>
      </c>
      <c r="L131" s="70" t="b">
        <v>0</v>
      </c>
      <c r="M131" s="67" t="b">
        <v>0</v>
      </c>
      <c r="N131" s="67" t="b">
        <v>0</v>
      </c>
      <c r="O131" s="67" t="b">
        <v>0</v>
      </c>
      <c r="P131" s="67" t="b">
        <v>0</v>
      </c>
      <c r="Q131" s="67" t="b">
        <v>0</v>
      </c>
      <c r="R131" s="67" t="b">
        <v>0</v>
      </c>
      <c r="S131" s="67" t="b">
        <v>0</v>
      </c>
      <c r="T131" s="67" t="b">
        <v>0</v>
      </c>
      <c r="U131" s="67" t="b">
        <v>0</v>
      </c>
      <c r="V131" s="67" t="b">
        <v>0</v>
      </c>
      <c r="W131" s="67" t="b">
        <v>1</v>
      </c>
      <c r="X131" s="67" t="b">
        <v>0</v>
      </c>
      <c r="Y131" s="67" t="b">
        <v>0</v>
      </c>
      <c r="Z131" s="38">
        <f t="shared" si="9"/>
        <v>0.9919835158</v>
      </c>
      <c r="AA131" s="71">
        <v>500.0</v>
      </c>
      <c r="AB131" s="72">
        <f>VLOOKUP(A131,ReferenceTables!$BI$2:$CA$254,MATCH(ShopGenerator!$A$2,ReferenceTables!$BI$1:$CA$1,0),0)</f>
        <v>1</v>
      </c>
      <c r="AC131" s="72">
        <f>VLOOKUP(D131,ReferenceTables!$AQ$2:$BE$27,MATCH(ShopGenerator!$A$4,ReferenceTables!$AQ$1:$BE$1,0),0)</f>
        <v>1</v>
      </c>
    </row>
    <row r="132">
      <c r="A132" s="64" t="s">
        <v>373</v>
      </c>
      <c r="B132" s="62">
        <f t="shared" si="1"/>
        <v>5</v>
      </c>
      <c r="C132" s="61" t="s">
        <v>43</v>
      </c>
      <c r="D132" s="64" t="s">
        <v>55</v>
      </c>
      <c r="E132" s="62">
        <f t="shared" si="13"/>
        <v>3.1</v>
      </c>
      <c r="F132" s="62">
        <f t="shared" si="14"/>
        <v>2.5</v>
      </c>
      <c r="G132" s="62">
        <f t="shared" si="15"/>
        <v>4.05</v>
      </c>
      <c r="H132" s="63"/>
      <c r="I132" s="64" t="b">
        <v>0</v>
      </c>
      <c r="J132" s="64" t="b">
        <v>0</v>
      </c>
      <c r="K132" s="64" t="b">
        <v>0</v>
      </c>
      <c r="L132" s="64" t="b">
        <v>0</v>
      </c>
      <c r="M132" s="61" t="b">
        <v>0</v>
      </c>
      <c r="N132" s="61" t="b">
        <v>0</v>
      </c>
      <c r="O132" s="61" t="b">
        <v>0</v>
      </c>
      <c r="P132" s="61" t="b">
        <v>0</v>
      </c>
      <c r="Q132" s="61" t="b">
        <v>0</v>
      </c>
      <c r="R132" s="61" t="b">
        <v>0</v>
      </c>
      <c r="S132" s="61" t="b">
        <v>0</v>
      </c>
      <c r="T132" s="61" t="b">
        <v>0</v>
      </c>
      <c r="U132" s="61" t="b">
        <v>0</v>
      </c>
      <c r="V132" s="61" t="b">
        <v>0</v>
      </c>
      <c r="W132" s="61" t="b">
        <v>1</v>
      </c>
      <c r="X132" s="61" t="b">
        <v>0</v>
      </c>
      <c r="Y132" s="61" t="b">
        <v>0</v>
      </c>
      <c r="Z132" s="38">
        <f t="shared" si="9"/>
        <v>0.9955891153</v>
      </c>
      <c r="AA132" s="65">
        <v>5.0</v>
      </c>
      <c r="AB132" s="66">
        <f>VLOOKUP(A132,ReferenceTables!$BI$2:$CA$254,MATCH(ShopGenerator!$A$2,ReferenceTables!$BI$1:$CA$1,0),0)</f>
        <v>1</v>
      </c>
      <c r="AC132" s="66">
        <f>VLOOKUP(D132,ReferenceTables!$AQ$2:$BE$27,MATCH(ShopGenerator!$A$4,ReferenceTables!$AQ$1:$BE$1,0),0)</f>
        <v>1</v>
      </c>
    </row>
    <row r="133">
      <c r="A133" s="67" t="s">
        <v>374</v>
      </c>
      <c r="B133" s="68">
        <f t="shared" si="1"/>
        <v>250</v>
      </c>
      <c r="C133" s="67" t="s">
        <v>375</v>
      </c>
      <c r="D133" s="67" t="s">
        <v>376</v>
      </c>
      <c r="E133" s="68">
        <f t="shared" si="13"/>
        <v>205</v>
      </c>
      <c r="F133" s="68">
        <f t="shared" si="14"/>
        <v>125</v>
      </c>
      <c r="G133" s="68">
        <f t="shared" si="15"/>
        <v>227.5</v>
      </c>
      <c r="H133" s="67" t="s">
        <v>377</v>
      </c>
      <c r="I133" s="70" t="b">
        <v>0</v>
      </c>
      <c r="J133" s="70" t="b">
        <v>0</v>
      </c>
      <c r="K133" s="67" t="b">
        <v>0</v>
      </c>
      <c r="L133" s="67" t="b">
        <v>0</v>
      </c>
      <c r="M133" s="67" t="b">
        <v>0</v>
      </c>
      <c r="N133" s="67" t="b">
        <v>0</v>
      </c>
      <c r="O133" s="67" t="b">
        <v>0</v>
      </c>
      <c r="P133" s="67" t="b">
        <v>0</v>
      </c>
      <c r="Q133" s="67" t="b">
        <v>0</v>
      </c>
      <c r="R133" s="67" t="b">
        <v>0</v>
      </c>
      <c r="S133" s="67" t="b">
        <v>0</v>
      </c>
      <c r="T133" s="67" t="b">
        <v>0</v>
      </c>
      <c r="U133" s="67" t="b">
        <v>0</v>
      </c>
      <c r="V133" s="67" t="b">
        <v>0</v>
      </c>
      <c r="W133" s="67" t="b">
        <v>1</v>
      </c>
      <c r="X133" s="67" t="b">
        <v>0</v>
      </c>
      <c r="Y133" s="67" t="b">
        <v>0</v>
      </c>
      <c r="Z133" s="38">
        <f t="shared" si="9"/>
        <v>0.766960664</v>
      </c>
      <c r="AA133" s="71">
        <v>50.0</v>
      </c>
      <c r="AB133" s="72">
        <f>VLOOKUP(A133,ReferenceTables!$BI$2:$CA$254,MATCH(ShopGenerator!$A$2,ReferenceTables!$BI$1:$CA$1,0),0)</f>
        <v>1</v>
      </c>
      <c r="AC133" s="72">
        <f>VLOOKUP(D133,ReferenceTables!$AQ$2:$BE$27,MATCH(ShopGenerator!$A$4,ReferenceTables!$AQ$1:$BE$1,0),0)</f>
        <v>5</v>
      </c>
    </row>
    <row r="134">
      <c r="A134" s="61" t="s">
        <v>378</v>
      </c>
      <c r="B134" s="62">
        <f t="shared" si="1"/>
        <v>1000</v>
      </c>
      <c r="C134" s="61" t="s">
        <v>379</v>
      </c>
      <c r="D134" s="61" t="s">
        <v>376</v>
      </c>
      <c r="E134" s="62">
        <f t="shared" si="13"/>
        <v>820</v>
      </c>
      <c r="F134" s="62">
        <f t="shared" si="14"/>
        <v>500</v>
      </c>
      <c r="G134" s="62">
        <f t="shared" si="15"/>
        <v>910</v>
      </c>
      <c r="H134" s="61" t="s">
        <v>380</v>
      </c>
      <c r="I134" s="64" t="b">
        <v>0</v>
      </c>
      <c r="J134" s="64" t="b">
        <v>0</v>
      </c>
      <c r="K134" s="64" t="b">
        <v>0</v>
      </c>
      <c r="L134" s="64" t="b">
        <v>0</v>
      </c>
      <c r="M134" s="61" t="b">
        <v>0</v>
      </c>
      <c r="N134" s="61" t="b">
        <v>0</v>
      </c>
      <c r="O134" s="61" t="b">
        <v>0</v>
      </c>
      <c r="P134" s="61" t="b">
        <v>0</v>
      </c>
      <c r="Q134" s="61" t="b">
        <v>0</v>
      </c>
      <c r="R134" s="61" t="b">
        <v>0</v>
      </c>
      <c r="S134" s="61" t="b">
        <v>0</v>
      </c>
      <c r="T134" s="61" t="b">
        <v>0</v>
      </c>
      <c r="U134" s="61" t="b">
        <v>0</v>
      </c>
      <c r="V134" s="61" t="b">
        <v>0</v>
      </c>
      <c r="W134" s="61" t="b">
        <v>1</v>
      </c>
      <c r="X134" s="61" t="b">
        <v>0</v>
      </c>
      <c r="Y134" s="61" t="b">
        <v>0</v>
      </c>
      <c r="Z134" s="38">
        <f t="shared" si="9"/>
        <v>0.1397670641</v>
      </c>
      <c r="AA134" s="65">
        <v>200.0</v>
      </c>
      <c r="AB134" s="66">
        <f>VLOOKUP(A134,ReferenceTables!$BI$2:$CA$254,MATCH(ShopGenerator!$A$2,ReferenceTables!$BI$1:$CA$1,0),0)</f>
        <v>1</v>
      </c>
      <c r="AC134" s="66">
        <f>VLOOKUP(D134,ReferenceTables!$AQ$2:$BE$27,MATCH(ShopGenerator!$A$4,ReferenceTables!$AQ$1:$BE$1,0),0)</f>
        <v>5</v>
      </c>
    </row>
    <row r="135">
      <c r="A135" s="67" t="s">
        <v>381</v>
      </c>
      <c r="B135" s="68">
        <f t="shared" si="1"/>
        <v>125</v>
      </c>
      <c r="C135" s="67" t="s">
        <v>382</v>
      </c>
      <c r="D135" s="67" t="s">
        <v>376</v>
      </c>
      <c r="E135" s="68">
        <f t="shared" si="13"/>
        <v>102.5</v>
      </c>
      <c r="F135" s="68">
        <f t="shared" si="14"/>
        <v>62.5</v>
      </c>
      <c r="G135" s="68">
        <f t="shared" si="15"/>
        <v>113.75</v>
      </c>
      <c r="H135" s="73" t="s">
        <v>380</v>
      </c>
      <c r="I135" s="70" t="b">
        <v>0</v>
      </c>
      <c r="J135" s="70" t="b">
        <v>0</v>
      </c>
      <c r="K135" s="67" t="b">
        <v>1</v>
      </c>
      <c r="L135" s="67" t="b">
        <v>0</v>
      </c>
      <c r="M135" s="67" t="b">
        <v>0</v>
      </c>
      <c r="N135" s="67" t="b">
        <v>0</v>
      </c>
      <c r="O135" s="67" t="b">
        <v>0</v>
      </c>
      <c r="P135" s="67" t="b">
        <v>0</v>
      </c>
      <c r="Q135" s="67" t="b">
        <v>0</v>
      </c>
      <c r="R135" s="67" t="b">
        <v>0</v>
      </c>
      <c r="S135" s="67" t="b">
        <v>0</v>
      </c>
      <c r="T135" s="67" t="b">
        <v>0</v>
      </c>
      <c r="U135" s="67" t="b">
        <v>0</v>
      </c>
      <c r="V135" s="67" t="b">
        <v>0</v>
      </c>
      <c r="W135" s="67" t="b">
        <v>1</v>
      </c>
      <c r="X135" s="67" t="b">
        <v>0</v>
      </c>
      <c r="Y135" s="67" t="b">
        <v>0</v>
      </c>
      <c r="Z135" s="38">
        <f t="shared" si="9"/>
        <v>0.8892177487</v>
      </c>
      <c r="AA135" s="71">
        <v>25.0</v>
      </c>
      <c r="AB135" s="72">
        <f>VLOOKUP(A135,ReferenceTables!$BI$2:$CA$254,MATCH(ShopGenerator!$A$2,ReferenceTables!$BI$1:$CA$1,0),0)</f>
        <v>1</v>
      </c>
      <c r="AC135" s="72">
        <f>VLOOKUP(D135,ReferenceTables!$AQ$2:$BE$27,MATCH(ShopGenerator!$A$4,ReferenceTables!$AQ$1:$BE$1,0),0)</f>
        <v>5</v>
      </c>
    </row>
    <row r="136">
      <c r="A136" s="61" t="s">
        <v>383</v>
      </c>
      <c r="B136" s="62">
        <f t="shared" si="1"/>
        <v>40</v>
      </c>
      <c r="C136" s="61" t="s">
        <v>384</v>
      </c>
      <c r="D136" s="61" t="s">
        <v>376</v>
      </c>
      <c r="E136" s="62">
        <f t="shared" si="13"/>
        <v>32.8</v>
      </c>
      <c r="F136" s="62">
        <f t="shared" si="14"/>
        <v>20</v>
      </c>
      <c r="G136" s="62">
        <f t="shared" si="15"/>
        <v>36.4</v>
      </c>
      <c r="H136" s="61" t="s">
        <v>385</v>
      </c>
      <c r="I136" s="64" t="b">
        <v>0</v>
      </c>
      <c r="J136" s="64" t="b">
        <v>0</v>
      </c>
      <c r="K136" s="64" t="b">
        <v>1</v>
      </c>
      <c r="L136" s="64" t="b">
        <v>0</v>
      </c>
      <c r="M136" s="61" t="b">
        <v>0</v>
      </c>
      <c r="N136" s="61" t="b">
        <v>0</v>
      </c>
      <c r="O136" s="61" t="b">
        <v>0</v>
      </c>
      <c r="P136" s="61" t="b">
        <v>0</v>
      </c>
      <c r="Q136" s="61" t="b">
        <v>0</v>
      </c>
      <c r="R136" s="61" t="b">
        <v>0</v>
      </c>
      <c r="S136" s="61" t="b">
        <v>0</v>
      </c>
      <c r="T136" s="61" t="b">
        <v>0</v>
      </c>
      <c r="U136" s="61" t="b">
        <v>0</v>
      </c>
      <c r="V136" s="61" t="b">
        <v>0</v>
      </c>
      <c r="W136" s="61" t="b">
        <v>1</v>
      </c>
      <c r="X136" s="61" t="b">
        <v>0</v>
      </c>
      <c r="Y136" s="61" t="b">
        <v>0</v>
      </c>
      <c r="Z136" s="38">
        <f t="shared" si="9"/>
        <v>0.8502282617</v>
      </c>
      <c r="AA136" s="65">
        <v>8.0</v>
      </c>
      <c r="AB136" s="66">
        <f>VLOOKUP(A136,ReferenceTables!$BI$2:$CA$254,MATCH(ShopGenerator!$A$2,ReferenceTables!$BI$1:$CA$1,0),0)</f>
        <v>1</v>
      </c>
      <c r="AC136" s="66">
        <f>VLOOKUP(D136,ReferenceTables!$AQ$2:$BE$27,MATCH(ShopGenerator!$A$4,ReferenceTables!$AQ$1:$BE$1,0),0)</f>
        <v>5</v>
      </c>
    </row>
    <row r="137">
      <c r="A137" s="67" t="s">
        <v>386</v>
      </c>
      <c r="B137" s="68">
        <f t="shared" si="1"/>
        <v>150</v>
      </c>
      <c r="C137" s="67" t="s">
        <v>387</v>
      </c>
      <c r="D137" s="67" t="s">
        <v>376</v>
      </c>
      <c r="E137" s="68">
        <f t="shared" si="13"/>
        <v>123</v>
      </c>
      <c r="F137" s="68">
        <f t="shared" si="14"/>
        <v>75</v>
      </c>
      <c r="G137" s="68">
        <f t="shared" si="15"/>
        <v>136.5</v>
      </c>
      <c r="H137" s="73" t="s">
        <v>380</v>
      </c>
      <c r="I137" s="70" t="b">
        <v>0</v>
      </c>
      <c r="J137" s="70" t="b">
        <v>0</v>
      </c>
      <c r="K137" s="67" t="b">
        <v>0</v>
      </c>
      <c r="L137" s="67" t="b">
        <v>0</v>
      </c>
      <c r="M137" s="67" t="b">
        <v>0</v>
      </c>
      <c r="N137" s="67" t="b">
        <v>0</v>
      </c>
      <c r="O137" s="67" t="b">
        <v>0</v>
      </c>
      <c r="P137" s="67" t="b">
        <v>0</v>
      </c>
      <c r="Q137" s="67" t="b">
        <v>0</v>
      </c>
      <c r="R137" s="67" t="b">
        <v>0</v>
      </c>
      <c r="S137" s="67" t="b">
        <v>0</v>
      </c>
      <c r="T137" s="67" t="b">
        <v>0</v>
      </c>
      <c r="U137" s="67" t="b">
        <v>0</v>
      </c>
      <c r="V137" s="67" t="b">
        <v>0</v>
      </c>
      <c r="W137" s="67" t="b">
        <v>1</v>
      </c>
      <c r="X137" s="67" t="b">
        <v>0</v>
      </c>
      <c r="Y137" s="67" t="b">
        <v>0</v>
      </c>
      <c r="Z137" s="38">
        <f t="shared" si="9"/>
        <v>0.1998825238</v>
      </c>
      <c r="AA137" s="71">
        <v>30.0</v>
      </c>
      <c r="AB137" s="72">
        <f>VLOOKUP(A137,ReferenceTables!$BI$2:$CA$254,MATCH(ShopGenerator!$A$2,ReferenceTables!$BI$1:$CA$1,0),0)</f>
        <v>1</v>
      </c>
      <c r="AC137" s="72">
        <f>VLOOKUP(D137,ReferenceTables!$AQ$2:$BE$27,MATCH(ShopGenerator!$A$4,ReferenceTables!$AQ$1:$BE$1,0),0)</f>
        <v>5</v>
      </c>
    </row>
    <row r="138">
      <c r="A138" s="61" t="s">
        <v>388</v>
      </c>
      <c r="B138" s="62">
        <f t="shared" si="1"/>
        <v>375</v>
      </c>
      <c r="C138" s="61" t="s">
        <v>389</v>
      </c>
      <c r="D138" s="61" t="s">
        <v>376</v>
      </c>
      <c r="E138" s="62">
        <f t="shared" si="13"/>
        <v>307.5</v>
      </c>
      <c r="F138" s="62">
        <f t="shared" si="14"/>
        <v>187.5</v>
      </c>
      <c r="G138" s="62">
        <f t="shared" si="15"/>
        <v>341.25</v>
      </c>
      <c r="H138" s="61" t="s">
        <v>390</v>
      </c>
      <c r="I138" s="64" t="b">
        <v>0</v>
      </c>
      <c r="J138" s="64" t="b">
        <v>0</v>
      </c>
      <c r="K138" s="61" t="b">
        <v>0</v>
      </c>
      <c r="L138" s="61" t="b">
        <v>0</v>
      </c>
      <c r="M138" s="61" t="b">
        <v>0</v>
      </c>
      <c r="N138" s="61" t="b">
        <v>0</v>
      </c>
      <c r="O138" s="61" t="b">
        <v>1</v>
      </c>
      <c r="P138" s="61" t="b">
        <v>0</v>
      </c>
      <c r="Q138" s="61" t="b">
        <v>0</v>
      </c>
      <c r="R138" s="61" t="b">
        <v>0</v>
      </c>
      <c r="S138" s="61" t="b">
        <v>0</v>
      </c>
      <c r="T138" s="61" t="b">
        <v>0</v>
      </c>
      <c r="U138" s="61" t="b">
        <v>0</v>
      </c>
      <c r="V138" s="61" t="b">
        <v>0</v>
      </c>
      <c r="W138" s="61" t="b">
        <v>1</v>
      </c>
      <c r="X138" s="61" t="b">
        <v>0</v>
      </c>
      <c r="Y138" s="61" t="b">
        <v>0</v>
      </c>
      <c r="Z138" s="38">
        <f t="shared" si="9"/>
        <v>0.6721358698</v>
      </c>
      <c r="AA138" s="65">
        <v>75.0</v>
      </c>
      <c r="AB138" s="66">
        <f>VLOOKUP(A138,ReferenceTables!$BI$2:$CA$254,MATCH(ShopGenerator!$A$2,ReferenceTables!$BI$1:$CA$1,0),0)</f>
        <v>1</v>
      </c>
      <c r="AC138" s="66">
        <f>VLOOKUP(D138,ReferenceTables!$AQ$2:$BE$27,MATCH(ShopGenerator!$A$4,ReferenceTables!$AQ$1:$BE$1,0),0)</f>
        <v>5</v>
      </c>
    </row>
    <row r="139">
      <c r="A139" s="67" t="s">
        <v>391</v>
      </c>
      <c r="B139" s="68">
        <f t="shared" si="1"/>
        <v>2000</v>
      </c>
      <c r="C139" s="67" t="s">
        <v>375</v>
      </c>
      <c r="D139" s="67" t="s">
        <v>376</v>
      </c>
      <c r="E139" s="68">
        <f t="shared" si="13"/>
        <v>1640</v>
      </c>
      <c r="F139" s="68">
        <f t="shared" si="14"/>
        <v>1000</v>
      </c>
      <c r="G139" s="68">
        <f t="shared" si="15"/>
        <v>1820</v>
      </c>
      <c r="H139" s="67" t="s">
        <v>390</v>
      </c>
      <c r="I139" s="70" t="b">
        <v>0</v>
      </c>
      <c r="J139" s="70" t="b">
        <v>0</v>
      </c>
      <c r="K139" s="67" t="b">
        <v>0</v>
      </c>
      <c r="L139" s="67" t="b">
        <v>0</v>
      </c>
      <c r="M139" s="67" t="b">
        <v>0</v>
      </c>
      <c r="N139" s="67" t="b">
        <v>0</v>
      </c>
      <c r="O139" s="67" t="b">
        <v>0</v>
      </c>
      <c r="P139" s="67" t="b">
        <v>0</v>
      </c>
      <c r="Q139" s="67" t="b">
        <v>0</v>
      </c>
      <c r="R139" s="67" t="b">
        <v>0</v>
      </c>
      <c r="S139" s="67" t="b">
        <v>0</v>
      </c>
      <c r="T139" s="67" t="b">
        <v>0</v>
      </c>
      <c r="U139" s="67" t="b">
        <v>0</v>
      </c>
      <c r="V139" s="67" t="b">
        <v>0</v>
      </c>
      <c r="W139" s="67" t="b">
        <v>1</v>
      </c>
      <c r="X139" s="67" t="b">
        <v>0</v>
      </c>
      <c r="Y139" s="67" t="b">
        <v>0</v>
      </c>
      <c r="Z139" s="38">
        <f t="shared" si="9"/>
        <v>0.5062921607</v>
      </c>
      <c r="AA139" s="71">
        <v>400.0</v>
      </c>
      <c r="AB139" s="72">
        <f>VLOOKUP(A139,ReferenceTables!$BI$2:$CA$254,MATCH(ShopGenerator!$A$2,ReferenceTables!$BI$1:$CA$1,0),0)</f>
        <v>1</v>
      </c>
      <c r="AC139" s="72">
        <f>VLOOKUP(D139,ReferenceTables!$AQ$2:$BE$27,MATCH(ShopGenerator!$A$4,ReferenceTables!$AQ$1:$BE$1,0),0)</f>
        <v>5</v>
      </c>
    </row>
    <row r="140">
      <c r="A140" s="61" t="s">
        <v>392</v>
      </c>
      <c r="B140" s="62">
        <f t="shared" si="1"/>
        <v>100</v>
      </c>
      <c r="C140" s="61" t="s">
        <v>393</v>
      </c>
      <c r="D140" s="61" t="s">
        <v>394</v>
      </c>
      <c r="E140" s="62">
        <f t="shared" si="13"/>
        <v>82</v>
      </c>
      <c r="F140" s="62">
        <f t="shared" si="14"/>
        <v>50</v>
      </c>
      <c r="G140" s="62">
        <f t="shared" si="15"/>
        <v>91</v>
      </c>
      <c r="H140" s="63"/>
      <c r="I140" s="64" t="b">
        <v>0</v>
      </c>
      <c r="J140" s="64" t="b">
        <v>0</v>
      </c>
      <c r="K140" s="61" t="b">
        <v>1</v>
      </c>
      <c r="L140" s="61" t="b">
        <v>1</v>
      </c>
      <c r="M140" s="61" t="b">
        <v>0</v>
      </c>
      <c r="N140" s="61" t="b">
        <v>0</v>
      </c>
      <c r="O140" s="61" t="b">
        <v>0</v>
      </c>
      <c r="P140" s="61" t="b">
        <v>0</v>
      </c>
      <c r="Q140" s="61" t="b">
        <v>0</v>
      </c>
      <c r="R140" s="61" t="b">
        <v>0</v>
      </c>
      <c r="S140" s="61" t="b">
        <v>0</v>
      </c>
      <c r="T140" s="61" t="b">
        <v>0</v>
      </c>
      <c r="U140" s="61" t="b">
        <v>0</v>
      </c>
      <c r="V140" s="61" t="b">
        <v>1</v>
      </c>
      <c r="W140" s="61" t="b">
        <v>1</v>
      </c>
      <c r="X140" s="61" t="b">
        <v>0</v>
      </c>
      <c r="Y140" s="61" t="b">
        <v>0</v>
      </c>
      <c r="Z140" s="38">
        <f t="shared" si="9"/>
        <v>0.4147543659</v>
      </c>
      <c r="AA140" s="65">
        <v>50.0</v>
      </c>
      <c r="AB140" s="66">
        <f>VLOOKUP(A140,ReferenceTables!$BI$2:$CA$254,MATCH(ShopGenerator!$A$2,ReferenceTables!$BI$1:$CA$1,0),0)</f>
        <v>1</v>
      </c>
      <c r="AC140" s="66">
        <f>VLOOKUP(D140,ReferenceTables!$AQ$2:$BE$27,MATCH(ShopGenerator!$A$4,ReferenceTables!$AQ$1:$BE$1,0),0)</f>
        <v>2</v>
      </c>
    </row>
    <row r="141">
      <c r="A141" s="67" t="s">
        <v>395</v>
      </c>
      <c r="B141" s="68">
        <f t="shared" si="1"/>
        <v>100</v>
      </c>
      <c r="C141" s="67" t="s">
        <v>209</v>
      </c>
      <c r="D141" s="67" t="s">
        <v>394</v>
      </c>
      <c r="E141" s="68">
        <f t="shared" si="13"/>
        <v>82</v>
      </c>
      <c r="F141" s="68">
        <f t="shared" si="14"/>
        <v>50</v>
      </c>
      <c r="G141" s="68">
        <f t="shared" si="15"/>
        <v>91</v>
      </c>
      <c r="H141" s="69"/>
      <c r="I141" s="70" t="b">
        <v>0</v>
      </c>
      <c r="J141" s="70" t="b">
        <v>0</v>
      </c>
      <c r="K141" s="67" t="b">
        <v>1</v>
      </c>
      <c r="L141" s="67" t="b">
        <v>0</v>
      </c>
      <c r="M141" s="67" t="b">
        <v>0</v>
      </c>
      <c r="N141" s="67" t="b">
        <v>0</v>
      </c>
      <c r="O141" s="67" t="b">
        <v>0</v>
      </c>
      <c r="P141" s="67" t="b">
        <v>0</v>
      </c>
      <c r="Q141" s="67" t="b">
        <v>0</v>
      </c>
      <c r="R141" s="67" t="b">
        <v>0</v>
      </c>
      <c r="S141" s="67" t="b">
        <v>0</v>
      </c>
      <c r="T141" s="67" t="b">
        <v>0</v>
      </c>
      <c r="U141" s="67" t="b">
        <v>0</v>
      </c>
      <c r="V141" s="67" t="b">
        <v>1</v>
      </c>
      <c r="W141" s="67" t="b">
        <v>1</v>
      </c>
      <c r="X141" s="67" t="b">
        <v>0</v>
      </c>
      <c r="Y141" s="67" t="b">
        <v>0</v>
      </c>
      <c r="Z141" s="38">
        <f t="shared" si="9"/>
        <v>0.3432316362</v>
      </c>
      <c r="AA141" s="71">
        <v>50.0</v>
      </c>
      <c r="AB141" s="72">
        <f>VLOOKUP(A141,ReferenceTables!$BI$2:$CA$254,MATCH(ShopGenerator!$A$2,ReferenceTables!$BI$1:$CA$1,0),0)</f>
        <v>1</v>
      </c>
      <c r="AC141" s="72">
        <f>VLOOKUP(D141,ReferenceTables!$AQ$2:$BE$27,MATCH(ShopGenerator!$A$4,ReferenceTables!$AQ$1:$BE$1,0),0)</f>
        <v>2</v>
      </c>
    </row>
    <row r="142">
      <c r="A142" s="61" t="s">
        <v>396</v>
      </c>
      <c r="B142" s="62">
        <f t="shared" si="1"/>
        <v>0.01</v>
      </c>
      <c r="C142" s="61" t="s">
        <v>397</v>
      </c>
      <c r="D142" s="61" t="s">
        <v>398</v>
      </c>
      <c r="E142" s="62" t="s">
        <v>297</v>
      </c>
      <c r="F142" s="62" t="s">
        <v>297</v>
      </c>
      <c r="G142" s="62" t="s">
        <v>297</v>
      </c>
      <c r="H142" s="63"/>
      <c r="I142" s="64" t="b">
        <v>0</v>
      </c>
      <c r="J142" s="64" t="b">
        <v>0</v>
      </c>
      <c r="K142" s="61" t="b">
        <v>0</v>
      </c>
      <c r="L142" s="61" t="b">
        <v>0</v>
      </c>
      <c r="M142" s="61" t="b">
        <v>0</v>
      </c>
      <c r="N142" s="61" t="b">
        <v>0</v>
      </c>
      <c r="O142" s="61" t="b">
        <v>1</v>
      </c>
      <c r="P142" s="61" t="b">
        <v>0</v>
      </c>
      <c r="Q142" s="61" t="b">
        <v>0</v>
      </c>
      <c r="R142" s="61" t="b">
        <v>0</v>
      </c>
      <c r="S142" s="61" t="b">
        <v>0</v>
      </c>
      <c r="T142" s="61" t="b">
        <v>0</v>
      </c>
      <c r="U142" s="61" t="b">
        <v>0</v>
      </c>
      <c r="V142" s="61" t="b">
        <v>0</v>
      </c>
      <c r="W142" s="61" t="b">
        <v>0</v>
      </c>
      <c r="X142" s="61" t="b">
        <v>0</v>
      </c>
      <c r="Y142" s="61" t="b">
        <v>0</v>
      </c>
      <c r="Z142" s="2">
        <v>1.9E-9</v>
      </c>
      <c r="AA142" s="65">
        <v>0.01</v>
      </c>
      <c r="AB142" s="66">
        <f>VLOOKUP(A142,ReferenceTables!$BI$2:$CA$254,MATCH(ShopGenerator!$A$2,ReferenceTables!$BI$1:$CA$1,0),0)</f>
        <v>1</v>
      </c>
      <c r="AC142" s="66">
        <f>VLOOKUP(D142,ReferenceTables!$AQ$2:$BE$27,MATCH(ShopGenerator!$A$4,ReferenceTables!$AQ$1:$BE$1,0),0)</f>
        <v>1</v>
      </c>
    </row>
    <row r="143">
      <c r="A143" s="67" t="s">
        <v>399</v>
      </c>
      <c r="B143" s="68">
        <f t="shared" si="1"/>
        <v>0.01</v>
      </c>
      <c r="C143" s="67" t="s">
        <v>397</v>
      </c>
      <c r="D143" s="67" t="s">
        <v>398</v>
      </c>
      <c r="E143" s="68" t="s">
        <v>297</v>
      </c>
      <c r="F143" s="68" t="s">
        <v>297</v>
      </c>
      <c r="G143" s="68" t="s">
        <v>297</v>
      </c>
      <c r="H143" s="69"/>
      <c r="I143" s="70" t="b">
        <v>0</v>
      </c>
      <c r="J143" s="70" t="b">
        <v>0</v>
      </c>
      <c r="K143" s="67" t="b">
        <v>0</v>
      </c>
      <c r="L143" s="67" t="b">
        <v>0</v>
      </c>
      <c r="M143" s="67" t="b">
        <v>0</v>
      </c>
      <c r="N143" s="67" t="b">
        <v>0</v>
      </c>
      <c r="O143" s="67" t="b">
        <v>1</v>
      </c>
      <c r="P143" s="67" t="b">
        <v>0</v>
      </c>
      <c r="Q143" s="67" t="b">
        <v>0</v>
      </c>
      <c r="R143" s="67" t="b">
        <v>0</v>
      </c>
      <c r="S143" s="67" t="b">
        <v>0</v>
      </c>
      <c r="T143" s="67" t="b">
        <v>0</v>
      </c>
      <c r="U143" s="67" t="b">
        <v>0</v>
      </c>
      <c r="V143" s="67" t="b">
        <v>0</v>
      </c>
      <c r="W143" s="67" t="b">
        <v>0</v>
      </c>
      <c r="X143" s="67" t="b">
        <v>0</v>
      </c>
      <c r="Y143" s="67" t="b">
        <v>0</v>
      </c>
      <c r="Z143" s="2">
        <v>1.8E-9</v>
      </c>
      <c r="AA143" s="71">
        <v>0.01</v>
      </c>
      <c r="AB143" s="72">
        <f>VLOOKUP(A143,ReferenceTables!$BI$2:$CA$254,MATCH(ShopGenerator!$A$2,ReferenceTables!$BI$1:$CA$1,0),0)</f>
        <v>1</v>
      </c>
      <c r="AC143" s="72">
        <f>VLOOKUP(D143,ReferenceTables!$AQ$2:$BE$27,MATCH(ShopGenerator!$A$4,ReferenceTables!$AQ$1:$BE$1,0),0)</f>
        <v>1</v>
      </c>
    </row>
    <row r="144">
      <c r="A144" s="61" t="s">
        <v>400</v>
      </c>
      <c r="B144" s="62">
        <f t="shared" si="1"/>
        <v>0.02</v>
      </c>
      <c r="C144" s="61" t="s">
        <v>397</v>
      </c>
      <c r="D144" s="61" t="s">
        <v>398</v>
      </c>
      <c r="E144" s="62" t="s">
        <v>297</v>
      </c>
      <c r="F144" s="62" t="s">
        <v>297</v>
      </c>
      <c r="G144" s="62" t="s">
        <v>297</v>
      </c>
      <c r="H144" s="63"/>
      <c r="I144" s="64" t="b">
        <v>0</v>
      </c>
      <c r="J144" s="64" t="b">
        <v>0</v>
      </c>
      <c r="K144" s="61" t="b">
        <v>0</v>
      </c>
      <c r="L144" s="61" t="b">
        <v>0</v>
      </c>
      <c r="M144" s="61" t="b">
        <v>0</v>
      </c>
      <c r="N144" s="61" t="b">
        <v>0</v>
      </c>
      <c r="O144" s="61" t="b">
        <v>1</v>
      </c>
      <c r="P144" s="61" t="b">
        <v>0</v>
      </c>
      <c r="Q144" s="61" t="b">
        <v>0</v>
      </c>
      <c r="R144" s="61" t="b">
        <v>0</v>
      </c>
      <c r="S144" s="61" t="b">
        <v>0</v>
      </c>
      <c r="T144" s="61" t="b">
        <v>0</v>
      </c>
      <c r="U144" s="61" t="b">
        <v>0</v>
      </c>
      <c r="V144" s="61" t="b">
        <v>0</v>
      </c>
      <c r="W144" s="61" t="b">
        <v>0</v>
      </c>
      <c r="X144" s="61" t="b">
        <v>0</v>
      </c>
      <c r="Y144" s="61" t="b">
        <v>0</v>
      </c>
      <c r="Z144" s="2">
        <v>2.0E-9</v>
      </c>
      <c r="AA144" s="65">
        <v>0.02</v>
      </c>
      <c r="AB144" s="66">
        <f>VLOOKUP(A144,ReferenceTables!$BI$2:$CA$254,MATCH(ShopGenerator!$A$2,ReferenceTables!$BI$1:$CA$1,0),0)</f>
        <v>1</v>
      </c>
      <c r="AC144" s="66">
        <f>VLOOKUP(D144,ReferenceTables!$AQ$2:$BE$27,MATCH(ShopGenerator!$A$4,ReferenceTables!$AQ$1:$BE$1,0),0)</f>
        <v>1</v>
      </c>
    </row>
    <row r="145">
      <c r="A145" s="67" t="s">
        <v>401</v>
      </c>
      <c r="B145" s="68">
        <f t="shared" si="1"/>
        <v>3</v>
      </c>
      <c r="C145" s="67" t="s">
        <v>51</v>
      </c>
      <c r="D145" s="67" t="s">
        <v>58</v>
      </c>
      <c r="E145" s="68">
        <f t="shared" ref="E145:E158" si="16">IF(B145&lt;22,B145*0.62,B145*0.82)</f>
        <v>1.86</v>
      </c>
      <c r="F145" s="68">
        <f t="shared" ref="F145:F158" si="17">B145/2</f>
        <v>1.5</v>
      </c>
      <c r="G145" s="68">
        <f t="shared" ref="G145:G158" si="18">B145-((B145-E145)/2)</f>
        <v>2.43</v>
      </c>
      <c r="H145" s="69"/>
      <c r="I145" s="70" t="b">
        <v>0</v>
      </c>
      <c r="J145" s="70" t="b">
        <v>0</v>
      </c>
      <c r="K145" s="67" t="b">
        <v>1</v>
      </c>
      <c r="L145" s="67" t="b">
        <v>0</v>
      </c>
      <c r="M145" s="67" t="b">
        <v>0</v>
      </c>
      <c r="N145" s="67" t="b">
        <v>0</v>
      </c>
      <c r="O145" s="67" t="b">
        <v>0</v>
      </c>
      <c r="P145" s="67" t="b">
        <v>0</v>
      </c>
      <c r="Q145" s="67" t="b">
        <v>0</v>
      </c>
      <c r="R145" s="67" t="b">
        <v>0</v>
      </c>
      <c r="S145" s="67" t="b">
        <v>0</v>
      </c>
      <c r="T145" s="67" t="b">
        <v>0</v>
      </c>
      <c r="U145" s="67" t="b">
        <v>0</v>
      </c>
      <c r="V145" s="67" t="b">
        <v>0</v>
      </c>
      <c r="W145" s="67" t="b">
        <v>1</v>
      </c>
      <c r="X145" s="67" t="b">
        <v>0</v>
      </c>
      <c r="Y145" s="67" t="b">
        <v>0</v>
      </c>
      <c r="Z145" s="38">
        <f t="shared" ref="Z145:Z219" si="19">RAND()</f>
        <v>0.9440612281</v>
      </c>
      <c r="AA145" s="71">
        <v>2.0</v>
      </c>
      <c r="AB145" s="72">
        <f>VLOOKUP(A145,ReferenceTables!$BI$2:$CA$254,MATCH(ShopGenerator!$A$2,ReferenceTables!$BI$1:$CA$1,0),0)</f>
        <v>1</v>
      </c>
      <c r="AC145" s="72">
        <f>VLOOKUP(D145,ReferenceTables!$AQ$2:$BE$27,MATCH(ShopGenerator!$A$4,ReferenceTables!$AQ$1:$BE$1,0),0)</f>
        <v>1.5</v>
      </c>
    </row>
    <row r="146">
      <c r="A146" s="61" t="s">
        <v>402</v>
      </c>
      <c r="B146" s="62">
        <f t="shared" si="1"/>
        <v>1.5</v>
      </c>
      <c r="C146" s="61" t="s">
        <v>403</v>
      </c>
      <c r="D146" s="61" t="s">
        <v>58</v>
      </c>
      <c r="E146" s="62">
        <f t="shared" si="16"/>
        <v>0.93</v>
      </c>
      <c r="F146" s="62">
        <f t="shared" si="17"/>
        <v>0.75</v>
      </c>
      <c r="G146" s="62">
        <f t="shared" si="18"/>
        <v>1.215</v>
      </c>
      <c r="H146" s="63"/>
      <c r="I146" s="64" t="b">
        <v>0</v>
      </c>
      <c r="J146" s="64" t="b">
        <v>1</v>
      </c>
      <c r="K146" s="61" t="b">
        <v>1</v>
      </c>
      <c r="L146" s="61" t="b">
        <v>0</v>
      </c>
      <c r="M146" s="61" t="b">
        <v>0</v>
      </c>
      <c r="N146" s="61" t="b">
        <v>0</v>
      </c>
      <c r="O146" s="61" t="b">
        <v>0</v>
      </c>
      <c r="P146" s="61" t="b">
        <v>0</v>
      </c>
      <c r="Q146" s="61" t="b">
        <v>0</v>
      </c>
      <c r="R146" s="61" t="b">
        <v>0</v>
      </c>
      <c r="S146" s="61" t="b">
        <v>0</v>
      </c>
      <c r="T146" s="61" t="b">
        <v>0</v>
      </c>
      <c r="U146" s="61" t="b">
        <v>0</v>
      </c>
      <c r="V146" s="61" t="b">
        <v>0</v>
      </c>
      <c r="W146" s="61" t="b">
        <v>1</v>
      </c>
      <c r="X146" s="61" t="b">
        <v>0</v>
      </c>
      <c r="Y146" s="61" t="b">
        <v>0</v>
      </c>
      <c r="Z146" s="38">
        <f t="shared" si="19"/>
        <v>0.9215492372</v>
      </c>
      <c r="AA146" s="65">
        <v>1.0</v>
      </c>
      <c r="AB146" s="66">
        <f>VLOOKUP(A146,ReferenceTables!$BI$2:$CA$254,MATCH(ShopGenerator!$A$2,ReferenceTables!$BI$1:$CA$1,0),0)</f>
        <v>1</v>
      </c>
      <c r="AC146" s="66">
        <f>VLOOKUP(D146,ReferenceTables!$AQ$2:$BE$27,MATCH(ShopGenerator!$A$4,ReferenceTables!$AQ$1:$BE$1,0),0)</f>
        <v>1.5</v>
      </c>
    </row>
    <row r="147">
      <c r="A147" s="67" t="s">
        <v>68</v>
      </c>
      <c r="B147" s="68">
        <f t="shared" si="1"/>
        <v>3</v>
      </c>
      <c r="C147" s="67" t="s">
        <v>57</v>
      </c>
      <c r="D147" s="67" t="s">
        <v>58</v>
      </c>
      <c r="E147" s="68">
        <f t="shared" si="16"/>
        <v>1.86</v>
      </c>
      <c r="F147" s="68">
        <f t="shared" si="17"/>
        <v>1.5</v>
      </c>
      <c r="G147" s="68">
        <f t="shared" si="18"/>
        <v>2.43</v>
      </c>
      <c r="H147" s="69"/>
      <c r="I147" s="70" t="b">
        <v>0</v>
      </c>
      <c r="J147" s="70" t="b">
        <v>1</v>
      </c>
      <c r="K147" s="67" t="b">
        <v>1</v>
      </c>
      <c r="L147" s="67" t="b">
        <v>1</v>
      </c>
      <c r="M147" s="67" t="b">
        <v>0</v>
      </c>
      <c r="N147" s="67" t="b">
        <v>0</v>
      </c>
      <c r="O147" s="67" t="b">
        <v>0</v>
      </c>
      <c r="P147" s="67" t="b">
        <v>0</v>
      </c>
      <c r="Q147" s="67" t="b">
        <v>0</v>
      </c>
      <c r="R147" s="67" t="b">
        <v>0</v>
      </c>
      <c r="S147" s="67" t="b">
        <v>0</v>
      </c>
      <c r="T147" s="67" t="b">
        <v>0</v>
      </c>
      <c r="U147" s="67" t="b">
        <v>0</v>
      </c>
      <c r="V147" s="67" t="b">
        <v>0</v>
      </c>
      <c r="W147" s="67" t="b">
        <v>1</v>
      </c>
      <c r="X147" s="67" t="b">
        <v>0</v>
      </c>
      <c r="Y147" s="67" t="b">
        <v>0</v>
      </c>
      <c r="Z147" s="38">
        <f t="shared" si="19"/>
        <v>0.3033127226</v>
      </c>
      <c r="AA147" s="71">
        <v>2.0</v>
      </c>
      <c r="AB147" s="72">
        <f>VLOOKUP(A147,ReferenceTables!$BI$2:$CA$254,MATCH(ShopGenerator!$A$2,ReferenceTables!$BI$1:$CA$1,0),0)</f>
        <v>1</v>
      </c>
      <c r="AC147" s="72">
        <f>VLOOKUP(D147,ReferenceTables!$AQ$2:$BE$27,MATCH(ShopGenerator!$A$4,ReferenceTables!$AQ$1:$BE$1,0),0)</f>
        <v>1.5</v>
      </c>
    </row>
    <row r="148">
      <c r="A148" s="61" t="s">
        <v>404</v>
      </c>
      <c r="B148" s="62">
        <f t="shared" si="1"/>
        <v>1.5</v>
      </c>
      <c r="C148" s="61" t="s">
        <v>49</v>
      </c>
      <c r="D148" s="61" t="s">
        <v>58</v>
      </c>
      <c r="E148" s="62">
        <f t="shared" si="16"/>
        <v>0.93</v>
      </c>
      <c r="F148" s="62">
        <f t="shared" si="17"/>
        <v>0.75</v>
      </c>
      <c r="G148" s="62">
        <f t="shared" si="18"/>
        <v>1.215</v>
      </c>
      <c r="H148" s="63"/>
      <c r="I148" s="64" t="b">
        <v>0</v>
      </c>
      <c r="J148" s="64" t="b">
        <v>0</v>
      </c>
      <c r="K148" s="61" t="b">
        <v>1</v>
      </c>
      <c r="L148" s="61" t="b">
        <v>1</v>
      </c>
      <c r="M148" s="61" t="b">
        <v>0</v>
      </c>
      <c r="N148" s="61" t="b">
        <v>1</v>
      </c>
      <c r="O148" s="61" t="b">
        <v>0</v>
      </c>
      <c r="P148" s="61" t="b">
        <v>0</v>
      </c>
      <c r="Q148" s="61" t="b">
        <v>0</v>
      </c>
      <c r="R148" s="61" t="b">
        <v>0</v>
      </c>
      <c r="S148" s="61" t="b">
        <v>0</v>
      </c>
      <c r="T148" s="61" t="b">
        <v>0</v>
      </c>
      <c r="U148" s="61" t="b">
        <v>1</v>
      </c>
      <c r="V148" s="61" t="b">
        <v>0</v>
      </c>
      <c r="W148" s="61" t="b">
        <v>1</v>
      </c>
      <c r="X148" s="61" t="b">
        <v>0</v>
      </c>
      <c r="Y148" s="61" t="b">
        <v>0</v>
      </c>
      <c r="Z148" s="38">
        <f t="shared" si="19"/>
        <v>0.7935917709</v>
      </c>
      <c r="AA148" s="65">
        <v>1.0</v>
      </c>
      <c r="AB148" s="66">
        <f>VLOOKUP(A148,ReferenceTables!$BI$2:$CA$254,MATCH(ShopGenerator!$A$2,ReferenceTables!$BI$1:$CA$1,0),0)</f>
        <v>1</v>
      </c>
      <c r="AC148" s="66">
        <f>VLOOKUP(D148,ReferenceTables!$AQ$2:$BE$27,MATCH(ShopGenerator!$A$4,ReferenceTables!$AQ$1:$BE$1,0),0)</f>
        <v>1.5</v>
      </c>
    </row>
    <row r="149">
      <c r="A149" s="67" t="s">
        <v>405</v>
      </c>
      <c r="B149" s="68">
        <f t="shared" si="1"/>
        <v>1.5</v>
      </c>
      <c r="C149" s="67" t="s">
        <v>75</v>
      </c>
      <c r="D149" s="67" t="s">
        <v>58</v>
      </c>
      <c r="E149" s="68">
        <f t="shared" si="16"/>
        <v>0.93</v>
      </c>
      <c r="F149" s="68">
        <f t="shared" si="17"/>
        <v>0.75</v>
      </c>
      <c r="G149" s="68">
        <f t="shared" si="18"/>
        <v>1.215</v>
      </c>
      <c r="H149" s="69"/>
      <c r="I149" s="70" t="b">
        <v>0</v>
      </c>
      <c r="J149" s="70" t="b">
        <v>1</v>
      </c>
      <c r="K149" s="67" t="b">
        <v>1</v>
      </c>
      <c r="L149" s="67" t="b">
        <v>0</v>
      </c>
      <c r="M149" s="67" t="b">
        <v>0</v>
      </c>
      <c r="N149" s="67" t="b">
        <v>0</v>
      </c>
      <c r="O149" s="67" t="b">
        <v>0</v>
      </c>
      <c r="P149" s="67" t="b">
        <v>0</v>
      </c>
      <c r="Q149" s="67" t="b">
        <v>0</v>
      </c>
      <c r="R149" s="67" t="b">
        <v>0</v>
      </c>
      <c r="S149" s="67" t="b">
        <v>0</v>
      </c>
      <c r="T149" s="67" t="b">
        <v>0</v>
      </c>
      <c r="U149" s="67" t="b">
        <v>1</v>
      </c>
      <c r="V149" s="67" t="b">
        <v>0</v>
      </c>
      <c r="W149" s="67" t="b">
        <v>1</v>
      </c>
      <c r="X149" s="67" t="b">
        <v>0</v>
      </c>
      <c r="Y149" s="67" t="b">
        <v>0</v>
      </c>
      <c r="Z149" s="38">
        <f t="shared" si="19"/>
        <v>0.6272272701</v>
      </c>
      <c r="AA149" s="71">
        <v>1.0</v>
      </c>
      <c r="AB149" s="72">
        <f>VLOOKUP(A149,ReferenceTables!$BI$2:$CA$254,MATCH(ShopGenerator!$A$2,ReferenceTables!$BI$1:$CA$1,0),0)</f>
        <v>1</v>
      </c>
      <c r="AC149" s="72">
        <f>VLOOKUP(D149,ReferenceTables!$AQ$2:$BE$27,MATCH(ShopGenerator!$A$4,ReferenceTables!$AQ$1:$BE$1,0),0)</f>
        <v>1.5</v>
      </c>
    </row>
    <row r="150">
      <c r="A150" s="61" t="s">
        <v>406</v>
      </c>
      <c r="B150" s="62">
        <f t="shared" si="1"/>
        <v>15</v>
      </c>
      <c r="C150" s="61" t="s">
        <v>407</v>
      </c>
      <c r="D150" s="61" t="s">
        <v>58</v>
      </c>
      <c r="E150" s="62">
        <f t="shared" si="16"/>
        <v>9.3</v>
      </c>
      <c r="F150" s="62">
        <f t="shared" si="17"/>
        <v>7.5</v>
      </c>
      <c r="G150" s="62">
        <f t="shared" si="18"/>
        <v>12.15</v>
      </c>
      <c r="H150" s="63"/>
      <c r="I150" s="64" t="b">
        <v>0</v>
      </c>
      <c r="J150" s="64" t="b">
        <v>0</v>
      </c>
      <c r="K150" s="61" t="b">
        <v>1</v>
      </c>
      <c r="L150" s="61" t="b">
        <v>0</v>
      </c>
      <c r="M150" s="61" t="b">
        <v>1</v>
      </c>
      <c r="N150" s="61" t="b">
        <v>0</v>
      </c>
      <c r="O150" s="61" t="b">
        <v>0</v>
      </c>
      <c r="P150" s="61" t="b">
        <v>0</v>
      </c>
      <c r="Q150" s="61" t="b">
        <v>0</v>
      </c>
      <c r="R150" s="61" t="b">
        <v>0</v>
      </c>
      <c r="S150" s="61" t="b">
        <v>0</v>
      </c>
      <c r="T150" s="61" t="b">
        <v>0</v>
      </c>
      <c r="U150" s="61" t="b">
        <v>0</v>
      </c>
      <c r="V150" s="61" t="b">
        <v>0</v>
      </c>
      <c r="W150" s="61" t="b">
        <v>1</v>
      </c>
      <c r="X150" s="61" t="b">
        <v>0</v>
      </c>
      <c r="Y150" s="61" t="b">
        <v>0</v>
      </c>
      <c r="Z150" s="38">
        <f t="shared" si="19"/>
        <v>0.7278734101</v>
      </c>
      <c r="AA150" s="65">
        <v>10.0</v>
      </c>
      <c r="AB150" s="66">
        <f>VLOOKUP(A150,ReferenceTables!$BI$2:$CA$254,MATCH(ShopGenerator!$A$2,ReferenceTables!$BI$1:$CA$1,0),0)</f>
        <v>1</v>
      </c>
      <c r="AC150" s="66">
        <f>VLOOKUP(D150,ReferenceTables!$AQ$2:$BE$27,MATCH(ShopGenerator!$A$4,ReferenceTables!$AQ$1:$BE$1,0),0)</f>
        <v>1.5</v>
      </c>
    </row>
    <row r="151">
      <c r="A151" s="67" t="s">
        <v>408</v>
      </c>
      <c r="B151" s="68">
        <f t="shared" si="1"/>
        <v>0.03</v>
      </c>
      <c r="C151" s="67" t="s">
        <v>211</v>
      </c>
      <c r="D151" s="67" t="s">
        <v>58</v>
      </c>
      <c r="E151" s="68">
        <f t="shared" si="16"/>
        <v>0.0186</v>
      </c>
      <c r="F151" s="68">
        <f t="shared" si="17"/>
        <v>0.015</v>
      </c>
      <c r="G151" s="68">
        <f t="shared" si="18"/>
        <v>0.0243</v>
      </c>
      <c r="H151" s="69"/>
      <c r="I151" s="70" t="b">
        <v>0</v>
      </c>
      <c r="J151" s="70" t="b">
        <v>0</v>
      </c>
      <c r="K151" s="67" t="b">
        <v>1</v>
      </c>
      <c r="L151" s="67" t="b">
        <v>0</v>
      </c>
      <c r="M151" s="67" t="b">
        <v>1</v>
      </c>
      <c r="N151" s="67" t="b">
        <v>0</v>
      </c>
      <c r="O151" s="67" t="b">
        <v>0</v>
      </c>
      <c r="P151" s="67" t="b">
        <v>0</v>
      </c>
      <c r="Q151" s="67" t="b">
        <v>0</v>
      </c>
      <c r="R151" s="67" t="b">
        <v>0</v>
      </c>
      <c r="S151" s="67" t="b">
        <v>0</v>
      </c>
      <c r="T151" s="67" t="b">
        <v>0</v>
      </c>
      <c r="U151" s="67" t="b">
        <v>0</v>
      </c>
      <c r="V151" s="67" t="b">
        <v>0</v>
      </c>
      <c r="W151" s="67" t="b">
        <v>1</v>
      </c>
      <c r="X151" s="67" t="b">
        <v>0</v>
      </c>
      <c r="Y151" s="67" t="b">
        <v>0</v>
      </c>
      <c r="Z151" s="38">
        <f t="shared" si="19"/>
        <v>0.6324545017</v>
      </c>
      <c r="AA151" s="71">
        <v>0.02</v>
      </c>
      <c r="AB151" s="72">
        <f>VLOOKUP(A151,ReferenceTables!$BI$2:$CA$254,MATCH(ShopGenerator!$A$2,ReferenceTables!$BI$1:$CA$1,0),0)</f>
        <v>1</v>
      </c>
      <c r="AC151" s="72">
        <f>VLOOKUP(D151,ReferenceTables!$AQ$2:$BE$27,MATCH(ShopGenerator!$A$4,ReferenceTables!$AQ$1:$BE$1,0),0)</f>
        <v>1.5</v>
      </c>
    </row>
    <row r="152">
      <c r="A152" s="61" t="s">
        <v>61</v>
      </c>
      <c r="B152" s="62">
        <f t="shared" si="1"/>
        <v>1.5</v>
      </c>
      <c r="C152" s="61" t="s">
        <v>62</v>
      </c>
      <c r="D152" s="61" t="s">
        <v>58</v>
      </c>
      <c r="E152" s="62">
        <f t="shared" si="16"/>
        <v>0.93</v>
      </c>
      <c r="F152" s="62">
        <f t="shared" si="17"/>
        <v>0.75</v>
      </c>
      <c r="G152" s="62">
        <f t="shared" si="18"/>
        <v>1.215</v>
      </c>
      <c r="H152" s="63"/>
      <c r="I152" s="64" t="b">
        <v>0</v>
      </c>
      <c r="J152" s="64" t="b">
        <v>1</v>
      </c>
      <c r="K152" s="61" t="b">
        <v>1</v>
      </c>
      <c r="L152" s="61" t="b">
        <v>1</v>
      </c>
      <c r="M152" s="61" t="b">
        <v>0</v>
      </c>
      <c r="N152" s="61" t="b">
        <v>0</v>
      </c>
      <c r="O152" s="61" t="b">
        <v>0</v>
      </c>
      <c r="P152" s="61" t="b">
        <v>0</v>
      </c>
      <c r="Q152" s="61" t="b">
        <v>0</v>
      </c>
      <c r="R152" s="61" t="b">
        <v>0</v>
      </c>
      <c r="S152" s="61" t="b">
        <v>0</v>
      </c>
      <c r="T152" s="61" t="b">
        <v>0</v>
      </c>
      <c r="U152" s="61" t="b">
        <v>1</v>
      </c>
      <c r="V152" s="61" t="b">
        <v>0</v>
      </c>
      <c r="W152" s="61" t="b">
        <v>1</v>
      </c>
      <c r="X152" s="61" t="b">
        <v>0</v>
      </c>
      <c r="Y152" s="61" t="b">
        <v>0</v>
      </c>
      <c r="Z152" s="38">
        <f t="shared" si="19"/>
        <v>0.1041364339</v>
      </c>
      <c r="AA152" s="65">
        <v>1.0</v>
      </c>
      <c r="AB152" s="66">
        <f>VLOOKUP(A152,ReferenceTables!$BI$2:$CA$254,MATCH(ShopGenerator!$A$2,ReferenceTables!$BI$1:$CA$1,0),0)</f>
        <v>1</v>
      </c>
      <c r="AC152" s="66">
        <f>VLOOKUP(D152,ReferenceTables!$AQ$2:$BE$27,MATCH(ShopGenerator!$A$4,ReferenceTables!$AQ$1:$BE$1,0),0)</f>
        <v>1.5</v>
      </c>
    </row>
    <row r="153">
      <c r="A153" s="67" t="s">
        <v>409</v>
      </c>
      <c r="B153" s="68">
        <f t="shared" si="1"/>
        <v>15</v>
      </c>
      <c r="C153" s="67" t="s">
        <v>43</v>
      </c>
      <c r="D153" s="67" t="s">
        <v>58</v>
      </c>
      <c r="E153" s="68">
        <f t="shared" si="16"/>
        <v>9.3</v>
      </c>
      <c r="F153" s="68">
        <f t="shared" si="17"/>
        <v>7.5</v>
      </c>
      <c r="G153" s="68">
        <f t="shared" si="18"/>
        <v>12.15</v>
      </c>
      <c r="H153" s="69"/>
      <c r="I153" s="70" t="b">
        <v>0</v>
      </c>
      <c r="J153" s="70" t="b">
        <v>0</v>
      </c>
      <c r="K153" s="67" t="b">
        <v>0</v>
      </c>
      <c r="L153" s="67" t="b">
        <v>0</v>
      </c>
      <c r="M153" s="67" t="b">
        <v>0</v>
      </c>
      <c r="N153" s="67" t="b">
        <v>0</v>
      </c>
      <c r="O153" s="67" t="b">
        <v>0</v>
      </c>
      <c r="P153" s="67" t="b">
        <v>0</v>
      </c>
      <c r="Q153" s="67" t="b">
        <v>0</v>
      </c>
      <c r="R153" s="67" t="b">
        <v>0</v>
      </c>
      <c r="S153" s="67" t="b">
        <v>0</v>
      </c>
      <c r="T153" s="67" t="b">
        <v>0</v>
      </c>
      <c r="U153" s="67" t="b">
        <v>0</v>
      </c>
      <c r="V153" s="67" t="b">
        <v>0</v>
      </c>
      <c r="W153" s="67" t="b">
        <v>1</v>
      </c>
      <c r="X153" s="67" t="b">
        <v>0</v>
      </c>
      <c r="Y153" s="67" t="b">
        <v>0</v>
      </c>
      <c r="Z153" s="38">
        <f t="shared" si="19"/>
        <v>0.421515882</v>
      </c>
      <c r="AA153" s="71">
        <v>10.0</v>
      </c>
      <c r="AB153" s="72">
        <f>VLOOKUP(A153,ReferenceTables!$BI$2:$CA$254,MATCH(ShopGenerator!$A$2,ReferenceTables!$BI$1:$CA$1,0),0)</f>
        <v>1</v>
      </c>
      <c r="AC153" s="72">
        <f>VLOOKUP(D153,ReferenceTables!$AQ$2:$BE$27,MATCH(ShopGenerator!$A$4,ReferenceTables!$AQ$1:$BE$1,0),0)</f>
        <v>1.5</v>
      </c>
    </row>
    <row r="154">
      <c r="A154" s="61" t="s">
        <v>410</v>
      </c>
      <c r="B154" s="62">
        <f t="shared" si="1"/>
        <v>7.5</v>
      </c>
      <c r="C154" s="61" t="s">
        <v>75</v>
      </c>
      <c r="D154" s="61" t="s">
        <v>58</v>
      </c>
      <c r="E154" s="62">
        <f t="shared" si="16"/>
        <v>4.65</v>
      </c>
      <c r="F154" s="62">
        <f t="shared" si="17"/>
        <v>3.75</v>
      </c>
      <c r="G154" s="62">
        <f t="shared" si="18"/>
        <v>6.075</v>
      </c>
      <c r="H154" s="63"/>
      <c r="I154" s="64" t="b">
        <v>0</v>
      </c>
      <c r="J154" s="64" t="b">
        <v>0</v>
      </c>
      <c r="K154" s="61" t="b">
        <v>1</v>
      </c>
      <c r="L154" s="61" t="b">
        <v>0</v>
      </c>
      <c r="M154" s="61" t="b">
        <v>0</v>
      </c>
      <c r="N154" s="61" t="b">
        <v>0</v>
      </c>
      <c r="O154" s="61" t="b">
        <v>0</v>
      </c>
      <c r="P154" s="61" t="b">
        <v>0</v>
      </c>
      <c r="Q154" s="61" t="b">
        <v>0</v>
      </c>
      <c r="R154" s="61" t="b">
        <v>0</v>
      </c>
      <c r="S154" s="61" t="b">
        <v>0</v>
      </c>
      <c r="T154" s="61" t="b">
        <v>0</v>
      </c>
      <c r="U154" s="61" t="b">
        <v>0</v>
      </c>
      <c r="V154" s="61" t="b">
        <v>0</v>
      </c>
      <c r="W154" s="61" t="b">
        <v>1</v>
      </c>
      <c r="X154" s="61" t="b">
        <v>0</v>
      </c>
      <c r="Y154" s="61" t="b">
        <v>0</v>
      </c>
      <c r="Z154" s="38">
        <f t="shared" si="19"/>
        <v>0.9287390449</v>
      </c>
      <c r="AA154" s="65">
        <v>5.0</v>
      </c>
      <c r="AB154" s="66">
        <f>VLOOKUP(A154,ReferenceTables!$BI$2:$CA$254,MATCH(ShopGenerator!$A$2,ReferenceTables!$BI$1:$CA$1,0),0)</f>
        <v>1</v>
      </c>
      <c r="AC154" s="66">
        <f>VLOOKUP(D154,ReferenceTables!$AQ$2:$BE$27,MATCH(ShopGenerator!$A$4,ReferenceTables!$AQ$1:$BE$1,0),0)</f>
        <v>1.5</v>
      </c>
    </row>
    <row r="155">
      <c r="A155" s="67" t="s">
        <v>411</v>
      </c>
      <c r="B155" s="68">
        <f t="shared" si="1"/>
        <v>6</v>
      </c>
      <c r="C155" s="67" t="s">
        <v>412</v>
      </c>
      <c r="D155" s="67" t="s">
        <v>58</v>
      </c>
      <c r="E155" s="68">
        <f t="shared" si="16"/>
        <v>3.72</v>
      </c>
      <c r="F155" s="68">
        <f t="shared" si="17"/>
        <v>3</v>
      </c>
      <c r="G155" s="68">
        <f t="shared" si="18"/>
        <v>4.86</v>
      </c>
      <c r="H155" s="67" t="s">
        <v>413</v>
      </c>
      <c r="I155" s="70" t="b">
        <v>0</v>
      </c>
      <c r="J155" s="70" t="b">
        <v>0</v>
      </c>
      <c r="K155" s="67" t="b">
        <v>1</v>
      </c>
      <c r="L155" s="67" t="b">
        <v>0</v>
      </c>
      <c r="M155" s="67" t="b">
        <v>0</v>
      </c>
      <c r="N155" s="67" t="b">
        <v>0</v>
      </c>
      <c r="O155" s="67" t="b">
        <v>0</v>
      </c>
      <c r="P155" s="67" t="b">
        <v>0</v>
      </c>
      <c r="Q155" s="67" t="b">
        <v>0</v>
      </c>
      <c r="R155" s="67" t="b">
        <v>0</v>
      </c>
      <c r="S155" s="67" t="b">
        <v>0</v>
      </c>
      <c r="T155" s="67" t="b">
        <v>0</v>
      </c>
      <c r="U155" s="67" t="b">
        <v>0</v>
      </c>
      <c r="V155" s="67" t="b">
        <v>0</v>
      </c>
      <c r="W155" s="67" t="b">
        <v>1</v>
      </c>
      <c r="X155" s="67" t="b">
        <v>0</v>
      </c>
      <c r="Y155" s="67" t="b">
        <v>0</v>
      </c>
      <c r="Z155" s="38">
        <f t="shared" si="19"/>
        <v>0.4265024054</v>
      </c>
      <c r="AA155" s="71">
        <v>4.0</v>
      </c>
      <c r="AB155" s="72">
        <f>VLOOKUP(A155,ReferenceTables!$BI$2:$CA$254,MATCH(ShopGenerator!$A$2,ReferenceTables!$BI$1:$CA$1,0),0)</f>
        <v>1</v>
      </c>
      <c r="AC155" s="72">
        <f>VLOOKUP(D155,ReferenceTables!$AQ$2:$BE$27,MATCH(ShopGenerator!$A$4,ReferenceTables!$AQ$1:$BE$1,0),0)</f>
        <v>1.5</v>
      </c>
    </row>
    <row r="156">
      <c r="A156" s="61" t="s">
        <v>56</v>
      </c>
      <c r="B156" s="62">
        <f t="shared" si="1"/>
        <v>3</v>
      </c>
      <c r="C156" s="61" t="s">
        <v>57</v>
      </c>
      <c r="D156" s="61" t="s">
        <v>58</v>
      </c>
      <c r="E156" s="62">
        <f t="shared" si="16"/>
        <v>1.86</v>
      </c>
      <c r="F156" s="62">
        <f t="shared" si="17"/>
        <v>1.5</v>
      </c>
      <c r="G156" s="62">
        <f t="shared" si="18"/>
        <v>2.43</v>
      </c>
      <c r="H156" s="63"/>
      <c r="I156" s="64" t="b">
        <v>0</v>
      </c>
      <c r="J156" s="64" t="b">
        <v>1</v>
      </c>
      <c r="K156" s="61" t="b">
        <v>1</v>
      </c>
      <c r="L156" s="61" t="b">
        <v>1</v>
      </c>
      <c r="M156" s="61" t="b">
        <v>0</v>
      </c>
      <c r="N156" s="61" t="b">
        <v>0</v>
      </c>
      <c r="O156" s="61" t="b">
        <v>0</v>
      </c>
      <c r="P156" s="61" t="b">
        <v>0</v>
      </c>
      <c r="Q156" s="61" t="b">
        <v>0</v>
      </c>
      <c r="R156" s="61" t="b">
        <v>0</v>
      </c>
      <c r="S156" s="61" t="b">
        <v>0</v>
      </c>
      <c r="T156" s="61" t="b">
        <v>0</v>
      </c>
      <c r="U156" s="61" t="b">
        <v>1</v>
      </c>
      <c r="V156" s="61" t="b">
        <v>0</v>
      </c>
      <c r="W156" s="61" t="b">
        <v>1</v>
      </c>
      <c r="X156" s="61" t="b">
        <v>0</v>
      </c>
      <c r="Y156" s="61" t="b">
        <v>0</v>
      </c>
      <c r="Z156" s="38">
        <f t="shared" si="19"/>
        <v>0.02149556359</v>
      </c>
      <c r="AA156" s="65">
        <v>2.0</v>
      </c>
      <c r="AB156" s="66">
        <f>VLOOKUP(A156,ReferenceTables!$BI$2:$CA$254,MATCH(ShopGenerator!$A$2,ReferenceTables!$BI$1:$CA$1,0),0)</f>
        <v>1</v>
      </c>
      <c r="AC156" s="66">
        <f>VLOOKUP(D156,ReferenceTables!$AQ$2:$BE$27,MATCH(ShopGenerator!$A$4,ReferenceTables!$AQ$1:$BE$1,0),0)</f>
        <v>1.5</v>
      </c>
    </row>
    <row r="157">
      <c r="A157" s="67" t="s">
        <v>414</v>
      </c>
      <c r="B157" s="68">
        <f t="shared" si="1"/>
        <v>3</v>
      </c>
      <c r="C157" s="67" t="s">
        <v>72</v>
      </c>
      <c r="D157" s="67" t="s">
        <v>58</v>
      </c>
      <c r="E157" s="68">
        <f t="shared" si="16"/>
        <v>1.86</v>
      </c>
      <c r="F157" s="68">
        <f t="shared" si="17"/>
        <v>1.5</v>
      </c>
      <c r="G157" s="68">
        <f t="shared" si="18"/>
        <v>2.43</v>
      </c>
      <c r="H157" s="69"/>
      <c r="I157" s="70" t="b">
        <v>0</v>
      </c>
      <c r="J157" s="70" t="b">
        <v>1</v>
      </c>
      <c r="K157" s="67" t="b">
        <v>0</v>
      </c>
      <c r="L157" s="67" t="b">
        <v>0</v>
      </c>
      <c r="M157" s="67" t="b">
        <v>0</v>
      </c>
      <c r="N157" s="67" t="b">
        <v>0</v>
      </c>
      <c r="O157" s="67" t="b">
        <v>0</v>
      </c>
      <c r="P157" s="67" t="b">
        <v>0</v>
      </c>
      <c r="Q157" s="67" t="b">
        <v>0</v>
      </c>
      <c r="R157" s="67" t="b">
        <v>0</v>
      </c>
      <c r="S157" s="67" t="b">
        <v>0</v>
      </c>
      <c r="T157" s="67" t="b">
        <v>0</v>
      </c>
      <c r="U157" s="67" t="b">
        <v>0</v>
      </c>
      <c r="V157" s="67" t="b">
        <v>0</v>
      </c>
      <c r="W157" s="67" t="b">
        <v>1</v>
      </c>
      <c r="X157" s="67" t="b">
        <v>0</v>
      </c>
      <c r="Y157" s="67" t="b">
        <v>0</v>
      </c>
      <c r="Z157" s="38">
        <f t="shared" si="19"/>
        <v>0.742692754</v>
      </c>
      <c r="AA157" s="71">
        <v>2.0</v>
      </c>
      <c r="AB157" s="72">
        <f>VLOOKUP(A157,ReferenceTables!$BI$2:$CA$254,MATCH(ShopGenerator!$A$2,ReferenceTables!$BI$1:$CA$1,0),0)</f>
        <v>1</v>
      </c>
      <c r="AC157" s="72">
        <f>VLOOKUP(D157,ReferenceTables!$AQ$2:$BE$27,MATCH(ShopGenerator!$A$4,ReferenceTables!$AQ$1:$BE$1,0),0)</f>
        <v>1.5</v>
      </c>
    </row>
    <row r="158">
      <c r="A158" s="61" t="s">
        <v>415</v>
      </c>
      <c r="B158" s="62">
        <f t="shared" si="1"/>
        <v>0.015</v>
      </c>
      <c r="C158" s="61" t="s">
        <v>43</v>
      </c>
      <c r="D158" s="61" t="s">
        <v>58</v>
      </c>
      <c r="E158" s="62">
        <f t="shared" si="16"/>
        <v>0.0093</v>
      </c>
      <c r="F158" s="62">
        <f t="shared" si="17"/>
        <v>0.0075</v>
      </c>
      <c r="G158" s="62">
        <f t="shared" si="18"/>
        <v>0.01215</v>
      </c>
      <c r="H158" s="63"/>
      <c r="I158" s="64" t="b">
        <v>0</v>
      </c>
      <c r="J158" s="64" t="b">
        <v>0</v>
      </c>
      <c r="K158" s="61" t="b">
        <v>1</v>
      </c>
      <c r="L158" s="61" t="b">
        <v>0</v>
      </c>
      <c r="M158" s="61" t="b">
        <v>0</v>
      </c>
      <c r="N158" s="61" t="b">
        <v>0</v>
      </c>
      <c r="O158" s="61" t="b">
        <v>0</v>
      </c>
      <c r="P158" s="61" t="b">
        <v>0</v>
      </c>
      <c r="Q158" s="61" t="b">
        <v>0</v>
      </c>
      <c r="R158" s="61" t="b">
        <v>0</v>
      </c>
      <c r="S158" s="61" t="b">
        <v>0</v>
      </c>
      <c r="T158" s="61" t="b">
        <v>0</v>
      </c>
      <c r="U158" s="61" t="b">
        <v>1</v>
      </c>
      <c r="V158" s="61" t="b">
        <v>0</v>
      </c>
      <c r="W158" s="61" t="b">
        <v>1</v>
      </c>
      <c r="X158" s="61" t="b">
        <v>0</v>
      </c>
      <c r="Y158" s="61" t="b">
        <v>0</v>
      </c>
      <c r="Z158" s="38">
        <f t="shared" si="19"/>
        <v>0.5592083207</v>
      </c>
      <c r="AA158" s="65">
        <v>0.01</v>
      </c>
      <c r="AB158" s="66">
        <f>VLOOKUP(A158,ReferenceTables!$BI$2:$CA$254,MATCH(ShopGenerator!$A$2,ReferenceTables!$BI$1:$CA$1,0),0)</f>
        <v>1</v>
      </c>
      <c r="AC158" s="66">
        <f>VLOOKUP(D158,ReferenceTables!$AQ$2:$BE$27,MATCH(ShopGenerator!$A$4,ReferenceTables!$AQ$1:$BE$1,0),0)</f>
        <v>1.5</v>
      </c>
    </row>
    <row r="159">
      <c r="A159" s="67" t="s">
        <v>416</v>
      </c>
      <c r="B159" s="68">
        <f t="shared" si="1"/>
        <v>0.03</v>
      </c>
      <c r="C159" s="67" t="s">
        <v>417</v>
      </c>
      <c r="D159" s="67" t="s">
        <v>418</v>
      </c>
      <c r="E159" s="68" t="s">
        <v>297</v>
      </c>
      <c r="F159" s="68" t="s">
        <v>297</v>
      </c>
      <c r="G159" s="68" t="s">
        <v>297</v>
      </c>
      <c r="H159" s="69"/>
      <c r="I159" s="70" t="b">
        <v>0</v>
      </c>
      <c r="J159" s="70" t="b">
        <v>0</v>
      </c>
      <c r="K159" s="67" t="b">
        <v>0</v>
      </c>
      <c r="L159" s="67" t="b">
        <v>0</v>
      </c>
      <c r="M159" s="67" t="b">
        <v>0</v>
      </c>
      <c r="N159" s="67" t="b">
        <v>0</v>
      </c>
      <c r="O159" s="67" t="b">
        <v>1</v>
      </c>
      <c r="P159" s="67" t="b">
        <v>0</v>
      </c>
      <c r="Q159" s="67" t="b">
        <v>0</v>
      </c>
      <c r="R159" s="67" t="b">
        <v>0</v>
      </c>
      <c r="S159" s="67" t="b">
        <v>0</v>
      </c>
      <c r="T159" s="67" t="b">
        <v>0</v>
      </c>
      <c r="U159" s="67" t="b">
        <v>0</v>
      </c>
      <c r="V159" s="67" t="b">
        <v>0</v>
      </c>
      <c r="W159" s="67" t="b">
        <v>1</v>
      </c>
      <c r="X159" s="67" t="b">
        <v>0</v>
      </c>
      <c r="Y159" s="67" t="b">
        <v>0</v>
      </c>
      <c r="Z159" s="38">
        <f t="shared" si="19"/>
        <v>0.01423108656</v>
      </c>
      <c r="AA159" s="71">
        <v>0.03</v>
      </c>
      <c r="AB159" s="72">
        <f>VLOOKUP(A159,ReferenceTables!$BI$2:$CA$254,MATCH(ShopGenerator!$A$2,ReferenceTables!$BI$1:$CA$1,0),0)</f>
        <v>1</v>
      </c>
      <c r="AC159" s="72">
        <f>VLOOKUP(D159,ReferenceTables!$AQ$2:$BE$27,MATCH(ShopGenerator!$A$4,ReferenceTables!$AQ$1:$BE$1,0),0)</f>
        <v>1</v>
      </c>
    </row>
    <row r="160">
      <c r="A160" s="61" t="s">
        <v>419</v>
      </c>
      <c r="B160" s="62">
        <f t="shared" si="1"/>
        <v>0.01</v>
      </c>
      <c r="C160" s="61" t="s">
        <v>420</v>
      </c>
      <c r="D160" s="61" t="s">
        <v>418</v>
      </c>
      <c r="E160" s="62" t="s">
        <v>297</v>
      </c>
      <c r="F160" s="62" t="s">
        <v>297</v>
      </c>
      <c r="G160" s="62" t="s">
        <v>297</v>
      </c>
      <c r="H160" s="63"/>
      <c r="I160" s="64" t="b">
        <v>0</v>
      </c>
      <c r="J160" s="64" t="b">
        <v>0</v>
      </c>
      <c r="K160" s="61" t="b">
        <v>0</v>
      </c>
      <c r="L160" s="61" t="b">
        <v>0</v>
      </c>
      <c r="M160" s="61" t="b">
        <v>0</v>
      </c>
      <c r="N160" s="61" t="b">
        <v>0</v>
      </c>
      <c r="O160" s="61" t="b">
        <v>1</v>
      </c>
      <c r="P160" s="61" t="b">
        <v>0</v>
      </c>
      <c r="Q160" s="61" t="b">
        <v>0</v>
      </c>
      <c r="R160" s="61" t="b">
        <v>0</v>
      </c>
      <c r="S160" s="61" t="b">
        <v>0</v>
      </c>
      <c r="T160" s="61" t="b">
        <v>0</v>
      </c>
      <c r="U160" s="61" t="b">
        <v>0</v>
      </c>
      <c r="V160" s="61" t="b">
        <v>0</v>
      </c>
      <c r="W160" s="61" t="b">
        <v>1</v>
      </c>
      <c r="X160" s="61" t="b">
        <v>0</v>
      </c>
      <c r="Y160" s="61" t="b">
        <v>0</v>
      </c>
      <c r="Z160" s="38">
        <f t="shared" si="19"/>
        <v>0.5767989984</v>
      </c>
      <c r="AA160" s="65">
        <v>0.01</v>
      </c>
      <c r="AB160" s="66">
        <f>VLOOKUP(A160,ReferenceTables!$BI$2:$CA$254,MATCH(ShopGenerator!$A$2,ReferenceTables!$BI$1:$CA$1,0),0)</f>
        <v>1</v>
      </c>
      <c r="AC160" s="66">
        <f>VLOOKUP(D160,ReferenceTables!$AQ$2:$BE$27,MATCH(ShopGenerator!$A$4,ReferenceTables!$AQ$1:$BE$1,0),0)</f>
        <v>1</v>
      </c>
    </row>
    <row r="161">
      <c r="A161" s="67" t="s">
        <v>421</v>
      </c>
      <c r="B161" s="68">
        <f t="shared" si="1"/>
        <v>100</v>
      </c>
      <c r="C161" s="67" t="s">
        <v>422</v>
      </c>
      <c r="D161" s="67" t="s">
        <v>423</v>
      </c>
      <c r="E161" s="68">
        <f t="shared" ref="E161:E254" si="20">IF(B161&lt;22,B161*0.62,B161*0.82)</f>
        <v>82</v>
      </c>
      <c r="F161" s="68">
        <f t="shared" ref="F161:F254" si="21">B161/2</f>
        <v>50</v>
      </c>
      <c r="G161" s="68">
        <f t="shared" ref="G161:G254" si="22">B161-((B161-E161)/2)</f>
        <v>91</v>
      </c>
      <c r="H161" s="69"/>
      <c r="I161" s="70" t="b">
        <v>0</v>
      </c>
      <c r="J161" s="70" t="b">
        <v>0</v>
      </c>
      <c r="K161" s="67" t="b">
        <v>0</v>
      </c>
      <c r="L161" s="67" t="b">
        <v>0</v>
      </c>
      <c r="M161" s="67" t="b">
        <v>0</v>
      </c>
      <c r="N161" s="67" t="b">
        <v>0</v>
      </c>
      <c r="O161" s="67" t="b">
        <v>0</v>
      </c>
      <c r="P161" s="67" t="b">
        <v>0</v>
      </c>
      <c r="Q161" s="67" t="b">
        <v>0</v>
      </c>
      <c r="R161" s="67" t="b">
        <v>0</v>
      </c>
      <c r="S161" s="67" t="b">
        <v>0</v>
      </c>
      <c r="T161" s="67" t="b">
        <v>0</v>
      </c>
      <c r="U161" s="67" t="b">
        <v>0</v>
      </c>
      <c r="V161" s="67" t="b">
        <v>0</v>
      </c>
      <c r="W161" s="67" t="b">
        <v>1</v>
      </c>
      <c r="X161" s="67" t="b">
        <v>0</v>
      </c>
      <c r="Y161" s="67" t="b">
        <v>0</v>
      </c>
      <c r="Z161" s="38">
        <f t="shared" si="19"/>
        <v>0.7905228277</v>
      </c>
      <c r="AA161" s="71">
        <v>100.0</v>
      </c>
      <c r="AB161" s="72">
        <f>VLOOKUP(A161,ReferenceTables!$BI$2:$CA$254,MATCH(ShopGenerator!$A$2,ReferenceTables!$BI$1:$CA$1,0),0)</f>
        <v>1</v>
      </c>
      <c r="AC161" s="72">
        <f>VLOOKUP(D161,ReferenceTables!$AQ$2:$BE$27,MATCH(ShopGenerator!$A$4,ReferenceTables!$AQ$1:$BE$1,0),0)</f>
        <v>1</v>
      </c>
    </row>
    <row r="162">
      <c r="A162" s="61" t="s">
        <v>424</v>
      </c>
      <c r="B162" s="62">
        <f t="shared" si="1"/>
        <v>15</v>
      </c>
      <c r="C162" s="61" t="s">
        <v>425</v>
      </c>
      <c r="D162" s="61" t="s">
        <v>423</v>
      </c>
      <c r="E162" s="62">
        <f t="shared" si="20"/>
        <v>9.3</v>
      </c>
      <c r="F162" s="62">
        <f t="shared" si="21"/>
        <v>7.5</v>
      </c>
      <c r="G162" s="62">
        <f t="shared" si="22"/>
        <v>12.15</v>
      </c>
      <c r="H162" s="63"/>
      <c r="I162" s="64" t="b">
        <v>0</v>
      </c>
      <c r="J162" s="64" t="b">
        <v>0</v>
      </c>
      <c r="K162" s="61" t="b">
        <v>0</v>
      </c>
      <c r="L162" s="61" t="b">
        <v>0</v>
      </c>
      <c r="M162" s="61" t="b">
        <v>0</v>
      </c>
      <c r="N162" s="61" t="b">
        <v>0</v>
      </c>
      <c r="O162" s="61" t="b">
        <v>0</v>
      </c>
      <c r="P162" s="61" t="b">
        <v>0</v>
      </c>
      <c r="Q162" s="61" t="b">
        <v>0</v>
      </c>
      <c r="R162" s="61" t="b">
        <v>0</v>
      </c>
      <c r="S162" s="61" t="b">
        <v>0</v>
      </c>
      <c r="T162" s="61" t="b">
        <v>0</v>
      </c>
      <c r="U162" s="61" t="b">
        <v>0</v>
      </c>
      <c r="V162" s="61" t="b">
        <v>0</v>
      </c>
      <c r="W162" s="61" t="b">
        <v>1</v>
      </c>
      <c r="X162" s="61" t="b">
        <v>0</v>
      </c>
      <c r="Y162" s="61" t="b">
        <v>0</v>
      </c>
      <c r="Z162" s="38">
        <f t="shared" si="19"/>
        <v>0.1509278909</v>
      </c>
      <c r="AA162" s="65">
        <v>15.0</v>
      </c>
      <c r="AB162" s="66">
        <f>VLOOKUP(A162,ReferenceTables!$BI$2:$CA$254,MATCH(ShopGenerator!$A$2,ReferenceTables!$BI$1:$CA$1,0),0)</f>
        <v>1</v>
      </c>
      <c r="AC162" s="66">
        <f>VLOOKUP(D162,ReferenceTables!$AQ$2:$BE$27,MATCH(ShopGenerator!$A$4,ReferenceTables!$AQ$1:$BE$1,0),0)</f>
        <v>1</v>
      </c>
    </row>
    <row r="163">
      <c r="A163" s="67" t="s">
        <v>426</v>
      </c>
      <c r="B163" s="68">
        <f t="shared" si="1"/>
        <v>250</v>
      </c>
      <c r="C163" s="67" t="s">
        <v>427</v>
      </c>
      <c r="D163" s="67" t="s">
        <v>423</v>
      </c>
      <c r="E163" s="68">
        <f t="shared" si="20"/>
        <v>205</v>
      </c>
      <c r="F163" s="68">
        <f t="shared" si="21"/>
        <v>125</v>
      </c>
      <c r="G163" s="68">
        <f t="shared" si="22"/>
        <v>227.5</v>
      </c>
      <c r="H163" s="69"/>
      <c r="I163" s="70" t="b">
        <v>0</v>
      </c>
      <c r="J163" s="70" t="b">
        <v>0</v>
      </c>
      <c r="K163" s="67" t="b">
        <v>0</v>
      </c>
      <c r="L163" s="67" t="b">
        <v>0</v>
      </c>
      <c r="M163" s="67" t="b">
        <v>0</v>
      </c>
      <c r="N163" s="67" t="b">
        <v>0</v>
      </c>
      <c r="O163" s="67" t="b">
        <v>0</v>
      </c>
      <c r="P163" s="67" t="b">
        <v>0</v>
      </c>
      <c r="Q163" s="67" t="b">
        <v>0</v>
      </c>
      <c r="R163" s="67" t="b">
        <v>0</v>
      </c>
      <c r="S163" s="67" t="b">
        <v>0</v>
      </c>
      <c r="T163" s="67" t="b">
        <v>0</v>
      </c>
      <c r="U163" s="67" t="b">
        <v>0</v>
      </c>
      <c r="V163" s="67" t="b">
        <v>0</v>
      </c>
      <c r="W163" s="67" t="b">
        <v>1</v>
      </c>
      <c r="X163" s="67" t="b">
        <v>0</v>
      </c>
      <c r="Y163" s="67" t="b">
        <v>0</v>
      </c>
      <c r="Z163" s="38">
        <f t="shared" si="19"/>
        <v>0.682640212</v>
      </c>
      <c r="AA163" s="71">
        <v>250.0</v>
      </c>
      <c r="AB163" s="72">
        <f>VLOOKUP(A163,ReferenceTables!$BI$2:$CA$254,MATCH(ShopGenerator!$A$2,ReferenceTables!$BI$1:$CA$1,0),0)</f>
        <v>1</v>
      </c>
      <c r="AC163" s="72">
        <f>VLOOKUP(D163,ReferenceTables!$AQ$2:$BE$27,MATCH(ShopGenerator!$A$4,ReferenceTables!$AQ$1:$BE$1,0),0)</f>
        <v>1</v>
      </c>
    </row>
    <row r="164">
      <c r="A164" s="61" t="s">
        <v>428</v>
      </c>
      <c r="B164" s="62">
        <f t="shared" si="1"/>
        <v>20</v>
      </c>
      <c r="C164" s="61" t="s">
        <v>429</v>
      </c>
      <c r="D164" s="61" t="s">
        <v>423</v>
      </c>
      <c r="E164" s="62">
        <f t="shared" si="20"/>
        <v>12.4</v>
      </c>
      <c r="F164" s="62">
        <f t="shared" si="21"/>
        <v>10</v>
      </c>
      <c r="G164" s="62">
        <f t="shared" si="22"/>
        <v>16.2</v>
      </c>
      <c r="H164" s="63"/>
      <c r="I164" s="64" t="b">
        <v>0</v>
      </c>
      <c r="J164" s="64" t="b">
        <v>0</v>
      </c>
      <c r="K164" s="61" t="b">
        <v>1</v>
      </c>
      <c r="L164" s="61" t="b">
        <v>1</v>
      </c>
      <c r="M164" s="61" t="b">
        <v>0</v>
      </c>
      <c r="N164" s="61" t="b">
        <v>0</v>
      </c>
      <c r="O164" s="61" t="b">
        <v>0</v>
      </c>
      <c r="P164" s="61" t="b">
        <v>0</v>
      </c>
      <c r="Q164" s="61" t="b">
        <v>0</v>
      </c>
      <c r="R164" s="61" t="b">
        <v>0</v>
      </c>
      <c r="S164" s="61" t="b">
        <v>0</v>
      </c>
      <c r="T164" s="61" t="b">
        <v>0</v>
      </c>
      <c r="U164" s="61" t="b">
        <v>0</v>
      </c>
      <c r="V164" s="61" t="b">
        <v>0</v>
      </c>
      <c r="W164" s="61" t="b">
        <v>1</v>
      </c>
      <c r="X164" s="61" t="b">
        <v>0</v>
      </c>
      <c r="Y164" s="61" t="b">
        <v>0</v>
      </c>
      <c r="Z164" s="38">
        <f t="shared" si="19"/>
        <v>0.3281681124</v>
      </c>
      <c r="AA164" s="65">
        <v>20.0</v>
      </c>
      <c r="AB164" s="66">
        <f>VLOOKUP(A164,ReferenceTables!$BI$2:$CA$254,MATCH(ShopGenerator!$A$2,ReferenceTables!$BI$1:$CA$1,0),0)</f>
        <v>1</v>
      </c>
      <c r="AC164" s="66">
        <f>VLOOKUP(D164,ReferenceTables!$AQ$2:$BE$27,MATCH(ShopGenerator!$A$4,ReferenceTables!$AQ$1:$BE$1,0),0)</f>
        <v>1</v>
      </c>
    </row>
    <row r="165">
      <c r="A165" s="67" t="s">
        <v>430</v>
      </c>
      <c r="B165" s="68">
        <f t="shared" si="1"/>
        <v>35</v>
      </c>
      <c r="C165" s="67" t="s">
        <v>431</v>
      </c>
      <c r="D165" s="67" t="s">
        <v>423</v>
      </c>
      <c r="E165" s="68">
        <f t="shared" si="20"/>
        <v>28.7</v>
      </c>
      <c r="F165" s="68">
        <f t="shared" si="21"/>
        <v>17.5</v>
      </c>
      <c r="G165" s="68">
        <f t="shared" si="22"/>
        <v>31.85</v>
      </c>
      <c r="H165" s="69"/>
      <c r="I165" s="70" t="b">
        <v>0</v>
      </c>
      <c r="J165" s="70" t="b">
        <v>0</v>
      </c>
      <c r="K165" s="67" t="b">
        <v>0</v>
      </c>
      <c r="L165" s="67" t="b">
        <v>0</v>
      </c>
      <c r="M165" s="67" t="b">
        <v>0</v>
      </c>
      <c r="N165" s="67" t="b">
        <v>0</v>
      </c>
      <c r="O165" s="67" t="b">
        <v>1</v>
      </c>
      <c r="P165" s="67" t="b">
        <v>0</v>
      </c>
      <c r="Q165" s="67" t="b">
        <v>0</v>
      </c>
      <c r="R165" s="67" t="b">
        <v>0</v>
      </c>
      <c r="S165" s="67" t="b">
        <v>0</v>
      </c>
      <c r="T165" s="67" t="b">
        <v>0</v>
      </c>
      <c r="U165" s="67" t="b">
        <v>0</v>
      </c>
      <c r="V165" s="67" t="b">
        <v>0</v>
      </c>
      <c r="W165" s="67" t="b">
        <v>1</v>
      </c>
      <c r="X165" s="67" t="b">
        <v>0</v>
      </c>
      <c r="Y165" s="67" t="b">
        <v>0</v>
      </c>
      <c r="Z165" s="38">
        <f t="shared" si="19"/>
        <v>0.2264713228</v>
      </c>
      <c r="AA165" s="71">
        <v>35.0</v>
      </c>
      <c r="AB165" s="72">
        <f>VLOOKUP(A165,ReferenceTables!$BI$2:$CA$254,MATCH(ShopGenerator!$A$2,ReferenceTables!$BI$1:$CA$1,0),0)</f>
        <v>1</v>
      </c>
      <c r="AC165" s="72">
        <f>VLOOKUP(D165,ReferenceTables!$AQ$2:$BE$27,MATCH(ShopGenerator!$A$4,ReferenceTables!$AQ$1:$BE$1,0),0)</f>
        <v>1</v>
      </c>
    </row>
    <row r="166">
      <c r="A166" s="61" t="s">
        <v>432</v>
      </c>
      <c r="B166" s="62">
        <f t="shared" si="1"/>
        <v>15</v>
      </c>
      <c r="C166" s="61" t="s">
        <v>433</v>
      </c>
      <c r="D166" s="61" t="s">
        <v>76</v>
      </c>
      <c r="E166" s="62">
        <f t="shared" si="20"/>
        <v>9.3</v>
      </c>
      <c r="F166" s="62">
        <f t="shared" si="21"/>
        <v>7.5</v>
      </c>
      <c r="G166" s="62">
        <f t="shared" si="22"/>
        <v>12.15</v>
      </c>
      <c r="H166" s="63"/>
      <c r="I166" s="64" t="b">
        <v>0</v>
      </c>
      <c r="J166" s="64" t="b">
        <v>0</v>
      </c>
      <c r="K166" s="61" t="b">
        <v>1</v>
      </c>
      <c r="L166" s="61" t="b">
        <v>0</v>
      </c>
      <c r="M166" s="61" t="b">
        <v>0</v>
      </c>
      <c r="N166" s="61" t="b">
        <v>0</v>
      </c>
      <c r="O166" s="61" t="b">
        <v>0</v>
      </c>
      <c r="P166" s="61" t="b">
        <v>0</v>
      </c>
      <c r="Q166" s="61" t="b">
        <v>0</v>
      </c>
      <c r="R166" s="61" t="b">
        <v>0</v>
      </c>
      <c r="S166" s="61" t="b">
        <v>0</v>
      </c>
      <c r="T166" s="61" t="b">
        <v>0</v>
      </c>
      <c r="U166" s="61" t="b">
        <v>0</v>
      </c>
      <c r="V166" s="61" t="b">
        <v>1</v>
      </c>
      <c r="W166" s="61" t="b">
        <v>1</v>
      </c>
      <c r="X166" s="61" t="b">
        <v>0</v>
      </c>
      <c r="Y166" s="61" t="b">
        <v>0</v>
      </c>
      <c r="Z166" s="38">
        <f t="shared" si="19"/>
        <v>0.7431814135</v>
      </c>
      <c r="AA166" s="65">
        <v>25.0</v>
      </c>
      <c r="AB166" s="66">
        <f>VLOOKUP(A166,ReferenceTables!$BI$2:$CA$254,MATCH(ShopGenerator!$A$2,ReferenceTables!$BI$1:$CA$1,0),0)</f>
        <v>1</v>
      </c>
      <c r="AC166" s="66">
        <f>VLOOKUP(D166,ReferenceTables!$AQ$2:$BE$27,MATCH(ShopGenerator!$A$4,ReferenceTables!$AQ$1:$BE$1,0),0)</f>
        <v>0.6</v>
      </c>
    </row>
    <row r="167">
      <c r="A167" s="67" t="s">
        <v>434</v>
      </c>
      <c r="B167" s="68">
        <f t="shared" si="1"/>
        <v>30</v>
      </c>
      <c r="C167" s="67" t="s">
        <v>435</v>
      </c>
      <c r="D167" s="67" t="s">
        <v>76</v>
      </c>
      <c r="E167" s="68">
        <f t="shared" si="20"/>
        <v>24.6</v>
      </c>
      <c r="F167" s="68">
        <f t="shared" si="21"/>
        <v>15</v>
      </c>
      <c r="G167" s="68">
        <f t="shared" si="22"/>
        <v>27.3</v>
      </c>
      <c r="H167" s="69"/>
      <c r="I167" s="70" t="b">
        <v>0</v>
      </c>
      <c r="J167" s="70" t="b">
        <v>0</v>
      </c>
      <c r="K167" s="67" t="b">
        <v>0</v>
      </c>
      <c r="L167" s="67" t="b">
        <v>0</v>
      </c>
      <c r="M167" s="67" t="b">
        <v>0</v>
      </c>
      <c r="N167" s="67" t="b">
        <v>0</v>
      </c>
      <c r="O167" s="67" t="b">
        <v>0</v>
      </c>
      <c r="P167" s="67" t="b">
        <v>0</v>
      </c>
      <c r="Q167" s="67" t="b">
        <v>0</v>
      </c>
      <c r="R167" s="67" t="b">
        <v>0</v>
      </c>
      <c r="S167" s="67" t="b">
        <v>0</v>
      </c>
      <c r="T167" s="67" t="b">
        <v>0</v>
      </c>
      <c r="U167" s="67" t="b">
        <v>0</v>
      </c>
      <c r="V167" s="67" t="b">
        <v>0</v>
      </c>
      <c r="W167" s="67" t="b">
        <v>1</v>
      </c>
      <c r="X167" s="67" t="b">
        <v>0</v>
      </c>
      <c r="Y167" s="67" t="b">
        <v>0</v>
      </c>
      <c r="Z167" s="38">
        <f t="shared" si="19"/>
        <v>0.5694177655</v>
      </c>
      <c r="AA167" s="71">
        <v>50.0</v>
      </c>
      <c r="AB167" s="72">
        <f>VLOOKUP(A167,ReferenceTables!$BI$2:$CA$254,MATCH(ShopGenerator!$A$2,ReferenceTables!$BI$1:$CA$1,0),0)</f>
        <v>1</v>
      </c>
      <c r="AC167" s="72">
        <f>VLOOKUP(D167,ReferenceTables!$AQ$2:$BE$27,MATCH(ShopGenerator!$A$4,ReferenceTables!$AQ$1:$BE$1,0),0)</f>
        <v>0.6</v>
      </c>
    </row>
    <row r="168">
      <c r="A168" s="61" t="s">
        <v>436</v>
      </c>
      <c r="B168" s="62">
        <f t="shared" si="1"/>
        <v>6</v>
      </c>
      <c r="C168" s="61" t="s">
        <v>43</v>
      </c>
      <c r="D168" s="61" t="s">
        <v>76</v>
      </c>
      <c r="E168" s="62">
        <f t="shared" si="20"/>
        <v>3.72</v>
      </c>
      <c r="F168" s="62">
        <f t="shared" si="21"/>
        <v>3</v>
      </c>
      <c r="G168" s="62">
        <f t="shared" si="22"/>
        <v>4.86</v>
      </c>
      <c r="H168" s="63"/>
      <c r="I168" s="64" t="b">
        <v>0</v>
      </c>
      <c r="J168" s="64" t="b">
        <v>0</v>
      </c>
      <c r="K168" s="61" t="b">
        <v>0</v>
      </c>
      <c r="L168" s="61" t="b">
        <v>0</v>
      </c>
      <c r="M168" s="61" t="b">
        <v>0</v>
      </c>
      <c r="N168" s="61" t="b">
        <v>0</v>
      </c>
      <c r="O168" s="61" t="b">
        <v>0</v>
      </c>
      <c r="P168" s="61" t="b">
        <v>0</v>
      </c>
      <c r="Q168" s="61" t="b">
        <v>0</v>
      </c>
      <c r="R168" s="61" t="b">
        <v>0</v>
      </c>
      <c r="S168" s="61" t="b">
        <v>0</v>
      </c>
      <c r="T168" s="61" t="b">
        <v>0</v>
      </c>
      <c r="U168" s="61" t="b">
        <v>0</v>
      </c>
      <c r="V168" s="61" t="b">
        <v>0</v>
      </c>
      <c r="W168" s="61" t="b">
        <v>1</v>
      </c>
      <c r="X168" s="61" t="b">
        <v>0</v>
      </c>
      <c r="Y168" s="61" t="b">
        <v>0</v>
      </c>
      <c r="Z168" s="38">
        <f t="shared" si="19"/>
        <v>0.7130602697</v>
      </c>
      <c r="AA168" s="65">
        <v>10.0</v>
      </c>
      <c r="AB168" s="66">
        <f>VLOOKUP(A168,ReferenceTables!$BI$2:$CA$254,MATCH(ShopGenerator!$A$2,ReferenceTables!$BI$1:$CA$1,0),0)</f>
        <v>1</v>
      </c>
      <c r="AC168" s="66">
        <f>VLOOKUP(D168,ReferenceTables!$AQ$2:$BE$27,MATCH(ShopGenerator!$A$4,ReferenceTables!$AQ$1:$BE$1,0),0)</f>
        <v>0.6</v>
      </c>
    </row>
    <row r="169">
      <c r="A169" s="67" t="s">
        <v>437</v>
      </c>
      <c r="B169" s="68">
        <f t="shared" si="1"/>
        <v>12</v>
      </c>
      <c r="C169" s="67" t="s">
        <v>75</v>
      </c>
      <c r="D169" s="67" t="s">
        <v>76</v>
      </c>
      <c r="E169" s="68">
        <f t="shared" si="20"/>
        <v>7.44</v>
      </c>
      <c r="F169" s="68">
        <f t="shared" si="21"/>
        <v>6</v>
      </c>
      <c r="G169" s="68">
        <f t="shared" si="22"/>
        <v>9.72</v>
      </c>
      <c r="H169" s="69"/>
      <c r="I169" s="70" t="b">
        <v>0</v>
      </c>
      <c r="J169" s="70" t="b">
        <v>0</v>
      </c>
      <c r="K169" s="67" t="b">
        <v>0</v>
      </c>
      <c r="L169" s="67" t="b">
        <v>0</v>
      </c>
      <c r="M169" s="67" t="b">
        <v>0</v>
      </c>
      <c r="N169" s="67" t="b">
        <v>0</v>
      </c>
      <c r="O169" s="67" t="b">
        <v>0</v>
      </c>
      <c r="P169" s="67" t="b">
        <v>0</v>
      </c>
      <c r="Q169" s="67" t="b">
        <v>0</v>
      </c>
      <c r="R169" s="67" t="b">
        <v>0</v>
      </c>
      <c r="S169" s="67" t="b">
        <v>0</v>
      </c>
      <c r="T169" s="67" t="b">
        <v>0</v>
      </c>
      <c r="U169" s="67" t="b">
        <v>0</v>
      </c>
      <c r="V169" s="67" t="b">
        <v>0</v>
      </c>
      <c r="W169" s="67" t="b">
        <v>1</v>
      </c>
      <c r="X169" s="67" t="b">
        <v>0</v>
      </c>
      <c r="Y169" s="67" t="b">
        <v>0</v>
      </c>
      <c r="Z169" s="38">
        <f t="shared" si="19"/>
        <v>0.6090926584</v>
      </c>
      <c r="AA169" s="71">
        <v>20.0</v>
      </c>
      <c r="AB169" s="72">
        <f>VLOOKUP(A169,ReferenceTables!$BI$2:$CA$254,MATCH(ShopGenerator!$A$2,ReferenceTables!$BI$1:$CA$1,0),0)</f>
        <v>1</v>
      </c>
      <c r="AC169" s="72">
        <f>VLOOKUP(D169,ReferenceTables!$AQ$2:$BE$27,MATCH(ShopGenerator!$A$4,ReferenceTables!$AQ$1:$BE$1,0),0)</f>
        <v>0.6</v>
      </c>
    </row>
    <row r="170">
      <c r="A170" s="61" t="s">
        <v>438</v>
      </c>
      <c r="B170" s="62">
        <f t="shared" si="1"/>
        <v>6</v>
      </c>
      <c r="C170" s="61" t="s">
        <v>51</v>
      </c>
      <c r="D170" s="61" t="s">
        <v>76</v>
      </c>
      <c r="E170" s="62">
        <f t="shared" si="20"/>
        <v>3.72</v>
      </c>
      <c r="F170" s="62">
        <f t="shared" si="21"/>
        <v>3</v>
      </c>
      <c r="G170" s="62">
        <f t="shared" si="22"/>
        <v>4.86</v>
      </c>
      <c r="H170" s="63"/>
      <c r="I170" s="64" t="b">
        <v>0</v>
      </c>
      <c r="J170" s="64" t="b">
        <v>0</v>
      </c>
      <c r="K170" s="61" t="b">
        <v>0</v>
      </c>
      <c r="L170" s="61" t="b">
        <v>0</v>
      </c>
      <c r="M170" s="61" t="b">
        <v>0</v>
      </c>
      <c r="N170" s="61" t="b">
        <v>0</v>
      </c>
      <c r="O170" s="61" t="b">
        <v>0</v>
      </c>
      <c r="P170" s="61" t="b">
        <v>0</v>
      </c>
      <c r="Q170" s="61" t="b">
        <v>0</v>
      </c>
      <c r="R170" s="61" t="b">
        <v>0</v>
      </c>
      <c r="S170" s="61" t="b">
        <v>0</v>
      </c>
      <c r="T170" s="61" t="b">
        <v>0</v>
      </c>
      <c r="U170" s="61" t="b">
        <v>0</v>
      </c>
      <c r="V170" s="61" t="b">
        <v>0</v>
      </c>
      <c r="W170" s="61" t="b">
        <v>1</v>
      </c>
      <c r="X170" s="61" t="b">
        <v>0</v>
      </c>
      <c r="Y170" s="61" t="b">
        <v>0</v>
      </c>
      <c r="Z170" s="38">
        <f t="shared" si="19"/>
        <v>0.1313125713</v>
      </c>
      <c r="AA170" s="65">
        <v>10.0</v>
      </c>
      <c r="AB170" s="66">
        <f>VLOOKUP(A170,ReferenceTables!$BI$2:$CA$254,MATCH(ShopGenerator!$A$2,ReferenceTables!$BI$1:$CA$1,0),0)</f>
        <v>1</v>
      </c>
      <c r="AC170" s="66">
        <f>VLOOKUP(D170,ReferenceTables!$AQ$2:$BE$27,MATCH(ShopGenerator!$A$4,ReferenceTables!$AQ$1:$BE$1,0),0)</f>
        <v>0.6</v>
      </c>
    </row>
    <row r="171">
      <c r="A171" s="67" t="s">
        <v>439</v>
      </c>
      <c r="B171" s="68">
        <f t="shared" si="1"/>
        <v>3</v>
      </c>
      <c r="C171" s="67" t="s">
        <v>49</v>
      </c>
      <c r="D171" s="67" t="s">
        <v>76</v>
      </c>
      <c r="E171" s="68">
        <f t="shared" si="20"/>
        <v>1.86</v>
      </c>
      <c r="F171" s="68">
        <f t="shared" si="21"/>
        <v>1.5</v>
      </c>
      <c r="G171" s="68">
        <f t="shared" si="22"/>
        <v>2.43</v>
      </c>
      <c r="H171" s="69"/>
      <c r="I171" s="70" t="b">
        <v>0</v>
      </c>
      <c r="J171" s="70" t="b">
        <v>0</v>
      </c>
      <c r="K171" s="67" t="b">
        <v>0</v>
      </c>
      <c r="L171" s="67" t="b">
        <v>0</v>
      </c>
      <c r="M171" s="67" t="b">
        <v>0</v>
      </c>
      <c r="N171" s="67" t="b">
        <v>0</v>
      </c>
      <c r="O171" s="67" t="b">
        <v>0</v>
      </c>
      <c r="P171" s="67" t="b">
        <v>0</v>
      </c>
      <c r="Q171" s="67" t="b">
        <v>0</v>
      </c>
      <c r="R171" s="67" t="b">
        <v>0</v>
      </c>
      <c r="S171" s="67" t="b">
        <v>0</v>
      </c>
      <c r="T171" s="67" t="b">
        <v>0</v>
      </c>
      <c r="U171" s="67" t="b">
        <v>0</v>
      </c>
      <c r="V171" s="67" t="b">
        <v>0</v>
      </c>
      <c r="W171" s="67" t="b">
        <v>1</v>
      </c>
      <c r="X171" s="67" t="b">
        <v>0</v>
      </c>
      <c r="Y171" s="67" t="b">
        <v>0</v>
      </c>
      <c r="Z171" s="38">
        <f t="shared" si="19"/>
        <v>0.1477620212</v>
      </c>
      <c r="AA171" s="71">
        <v>5.0</v>
      </c>
      <c r="AB171" s="72">
        <f>VLOOKUP(A171,ReferenceTables!$BI$2:$CA$254,MATCH(ShopGenerator!$A$2,ReferenceTables!$BI$1:$CA$1,0),0)</f>
        <v>1</v>
      </c>
      <c r="AC171" s="72">
        <f>VLOOKUP(D171,ReferenceTables!$AQ$2:$BE$27,MATCH(ShopGenerator!$A$4,ReferenceTables!$AQ$1:$BE$1,0),0)</f>
        <v>0.6</v>
      </c>
    </row>
    <row r="172">
      <c r="A172" s="61" t="s">
        <v>440</v>
      </c>
      <c r="B172" s="62">
        <f t="shared" si="1"/>
        <v>6</v>
      </c>
      <c r="C172" s="61" t="s">
        <v>43</v>
      </c>
      <c r="D172" s="61" t="s">
        <v>76</v>
      </c>
      <c r="E172" s="62">
        <f t="shared" si="20"/>
        <v>3.72</v>
      </c>
      <c r="F172" s="62">
        <f t="shared" si="21"/>
        <v>3</v>
      </c>
      <c r="G172" s="62">
        <f t="shared" si="22"/>
        <v>4.86</v>
      </c>
      <c r="H172" s="63"/>
      <c r="I172" s="64" t="b">
        <v>0</v>
      </c>
      <c r="J172" s="64" t="b">
        <v>0</v>
      </c>
      <c r="K172" s="61" t="b">
        <v>0</v>
      </c>
      <c r="L172" s="61" t="b">
        <v>0</v>
      </c>
      <c r="M172" s="61" t="b">
        <v>0</v>
      </c>
      <c r="N172" s="61" t="b">
        <v>0</v>
      </c>
      <c r="O172" s="61" t="b">
        <v>0</v>
      </c>
      <c r="P172" s="61" t="b">
        <v>0</v>
      </c>
      <c r="Q172" s="61" t="b">
        <v>0</v>
      </c>
      <c r="R172" s="61" t="b">
        <v>0</v>
      </c>
      <c r="S172" s="61" t="b">
        <v>0</v>
      </c>
      <c r="T172" s="61" t="b">
        <v>0</v>
      </c>
      <c r="U172" s="61" t="b">
        <v>0</v>
      </c>
      <c r="V172" s="61" t="b">
        <v>0</v>
      </c>
      <c r="W172" s="61" t="b">
        <v>1</v>
      </c>
      <c r="X172" s="61" t="b">
        <v>0</v>
      </c>
      <c r="Y172" s="61" t="b">
        <v>0</v>
      </c>
      <c r="Z172" s="38">
        <f t="shared" si="19"/>
        <v>0.03625325172</v>
      </c>
      <c r="AA172" s="65">
        <v>10.0</v>
      </c>
      <c r="AB172" s="66">
        <f>VLOOKUP(A172,ReferenceTables!$BI$2:$CA$254,MATCH(ShopGenerator!$A$2,ReferenceTables!$BI$1:$CA$1,0),0)</f>
        <v>1</v>
      </c>
      <c r="AC172" s="66">
        <f>VLOOKUP(D172,ReferenceTables!$AQ$2:$BE$27,MATCH(ShopGenerator!$A$4,ReferenceTables!$AQ$1:$BE$1,0),0)</f>
        <v>0.6</v>
      </c>
    </row>
    <row r="173">
      <c r="A173" s="67" t="s">
        <v>441</v>
      </c>
      <c r="B173" s="68">
        <f t="shared" si="1"/>
        <v>6</v>
      </c>
      <c r="C173" s="67" t="s">
        <v>49</v>
      </c>
      <c r="D173" s="67" t="s">
        <v>76</v>
      </c>
      <c r="E173" s="68">
        <f t="shared" si="20"/>
        <v>3.72</v>
      </c>
      <c r="F173" s="68">
        <f t="shared" si="21"/>
        <v>3</v>
      </c>
      <c r="G173" s="68">
        <f t="shared" si="22"/>
        <v>4.86</v>
      </c>
      <c r="H173" s="69"/>
      <c r="I173" s="70" t="b">
        <v>0</v>
      </c>
      <c r="J173" s="70" t="b">
        <v>1</v>
      </c>
      <c r="K173" s="67" t="b">
        <v>0</v>
      </c>
      <c r="L173" s="67" t="b">
        <v>0</v>
      </c>
      <c r="M173" s="67" t="b">
        <v>0</v>
      </c>
      <c r="N173" s="67" t="b">
        <v>0</v>
      </c>
      <c r="O173" s="67" t="b">
        <v>0</v>
      </c>
      <c r="P173" s="67" t="b">
        <v>0</v>
      </c>
      <c r="Q173" s="67" t="b">
        <v>0</v>
      </c>
      <c r="R173" s="67" t="b">
        <v>0</v>
      </c>
      <c r="S173" s="67" t="b">
        <v>0</v>
      </c>
      <c r="T173" s="67" t="b">
        <v>0</v>
      </c>
      <c r="U173" s="67" t="b">
        <v>0</v>
      </c>
      <c r="V173" s="67" t="b">
        <v>0</v>
      </c>
      <c r="W173" s="67" t="b">
        <v>1</v>
      </c>
      <c r="X173" s="67" t="b">
        <v>0</v>
      </c>
      <c r="Y173" s="67" t="b">
        <v>0</v>
      </c>
      <c r="Z173" s="38">
        <f t="shared" si="19"/>
        <v>0.8104036463</v>
      </c>
      <c r="AA173" s="71">
        <v>10.0</v>
      </c>
      <c r="AB173" s="72">
        <f>VLOOKUP(A173,ReferenceTables!$BI$2:$CA$254,MATCH(ShopGenerator!$A$2,ReferenceTables!$BI$1:$CA$1,0),0)</f>
        <v>1</v>
      </c>
      <c r="AC173" s="72">
        <f>VLOOKUP(D173,ReferenceTables!$AQ$2:$BE$27,MATCH(ShopGenerator!$A$4,ReferenceTables!$AQ$1:$BE$1,0),0)</f>
        <v>0.6</v>
      </c>
    </row>
    <row r="174">
      <c r="A174" s="61" t="s">
        <v>442</v>
      </c>
      <c r="B174" s="62">
        <f t="shared" si="1"/>
        <v>6</v>
      </c>
      <c r="C174" s="61" t="s">
        <v>43</v>
      </c>
      <c r="D174" s="61" t="s">
        <v>76</v>
      </c>
      <c r="E174" s="62">
        <f t="shared" si="20"/>
        <v>3.72</v>
      </c>
      <c r="F174" s="62">
        <f t="shared" si="21"/>
        <v>3</v>
      </c>
      <c r="G174" s="62">
        <f t="shared" si="22"/>
        <v>4.86</v>
      </c>
      <c r="H174" s="63"/>
      <c r="I174" s="64" t="b">
        <v>0</v>
      </c>
      <c r="J174" s="64" t="b">
        <v>0</v>
      </c>
      <c r="K174" s="61" t="b">
        <v>1</v>
      </c>
      <c r="L174" s="61" t="b">
        <v>0</v>
      </c>
      <c r="M174" s="61" t="b">
        <v>0</v>
      </c>
      <c r="N174" s="61" t="b">
        <v>0</v>
      </c>
      <c r="O174" s="61" t="b">
        <v>0</v>
      </c>
      <c r="P174" s="61" t="b">
        <v>0</v>
      </c>
      <c r="Q174" s="61" t="b">
        <v>0</v>
      </c>
      <c r="R174" s="61" t="b">
        <v>0</v>
      </c>
      <c r="S174" s="61" t="b">
        <v>0</v>
      </c>
      <c r="T174" s="61" t="b">
        <v>0</v>
      </c>
      <c r="U174" s="61" t="b">
        <v>0</v>
      </c>
      <c r="V174" s="61" t="b">
        <v>0</v>
      </c>
      <c r="W174" s="61" t="b">
        <v>1</v>
      </c>
      <c r="X174" s="61" t="b">
        <v>0</v>
      </c>
      <c r="Y174" s="61" t="b">
        <v>0</v>
      </c>
      <c r="Z174" s="38">
        <f t="shared" si="19"/>
        <v>0.4393411176</v>
      </c>
      <c r="AA174" s="65">
        <v>10.0</v>
      </c>
      <c r="AB174" s="66">
        <f>VLOOKUP(A174,ReferenceTables!$BI$2:$CA$254,MATCH(ShopGenerator!$A$2,ReferenceTables!$BI$1:$CA$1,0),0)</f>
        <v>1</v>
      </c>
      <c r="AC174" s="66">
        <f>VLOOKUP(D174,ReferenceTables!$AQ$2:$BE$27,MATCH(ShopGenerator!$A$4,ReferenceTables!$AQ$1:$BE$1,0),0)</f>
        <v>0.6</v>
      </c>
    </row>
    <row r="175">
      <c r="A175" s="67" t="s">
        <v>443</v>
      </c>
      <c r="B175" s="68">
        <f t="shared" si="1"/>
        <v>0.6</v>
      </c>
      <c r="C175" s="67" t="s">
        <v>444</v>
      </c>
      <c r="D175" s="67" t="s">
        <v>76</v>
      </c>
      <c r="E175" s="68">
        <f t="shared" si="20"/>
        <v>0.372</v>
      </c>
      <c r="F175" s="68">
        <f t="shared" si="21"/>
        <v>0.3</v>
      </c>
      <c r="G175" s="68">
        <f t="shared" si="22"/>
        <v>0.486</v>
      </c>
      <c r="H175" s="69"/>
      <c r="I175" s="70" t="b">
        <v>0</v>
      </c>
      <c r="J175" s="70" t="b">
        <v>1</v>
      </c>
      <c r="K175" s="67" t="b">
        <v>0</v>
      </c>
      <c r="L175" s="67" t="b">
        <v>0</v>
      </c>
      <c r="M175" s="67" t="b">
        <v>0</v>
      </c>
      <c r="N175" s="67" t="b">
        <v>0</v>
      </c>
      <c r="O175" s="67" t="b">
        <v>0</v>
      </c>
      <c r="P175" s="67" t="b">
        <v>0</v>
      </c>
      <c r="Q175" s="67" t="b">
        <v>0</v>
      </c>
      <c r="R175" s="67" t="b">
        <v>0</v>
      </c>
      <c r="S175" s="67" t="b">
        <v>0</v>
      </c>
      <c r="T175" s="67" t="b">
        <v>0</v>
      </c>
      <c r="U175" s="67" t="b">
        <v>0</v>
      </c>
      <c r="V175" s="67" t="b">
        <v>0</v>
      </c>
      <c r="W175" s="67" t="b">
        <v>1</v>
      </c>
      <c r="X175" s="67" t="b">
        <v>0</v>
      </c>
      <c r="Y175" s="67" t="b">
        <v>0</v>
      </c>
      <c r="Z175" s="38">
        <f t="shared" si="19"/>
        <v>0.6855505934</v>
      </c>
      <c r="AA175" s="71">
        <v>1.0</v>
      </c>
      <c r="AB175" s="72">
        <f>VLOOKUP(A175,ReferenceTables!$BI$2:$CA$254,MATCH(ShopGenerator!$A$2,ReferenceTables!$BI$1:$CA$1,0),0)</f>
        <v>1</v>
      </c>
      <c r="AC175" s="72">
        <f>VLOOKUP(D175,ReferenceTables!$AQ$2:$BE$27,MATCH(ShopGenerator!$A$4,ReferenceTables!$AQ$1:$BE$1,0),0)</f>
        <v>0.6</v>
      </c>
    </row>
    <row r="176">
      <c r="A176" s="61" t="s">
        <v>445</v>
      </c>
      <c r="B176" s="62">
        <f t="shared" si="1"/>
        <v>0.06</v>
      </c>
      <c r="C176" s="61" t="s">
        <v>51</v>
      </c>
      <c r="D176" s="61" t="s">
        <v>76</v>
      </c>
      <c r="E176" s="62">
        <f t="shared" si="20"/>
        <v>0.0372</v>
      </c>
      <c r="F176" s="62">
        <f t="shared" si="21"/>
        <v>0.03</v>
      </c>
      <c r="G176" s="62">
        <f t="shared" si="22"/>
        <v>0.0486</v>
      </c>
      <c r="H176" s="63"/>
      <c r="I176" s="64" t="b">
        <v>0</v>
      </c>
      <c r="J176" s="64" t="b">
        <v>0</v>
      </c>
      <c r="K176" s="61" t="b">
        <v>1</v>
      </c>
      <c r="L176" s="61" t="b">
        <v>0</v>
      </c>
      <c r="M176" s="61" t="b">
        <v>0</v>
      </c>
      <c r="N176" s="61" t="b">
        <v>0</v>
      </c>
      <c r="O176" s="61" t="b">
        <v>0</v>
      </c>
      <c r="P176" s="61" t="b">
        <v>0</v>
      </c>
      <c r="Q176" s="61" t="b">
        <v>0</v>
      </c>
      <c r="R176" s="61" t="b">
        <v>0</v>
      </c>
      <c r="S176" s="61" t="b">
        <v>0</v>
      </c>
      <c r="T176" s="61" t="b">
        <v>0</v>
      </c>
      <c r="U176" s="61" t="b">
        <v>0</v>
      </c>
      <c r="V176" s="61" t="b">
        <v>0</v>
      </c>
      <c r="W176" s="61" t="b">
        <v>1</v>
      </c>
      <c r="X176" s="61" t="b">
        <v>0</v>
      </c>
      <c r="Y176" s="61" t="b">
        <v>0</v>
      </c>
      <c r="Z176" s="38">
        <f t="shared" si="19"/>
        <v>0.09289029869</v>
      </c>
      <c r="AA176" s="65">
        <v>0.1</v>
      </c>
      <c r="AB176" s="66">
        <f>VLOOKUP(A176,ReferenceTables!$BI$2:$CA$254,MATCH(ShopGenerator!$A$2,ReferenceTables!$BI$1:$CA$1,0),0)</f>
        <v>1</v>
      </c>
      <c r="AC176" s="66">
        <f>VLOOKUP(D176,ReferenceTables!$AQ$2:$BE$27,MATCH(ShopGenerator!$A$4,ReferenceTables!$AQ$1:$BE$1,0),0)</f>
        <v>0.6</v>
      </c>
    </row>
    <row r="177">
      <c r="A177" s="67" t="s">
        <v>446</v>
      </c>
      <c r="B177" s="68">
        <f t="shared" si="1"/>
        <v>1.2</v>
      </c>
      <c r="C177" s="67" t="s">
        <v>43</v>
      </c>
      <c r="D177" s="67" t="s">
        <v>76</v>
      </c>
      <c r="E177" s="68">
        <f t="shared" si="20"/>
        <v>0.744</v>
      </c>
      <c r="F177" s="68">
        <f t="shared" si="21"/>
        <v>0.6</v>
      </c>
      <c r="G177" s="68">
        <f t="shared" si="22"/>
        <v>0.972</v>
      </c>
      <c r="H177" s="69"/>
      <c r="I177" s="70" t="b">
        <v>0</v>
      </c>
      <c r="J177" s="70" t="b">
        <v>1</v>
      </c>
      <c r="K177" s="67" t="b">
        <v>0</v>
      </c>
      <c r="L177" s="67" t="b">
        <v>0</v>
      </c>
      <c r="M177" s="67" t="b">
        <v>0</v>
      </c>
      <c r="N177" s="67" t="b">
        <v>0</v>
      </c>
      <c r="O177" s="67" t="b">
        <v>0</v>
      </c>
      <c r="P177" s="67" t="b">
        <v>0</v>
      </c>
      <c r="Q177" s="67" t="b">
        <v>0</v>
      </c>
      <c r="R177" s="67" t="b">
        <v>0</v>
      </c>
      <c r="S177" s="67" t="b">
        <v>0</v>
      </c>
      <c r="T177" s="67" t="b">
        <v>0</v>
      </c>
      <c r="U177" s="67" t="b">
        <v>0</v>
      </c>
      <c r="V177" s="67" t="b">
        <v>0</v>
      </c>
      <c r="W177" s="67" t="b">
        <v>1</v>
      </c>
      <c r="X177" s="67" t="b">
        <v>0</v>
      </c>
      <c r="Y177" s="67" t="b">
        <v>0</v>
      </c>
      <c r="Z177" s="38">
        <f t="shared" si="19"/>
        <v>0.8679841152</v>
      </c>
      <c r="AA177" s="71">
        <v>2.0</v>
      </c>
      <c r="AB177" s="72">
        <f>VLOOKUP(A177,ReferenceTables!$BI$2:$CA$254,MATCH(ShopGenerator!$A$2,ReferenceTables!$BI$1:$CA$1,0),0)</f>
        <v>1</v>
      </c>
      <c r="AC177" s="72">
        <f>VLOOKUP(D177,ReferenceTables!$AQ$2:$BE$27,MATCH(ShopGenerator!$A$4,ReferenceTables!$AQ$1:$BE$1,0),0)</f>
        <v>0.6</v>
      </c>
    </row>
    <row r="178">
      <c r="A178" s="61" t="s">
        <v>447</v>
      </c>
      <c r="B178" s="62">
        <f t="shared" si="1"/>
        <v>0.03</v>
      </c>
      <c r="C178" s="61" t="s">
        <v>211</v>
      </c>
      <c r="D178" s="61" t="s">
        <v>76</v>
      </c>
      <c r="E178" s="62">
        <f t="shared" si="20"/>
        <v>0.0186</v>
      </c>
      <c r="F178" s="62">
        <f t="shared" si="21"/>
        <v>0.015</v>
      </c>
      <c r="G178" s="62">
        <f t="shared" si="22"/>
        <v>0.0243</v>
      </c>
      <c r="H178" s="63"/>
      <c r="I178" s="64" t="b">
        <v>0</v>
      </c>
      <c r="J178" s="64" t="b">
        <v>1</v>
      </c>
      <c r="K178" s="61" t="b">
        <v>0</v>
      </c>
      <c r="L178" s="61" t="b">
        <v>0</v>
      </c>
      <c r="M178" s="61" t="b">
        <v>0</v>
      </c>
      <c r="N178" s="61" t="b">
        <v>0</v>
      </c>
      <c r="O178" s="61" t="b">
        <v>0</v>
      </c>
      <c r="P178" s="61" t="b">
        <v>0</v>
      </c>
      <c r="Q178" s="61" t="b">
        <v>0</v>
      </c>
      <c r="R178" s="61" t="b">
        <v>0</v>
      </c>
      <c r="S178" s="61" t="b">
        <v>0</v>
      </c>
      <c r="T178" s="61" t="b">
        <v>0</v>
      </c>
      <c r="U178" s="61" t="b">
        <v>0</v>
      </c>
      <c r="V178" s="61" t="b">
        <v>0</v>
      </c>
      <c r="W178" s="61" t="b">
        <v>1</v>
      </c>
      <c r="X178" s="61" t="b">
        <v>0</v>
      </c>
      <c r="Y178" s="61" t="b">
        <v>0</v>
      </c>
      <c r="Z178" s="38">
        <f t="shared" si="19"/>
        <v>0.9053521249</v>
      </c>
      <c r="AA178" s="65">
        <v>0.05</v>
      </c>
      <c r="AB178" s="66">
        <f>VLOOKUP(A178,ReferenceTables!$BI$2:$CA$254,MATCH(ShopGenerator!$A$2,ReferenceTables!$BI$1:$CA$1,0),0)</f>
        <v>1</v>
      </c>
      <c r="AC178" s="66">
        <f>VLOOKUP(D178,ReferenceTables!$AQ$2:$BE$27,MATCH(ShopGenerator!$A$4,ReferenceTables!$AQ$1:$BE$1,0),0)</f>
        <v>0.6</v>
      </c>
    </row>
    <row r="179">
      <c r="A179" s="67" t="s">
        <v>448</v>
      </c>
      <c r="B179" s="68">
        <f t="shared" si="1"/>
        <v>0.6</v>
      </c>
      <c r="C179" s="67" t="s">
        <v>211</v>
      </c>
      <c r="D179" s="67" t="s">
        <v>76</v>
      </c>
      <c r="E179" s="68">
        <f t="shared" si="20"/>
        <v>0.372</v>
      </c>
      <c r="F179" s="68">
        <f t="shared" si="21"/>
        <v>0.3</v>
      </c>
      <c r="G179" s="68">
        <f t="shared" si="22"/>
        <v>0.486</v>
      </c>
      <c r="H179" s="69"/>
      <c r="I179" s="70" t="b">
        <v>0</v>
      </c>
      <c r="J179" s="70" t="b">
        <v>0</v>
      </c>
      <c r="K179" s="67" t="b">
        <v>0</v>
      </c>
      <c r="L179" s="67" t="b">
        <v>0</v>
      </c>
      <c r="M179" s="67" t="b">
        <v>0</v>
      </c>
      <c r="N179" s="67" t="b">
        <v>0</v>
      </c>
      <c r="O179" s="67" t="b">
        <v>0</v>
      </c>
      <c r="P179" s="67" t="b">
        <v>0</v>
      </c>
      <c r="Q179" s="67" t="b">
        <v>0</v>
      </c>
      <c r="R179" s="67" t="b">
        <v>0</v>
      </c>
      <c r="S179" s="67" t="b">
        <v>0</v>
      </c>
      <c r="T179" s="67" t="b">
        <v>0</v>
      </c>
      <c r="U179" s="67" t="b">
        <v>0</v>
      </c>
      <c r="V179" s="67" t="b">
        <v>0</v>
      </c>
      <c r="W179" s="67" t="b">
        <v>1</v>
      </c>
      <c r="X179" s="67" t="b">
        <v>0</v>
      </c>
      <c r="Y179" s="67" t="b">
        <v>0</v>
      </c>
      <c r="Z179" s="38">
        <f t="shared" si="19"/>
        <v>0.745415451</v>
      </c>
      <c r="AA179" s="71">
        <v>1.0</v>
      </c>
      <c r="AB179" s="72">
        <f>VLOOKUP(A179,ReferenceTables!$BI$2:$CA$254,MATCH(ShopGenerator!$A$2,ReferenceTables!$BI$1:$CA$1,0),0)</f>
        <v>1</v>
      </c>
      <c r="AC179" s="72">
        <f>VLOOKUP(D179,ReferenceTables!$AQ$2:$BE$27,MATCH(ShopGenerator!$A$4,ReferenceTables!$AQ$1:$BE$1,0),0)</f>
        <v>0.6</v>
      </c>
    </row>
    <row r="180">
      <c r="A180" s="61" t="s">
        <v>449</v>
      </c>
      <c r="B180" s="62">
        <f t="shared" si="1"/>
        <v>0.6</v>
      </c>
      <c r="C180" s="61" t="s">
        <v>211</v>
      </c>
      <c r="D180" s="61" t="s">
        <v>76</v>
      </c>
      <c r="E180" s="62">
        <f t="shared" si="20"/>
        <v>0.372</v>
      </c>
      <c r="F180" s="62">
        <f t="shared" si="21"/>
        <v>0.3</v>
      </c>
      <c r="G180" s="62">
        <f t="shared" si="22"/>
        <v>0.486</v>
      </c>
      <c r="H180" s="63"/>
      <c r="I180" s="64" t="b">
        <v>0</v>
      </c>
      <c r="J180" s="64" t="b">
        <v>0</v>
      </c>
      <c r="K180" s="61" t="b">
        <v>0</v>
      </c>
      <c r="L180" s="61" t="b">
        <v>0</v>
      </c>
      <c r="M180" s="61" t="b">
        <v>0</v>
      </c>
      <c r="N180" s="61" t="b">
        <v>0</v>
      </c>
      <c r="O180" s="61" t="b">
        <v>0</v>
      </c>
      <c r="P180" s="61" t="b">
        <v>0</v>
      </c>
      <c r="Q180" s="61" t="b">
        <v>0</v>
      </c>
      <c r="R180" s="61" t="b">
        <v>0</v>
      </c>
      <c r="S180" s="61" t="b">
        <v>0</v>
      </c>
      <c r="T180" s="61" t="b">
        <v>0</v>
      </c>
      <c r="U180" s="61" t="b">
        <v>0</v>
      </c>
      <c r="V180" s="61" t="b">
        <v>0</v>
      </c>
      <c r="W180" s="61" t="b">
        <v>1</v>
      </c>
      <c r="X180" s="61" t="b">
        <v>0</v>
      </c>
      <c r="Y180" s="61" t="b">
        <v>0</v>
      </c>
      <c r="Z180" s="38">
        <f t="shared" si="19"/>
        <v>0.8058882008</v>
      </c>
      <c r="AA180" s="65">
        <v>1.0</v>
      </c>
      <c r="AB180" s="66">
        <f>VLOOKUP(A180,ReferenceTables!$BI$2:$CA$254,MATCH(ShopGenerator!$A$2,ReferenceTables!$BI$1:$CA$1,0),0)</f>
        <v>1</v>
      </c>
      <c r="AC180" s="66">
        <f>VLOOKUP(D180,ReferenceTables!$AQ$2:$BE$27,MATCH(ShopGenerator!$A$4,ReferenceTables!$AQ$1:$BE$1,0),0)</f>
        <v>0.6</v>
      </c>
    </row>
    <row r="181">
      <c r="A181" s="67" t="s">
        <v>450</v>
      </c>
      <c r="B181" s="68">
        <f t="shared" si="1"/>
        <v>3</v>
      </c>
      <c r="C181" s="67" t="s">
        <v>49</v>
      </c>
      <c r="D181" s="67" t="s">
        <v>76</v>
      </c>
      <c r="E181" s="68">
        <f t="shared" si="20"/>
        <v>1.86</v>
      </c>
      <c r="F181" s="68">
        <f t="shared" si="21"/>
        <v>1.5</v>
      </c>
      <c r="G181" s="68">
        <f t="shared" si="22"/>
        <v>2.43</v>
      </c>
      <c r="H181" s="69"/>
      <c r="I181" s="70" t="b">
        <v>0</v>
      </c>
      <c r="J181" s="70" t="b">
        <v>0</v>
      </c>
      <c r="K181" s="67" t="b">
        <v>0</v>
      </c>
      <c r="L181" s="67" t="b">
        <v>0</v>
      </c>
      <c r="M181" s="67" t="b">
        <v>0</v>
      </c>
      <c r="N181" s="67" t="b">
        <v>0</v>
      </c>
      <c r="O181" s="67" t="b">
        <v>0</v>
      </c>
      <c r="P181" s="67" t="b">
        <v>0</v>
      </c>
      <c r="Q181" s="67" t="b">
        <v>0</v>
      </c>
      <c r="R181" s="67" t="b">
        <v>0</v>
      </c>
      <c r="S181" s="67" t="b">
        <v>0</v>
      </c>
      <c r="T181" s="67" t="b">
        <v>0</v>
      </c>
      <c r="U181" s="67" t="b">
        <v>0</v>
      </c>
      <c r="V181" s="67" t="b">
        <v>0</v>
      </c>
      <c r="W181" s="67" t="b">
        <v>1</v>
      </c>
      <c r="X181" s="67" t="b">
        <v>0</v>
      </c>
      <c r="Y181" s="67" t="b">
        <v>0</v>
      </c>
      <c r="Z181" s="38">
        <f t="shared" si="19"/>
        <v>0.1152422693</v>
      </c>
      <c r="AA181" s="71">
        <v>5.0</v>
      </c>
      <c r="AB181" s="72">
        <f>VLOOKUP(A181,ReferenceTables!$BI$2:$CA$254,MATCH(ShopGenerator!$A$2,ReferenceTables!$BI$1:$CA$1,0),0)</f>
        <v>1</v>
      </c>
      <c r="AC181" s="72">
        <f>VLOOKUP(D181,ReferenceTables!$AQ$2:$BE$27,MATCH(ShopGenerator!$A$4,ReferenceTables!$AQ$1:$BE$1,0),0)</f>
        <v>0.6</v>
      </c>
    </row>
    <row r="182">
      <c r="A182" s="61" t="s">
        <v>451</v>
      </c>
      <c r="B182" s="62">
        <f t="shared" si="1"/>
        <v>6</v>
      </c>
      <c r="C182" s="61" t="s">
        <v>43</v>
      </c>
      <c r="D182" s="61" t="s">
        <v>76</v>
      </c>
      <c r="E182" s="62">
        <f t="shared" si="20"/>
        <v>3.72</v>
      </c>
      <c r="F182" s="62">
        <f t="shared" si="21"/>
        <v>3</v>
      </c>
      <c r="G182" s="62">
        <f t="shared" si="22"/>
        <v>4.86</v>
      </c>
      <c r="H182" s="63"/>
      <c r="I182" s="64" t="b">
        <v>0</v>
      </c>
      <c r="J182" s="64" t="b">
        <v>0</v>
      </c>
      <c r="K182" s="61" t="b">
        <v>0</v>
      </c>
      <c r="L182" s="61" t="b">
        <v>0</v>
      </c>
      <c r="M182" s="61" t="b">
        <v>0</v>
      </c>
      <c r="N182" s="61" t="b">
        <v>0</v>
      </c>
      <c r="O182" s="61" t="b">
        <v>0</v>
      </c>
      <c r="P182" s="61" t="b">
        <v>0</v>
      </c>
      <c r="Q182" s="61" t="b">
        <v>0</v>
      </c>
      <c r="R182" s="61" t="b">
        <v>0</v>
      </c>
      <c r="S182" s="61" t="b">
        <v>0</v>
      </c>
      <c r="T182" s="61" t="b">
        <v>0</v>
      </c>
      <c r="U182" s="61" t="b">
        <v>0</v>
      </c>
      <c r="V182" s="61" t="b">
        <v>0</v>
      </c>
      <c r="W182" s="61" t="b">
        <v>1</v>
      </c>
      <c r="X182" s="61" t="b">
        <v>0</v>
      </c>
      <c r="Y182" s="61" t="b">
        <v>0</v>
      </c>
      <c r="Z182" s="38">
        <f t="shared" si="19"/>
        <v>0.9762468366</v>
      </c>
      <c r="AA182" s="65">
        <v>10.0</v>
      </c>
      <c r="AB182" s="66">
        <f>VLOOKUP(A182,ReferenceTables!$BI$2:$CA$254,MATCH(ShopGenerator!$A$2,ReferenceTables!$BI$1:$CA$1,0),0)</f>
        <v>1</v>
      </c>
      <c r="AC182" s="66">
        <f>VLOOKUP(D182,ReferenceTables!$AQ$2:$BE$27,MATCH(ShopGenerator!$A$4,ReferenceTables!$AQ$1:$BE$1,0),0)</f>
        <v>0.6</v>
      </c>
    </row>
    <row r="183">
      <c r="A183" s="67" t="s">
        <v>81</v>
      </c>
      <c r="B183" s="68">
        <f t="shared" si="1"/>
        <v>6</v>
      </c>
      <c r="C183" s="67" t="s">
        <v>51</v>
      </c>
      <c r="D183" s="67" t="s">
        <v>76</v>
      </c>
      <c r="E183" s="68">
        <f t="shared" si="20"/>
        <v>3.72</v>
      </c>
      <c r="F183" s="68">
        <f t="shared" si="21"/>
        <v>3</v>
      </c>
      <c r="G183" s="68">
        <f t="shared" si="22"/>
        <v>4.86</v>
      </c>
      <c r="H183" s="69"/>
      <c r="I183" s="70" t="b">
        <v>0</v>
      </c>
      <c r="J183" s="70" t="b">
        <v>1</v>
      </c>
      <c r="K183" s="67" t="b">
        <v>0</v>
      </c>
      <c r="L183" s="67" t="b">
        <v>0</v>
      </c>
      <c r="M183" s="67" t="b">
        <v>0</v>
      </c>
      <c r="N183" s="67" t="b">
        <v>0</v>
      </c>
      <c r="O183" s="67" t="b">
        <v>0</v>
      </c>
      <c r="P183" s="67" t="b">
        <v>0</v>
      </c>
      <c r="Q183" s="67" t="b">
        <v>0</v>
      </c>
      <c r="R183" s="67" t="b">
        <v>0</v>
      </c>
      <c r="S183" s="67" t="b">
        <v>0</v>
      </c>
      <c r="T183" s="67" t="b">
        <v>0</v>
      </c>
      <c r="U183" s="67" t="b">
        <v>0</v>
      </c>
      <c r="V183" s="67" t="b">
        <v>0</v>
      </c>
      <c r="W183" s="67" t="b">
        <v>1</v>
      </c>
      <c r="X183" s="67" t="b">
        <v>0</v>
      </c>
      <c r="Y183" s="67" t="b">
        <v>0</v>
      </c>
      <c r="Z183" s="38">
        <f t="shared" si="19"/>
        <v>0.133103014</v>
      </c>
      <c r="AA183" s="71">
        <v>10.0</v>
      </c>
      <c r="AB183" s="72">
        <f>VLOOKUP(A183,ReferenceTables!$BI$2:$CA$254,MATCH(ShopGenerator!$A$2,ReferenceTables!$BI$1:$CA$1,0),0)</f>
        <v>1</v>
      </c>
      <c r="AC183" s="72">
        <f>VLOOKUP(D183,ReferenceTables!$AQ$2:$BE$27,MATCH(ShopGenerator!$A$4,ReferenceTables!$AQ$1:$BE$1,0),0)</f>
        <v>0.6</v>
      </c>
    </row>
    <row r="184">
      <c r="A184" s="61" t="s">
        <v>452</v>
      </c>
      <c r="B184" s="62">
        <f t="shared" si="1"/>
        <v>12</v>
      </c>
      <c r="C184" s="61" t="s">
        <v>80</v>
      </c>
      <c r="D184" s="61" t="s">
        <v>76</v>
      </c>
      <c r="E184" s="62">
        <f t="shared" si="20"/>
        <v>7.44</v>
      </c>
      <c r="F184" s="62">
        <f t="shared" si="21"/>
        <v>6</v>
      </c>
      <c r="G184" s="62">
        <f t="shared" si="22"/>
        <v>9.72</v>
      </c>
      <c r="H184" s="63"/>
      <c r="I184" s="64" t="b">
        <v>0</v>
      </c>
      <c r="J184" s="64" t="b">
        <v>1</v>
      </c>
      <c r="K184" s="61" t="b">
        <v>0</v>
      </c>
      <c r="L184" s="61" t="b">
        <v>0</v>
      </c>
      <c r="M184" s="61" t="b">
        <v>0</v>
      </c>
      <c r="N184" s="61" t="b">
        <v>0</v>
      </c>
      <c r="O184" s="61" t="b">
        <v>0</v>
      </c>
      <c r="P184" s="61" t="b">
        <v>0</v>
      </c>
      <c r="Q184" s="61" t="b">
        <v>0</v>
      </c>
      <c r="R184" s="61" t="b">
        <v>0</v>
      </c>
      <c r="S184" s="61" t="b">
        <v>0</v>
      </c>
      <c r="T184" s="61" t="b">
        <v>0</v>
      </c>
      <c r="U184" s="61" t="b">
        <v>0</v>
      </c>
      <c r="V184" s="61" t="b">
        <v>0</v>
      </c>
      <c r="W184" s="61" t="b">
        <v>1</v>
      </c>
      <c r="X184" s="61" t="b">
        <v>0</v>
      </c>
      <c r="Y184" s="61" t="b">
        <v>0</v>
      </c>
      <c r="Z184" s="38">
        <f t="shared" si="19"/>
        <v>0.543144506</v>
      </c>
      <c r="AA184" s="65">
        <v>20.0</v>
      </c>
      <c r="AB184" s="66">
        <f>VLOOKUP(A184,ReferenceTables!$BI$2:$CA$254,MATCH(ShopGenerator!$A$2,ReferenceTables!$BI$1:$CA$1,0),0)</f>
        <v>1</v>
      </c>
      <c r="AC184" s="66">
        <f>VLOOKUP(D184,ReferenceTables!$AQ$2:$BE$27,MATCH(ShopGenerator!$A$4,ReferenceTables!$AQ$1:$BE$1,0),0)</f>
        <v>0.6</v>
      </c>
    </row>
    <row r="185">
      <c r="A185" s="67" t="s">
        <v>453</v>
      </c>
      <c r="B185" s="68">
        <f t="shared" si="1"/>
        <v>18</v>
      </c>
      <c r="C185" s="67" t="s">
        <v>231</v>
      </c>
      <c r="D185" s="67" t="s">
        <v>76</v>
      </c>
      <c r="E185" s="68">
        <f t="shared" si="20"/>
        <v>11.16</v>
      </c>
      <c r="F185" s="68">
        <f t="shared" si="21"/>
        <v>9</v>
      </c>
      <c r="G185" s="68">
        <f t="shared" si="22"/>
        <v>14.58</v>
      </c>
      <c r="H185" s="69"/>
      <c r="I185" s="70" t="b">
        <v>0</v>
      </c>
      <c r="J185" s="70" t="b">
        <v>1</v>
      </c>
      <c r="K185" s="67" t="b">
        <v>0</v>
      </c>
      <c r="L185" s="67" t="b">
        <v>0</v>
      </c>
      <c r="M185" s="67" t="b">
        <v>0</v>
      </c>
      <c r="N185" s="67" t="b">
        <v>0</v>
      </c>
      <c r="O185" s="67" t="b">
        <v>0</v>
      </c>
      <c r="P185" s="67" t="b">
        <v>0</v>
      </c>
      <c r="Q185" s="67" t="b">
        <v>0</v>
      </c>
      <c r="R185" s="67" t="b">
        <v>0</v>
      </c>
      <c r="S185" s="67" t="b">
        <v>0</v>
      </c>
      <c r="T185" s="67" t="b">
        <v>0</v>
      </c>
      <c r="U185" s="67" t="b">
        <v>0</v>
      </c>
      <c r="V185" s="67" t="b">
        <v>0</v>
      </c>
      <c r="W185" s="67" t="b">
        <v>1</v>
      </c>
      <c r="X185" s="67" t="b">
        <v>0</v>
      </c>
      <c r="Y185" s="67" t="b">
        <v>0</v>
      </c>
      <c r="Z185" s="38">
        <f t="shared" si="19"/>
        <v>0.9762280393</v>
      </c>
      <c r="AA185" s="71">
        <v>30.0</v>
      </c>
      <c r="AB185" s="72">
        <f>VLOOKUP(A185,ReferenceTables!$BI$2:$CA$254,MATCH(ShopGenerator!$A$2,ReferenceTables!$BI$1:$CA$1,0),0)</f>
        <v>1</v>
      </c>
      <c r="AC185" s="72">
        <f>VLOOKUP(D185,ReferenceTables!$AQ$2:$BE$27,MATCH(ShopGenerator!$A$4,ReferenceTables!$AQ$1:$BE$1,0),0)</f>
        <v>0.6</v>
      </c>
    </row>
    <row r="186">
      <c r="A186" s="61" t="s">
        <v>454</v>
      </c>
      <c r="B186" s="62">
        <f t="shared" si="1"/>
        <v>0.12</v>
      </c>
      <c r="C186" s="61" t="s">
        <v>72</v>
      </c>
      <c r="D186" s="61" t="s">
        <v>76</v>
      </c>
      <c r="E186" s="62">
        <f t="shared" si="20"/>
        <v>0.0744</v>
      </c>
      <c r="F186" s="62">
        <f t="shared" si="21"/>
        <v>0.06</v>
      </c>
      <c r="G186" s="62">
        <f t="shared" si="22"/>
        <v>0.0972</v>
      </c>
      <c r="H186" s="63"/>
      <c r="I186" s="64" t="b">
        <v>0</v>
      </c>
      <c r="J186" s="64" t="b">
        <v>0</v>
      </c>
      <c r="K186" s="61" t="b">
        <v>0</v>
      </c>
      <c r="L186" s="61" t="b">
        <v>0</v>
      </c>
      <c r="M186" s="61" t="b">
        <v>0</v>
      </c>
      <c r="N186" s="61" t="b">
        <v>0</v>
      </c>
      <c r="O186" s="61" t="b">
        <v>0</v>
      </c>
      <c r="P186" s="61" t="b">
        <v>0</v>
      </c>
      <c r="Q186" s="61" t="b">
        <v>0</v>
      </c>
      <c r="R186" s="61" t="b">
        <v>0</v>
      </c>
      <c r="S186" s="61" t="b">
        <v>0</v>
      </c>
      <c r="T186" s="61" t="b">
        <v>0</v>
      </c>
      <c r="U186" s="61" t="b">
        <v>0</v>
      </c>
      <c r="V186" s="61" t="b">
        <v>0</v>
      </c>
      <c r="W186" s="61" t="b">
        <v>1</v>
      </c>
      <c r="X186" s="61" t="b">
        <v>0</v>
      </c>
      <c r="Y186" s="61" t="b">
        <v>0</v>
      </c>
      <c r="Z186" s="38">
        <f t="shared" si="19"/>
        <v>0.4227008903</v>
      </c>
      <c r="AA186" s="65">
        <v>0.2</v>
      </c>
      <c r="AB186" s="66">
        <f>VLOOKUP(A186,ReferenceTables!$BI$2:$CA$254,MATCH(ShopGenerator!$A$2,ReferenceTables!$BI$1:$CA$1,0),0)</f>
        <v>1</v>
      </c>
      <c r="AC186" s="66">
        <f>VLOOKUP(D186,ReferenceTables!$AQ$2:$BE$27,MATCH(ShopGenerator!$A$4,ReferenceTables!$AQ$1:$BE$1,0),0)</f>
        <v>0.6</v>
      </c>
    </row>
    <row r="187">
      <c r="A187" s="67" t="s">
        <v>455</v>
      </c>
      <c r="B187" s="68">
        <f t="shared" si="1"/>
        <v>30</v>
      </c>
      <c r="C187" s="67" t="s">
        <v>80</v>
      </c>
      <c r="D187" s="67" t="s">
        <v>76</v>
      </c>
      <c r="E187" s="68">
        <f t="shared" si="20"/>
        <v>24.6</v>
      </c>
      <c r="F187" s="68">
        <f t="shared" si="21"/>
        <v>15</v>
      </c>
      <c r="G187" s="68">
        <f t="shared" si="22"/>
        <v>27.3</v>
      </c>
      <c r="H187" s="69"/>
      <c r="I187" s="70" t="b">
        <v>0</v>
      </c>
      <c r="J187" s="70" t="b">
        <v>1</v>
      </c>
      <c r="K187" s="67" t="b">
        <v>0</v>
      </c>
      <c r="L187" s="67" t="b">
        <v>0</v>
      </c>
      <c r="M187" s="67" t="b">
        <v>0</v>
      </c>
      <c r="N187" s="67" t="b">
        <v>0</v>
      </c>
      <c r="O187" s="67" t="b">
        <v>0</v>
      </c>
      <c r="P187" s="67" t="b">
        <v>0</v>
      </c>
      <c r="Q187" s="67" t="b">
        <v>0</v>
      </c>
      <c r="R187" s="67" t="b">
        <v>0</v>
      </c>
      <c r="S187" s="67" t="b">
        <v>0</v>
      </c>
      <c r="T187" s="67" t="b">
        <v>0</v>
      </c>
      <c r="U187" s="67" t="b">
        <v>0</v>
      </c>
      <c r="V187" s="67" t="b">
        <v>0</v>
      </c>
      <c r="W187" s="67" t="b">
        <v>1</v>
      </c>
      <c r="X187" s="67" t="b">
        <v>0</v>
      </c>
      <c r="Y187" s="67" t="b">
        <v>0</v>
      </c>
      <c r="Z187" s="38">
        <f t="shared" si="19"/>
        <v>0.6985688856</v>
      </c>
      <c r="AA187" s="71">
        <v>50.0</v>
      </c>
      <c r="AB187" s="72">
        <f>VLOOKUP(A187,ReferenceTables!$BI$2:$CA$254,MATCH(ShopGenerator!$A$2,ReferenceTables!$BI$1:$CA$1,0),0)</f>
        <v>1</v>
      </c>
      <c r="AC187" s="72">
        <f>VLOOKUP(D187,ReferenceTables!$AQ$2:$BE$27,MATCH(ShopGenerator!$A$4,ReferenceTables!$AQ$1:$BE$1,0),0)</f>
        <v>0.6</v>
      </c>
    </row>
    <row r="188">
      <c r="A188" s="61" t="s">
        <v>456</v>
      </c>
      <c r="B188" s="62">
        <f t="shared" si="1"/>
        <v>12</v>
      </c>
      <c r="C188" s="61" t="s">
        <v>80</v>
      </c>
      <c r="D188" s="61" t="s">
        <v>76</v>
      </c>
      <c r="E188" s="62">
        <f t="shared" si="20"/>
        <v>7.44</v>
      </c>
      <c r="F188" s="62">
        <f t="shared" si="21"/>
        <v>6</v>
      </c>
      <c r="G188" s="62">
        <f t="shared" si="22"/>
        <v>9.72</v>
      </c>
      <c r="H188" s="63"/>
      <c r="I188" s="64" t="b">
        <v>0</v>
      </c>
      <c r="J188" s="64" t="b">
        <v>1</v>
      </c>
      <c r="K188" s="61" t="b">
        <v>0</v>
      </c>
      <c r="L188" s="61" t="b">
        <v>0</v>
      </c>
      <c r="M188" s="61" t="b">
        <v>0</v>
      </c>
      <c r="N188" s="61" t="b">
        <v>0</v>
      </c>
      <c r="O188" s="61" t="b">
        <v>0</v>
      </c>
      <c r="P188" s="61" t="b">
        <v>0</v>
      </c>
      <c r="Q188" s="61" t="b">
        <v>0</v>
      </c>
      <c r="R188" s="61" t="b">
        <v>0</v>
      </c>
      <c r="S188" s="61" t="b">
        <v>0</v>
      </c>
      <c r="T188" s="61" t="b">
        <v>0</v>
      </c>
      <c r="U188" s="61" t="b">
        <v>0</v>
      </c>
      <c r="V188" s="61" t="b">
        <v>0</v>
      </c>
      <c r="W188" s="61" t="b">
        <v>1</v>
      </c>
      <c r="X188" s="61" t="b">
        <v>0</v>
      </c>
      <c r="Y188" s="61" t="b">
        <v>0</v>
      </c>
      <c r="Z188" s="38">
        <f t="shared" si="19"/>
        <v>0.9723625641</v>
      </c>
      <c r="AA188" s="65">
        <v>20.0</v>
      </c>
      <c r="AB188" s="66">
        <f>VLOOKUP(A188,ReferenceTables!$BI$2:$CA$254,MATCH(ShopGenerator!$A$2,ReferenceTables!$BI$1:$CA$1,0),0)</f>
        <v>1</v>
      </c>
      <c r="AC188" s="66">
        <f>VLOOKUP(D188,ReferenceTables!$AQ$2:$BE$27,MATCH(ShopGenerator!$A$4,ReferenceTables!$AQ$1:$BE$1,0),0)</f>
        <v>0.6</v>
      </c>
    </row>
    <row r="189">
      <c r="A189" s="67" t="s">
        <v>457</v>
      </c>
      <c r="B189" s="68">
        <f t="shared" si="1"/>
        <v>45</v>
      </c>
      <c r="C189" s="67" t="s">
        <v>75</v>
      </c>
      <c r="D189" s="67" t="s">
        <v>76</v>
      </c>
      <c r="E189" s="68">
        <f t="shared" si="20"/>
        <v>36.9</v>
      </c>
      <c r="F189" s="68">
        <f t="shared" si="21"/>
        <v>22.5</v>
      </c>
      <c r="G189" s="68">
        <f t="shared" si="22"/>
        <v>40.95</v>
      </c>
      <c r="H189" s="69"/>
      <c r="I189" s="70" t="b">
        <v>1</v>
      </c>
      <c r="J189" s="70" t="b">
        <v>0</v>
      </c>
      <c r="K189" s="67" t="b">
        <v>0</v>
      </c>
      <c r="L189" s="67" t="b">
        <v>0</v>
      </c>
      <c r="M189" s="67" t="b">
        <v>0</v>
      </c>
      <c r="N189" s="67" t="b">
        <v>0</v>
      </c>
      <c r="O189" s="67" t="b">
        <v>0</v>
      </c>
      <c r="P189" s="67" t="b">
        <v>0</v>
      </c>
      <c r="Q189" s="67" t="b">
        <v>0</v>
      </c>
      <c r="R189" s="67" t="b">
        <v>0</v>
      </c>
      <c r="S189" s="67" t="b">
        <v>0</v>
      </c>
      <c r="T189" s="67" t="b">
        <v>0</v>
      </c>
      <c r="U189" s="67" t="b">
        <v>0</v>
      </c>
      <c r="V189" s="67" t="b">
        <v>0</v>
      </c>
      <c r="W189" s="67" t="b">
        <v>1</v>
      </c>
      <c r="X189" s="67" t="b">
        <v>0</v>
      </c>
      <c r="Y189" s="67" t="b">
        <v>0</v>
      </c>
      <c r="Z189" s="38">
        <f t="shared" si="19"/>
        <v>0.5115726018</v>
      </c>
      <c r="AA189" s="71">
        <v>75.0</v>
      </c>
      <c r="AB189" s="72">
        <f>VLOOKUP(A189,ReferenceTables!$BI$2:$CA$254,MATCH(ShopGenerator!$A$2,ReferenceTables!$BI$1:$CA$1,0),0)</f>
        <v>1</v>
      </c>
      <c r="AC189" s="72">
        <f>VLOOKUP(D189,ReferenceTables!$AQ$2:$BE$27,MATCH(ShopGenerator!$A$4,ReferenceTables!$AQ$1:$BE$1,0),0)</f>
        <v>0.6</v>
      </c>
    </row>
    <row r="190">
      <c r="A190" s="61" t="s">
        <v>83</v>
      </c>
      <c r="B190" s="62">
        <f t="shared" si="1"/>
        <v>3</v>
      </c>
      <c r="C190" s="61" t="s">
        <v>51</v>
      </c>
      <c r="D190" s="61" t="s">
        <v>76</v>
      </c>
      <c r="E190" s="62">
        <f t="shared" si="20"/>
        <v>1.86</v>
      </c>
      <c r="F190" s="62">
        <f t="shared" si="21"/>
        <v>1.5</v>
      </c>
      <c r="G190" s="62">
        <f t="shared" si="22"/>
        <v>2.43</v>
      </c>
      <c r="H190" s="63"/>
      <c r="I190" s="64" t="b">
        <v>0</v>
      </c>
      <c r="J190" s="64" t="b">
        <v>1</v>
      </c>
      <c r="K190" s="61" t="b">
        <v>1</v>
      </c>
      <c r="L190" s="61" t="b">
        <v>0</v>
      </c>
      <c r="M190" s="61" t="b">
        <v>0</v>
      </c>
      <c r="N190" s="61" t="b">
        <v>0</v>
      </c>
      <c r="O190" s="61" t="b">
        <v>0</v>
      </c>
      <c r="P190" s="61" t="b">
        <v>0</v>
      </c>
      <c r="Q190" s="61" t="b">
        <v>0</v>
      </c>
      <c r="R190" s="61" t="b">
        <v>0</v>
      </c>
      <c r="S190" s="61" t="b">
        <v>0</v>
      </c>
      <c r="T190" s="61" t="b">
        <v>0</v>
      </c>
      <c r="U190" s="61" t="b">
        <v>0</v>
      </c>
      <c r="V190" s="61" t="b">
        <v>0</v>
      </c>
      <c r="W190" s="61" t="b">
        <v>1</v>
      </c>
      <c r="X190" s="61" t="b">
        <v>0</v>
      </c>
      <c r="Y190" s="61" t="b">
        <v>0</v>
      </c>
      <c r="Z190" s="38">
        <f t="shared" si="19"/>
        <v>0.2056836099</v>
      </c>
      <c r="AA190" s="65">
        <v>5.0</v>
      </c>
      <c r="AB190" s="66">
        <f>VLOOKUP(A190,ReferenceTables!$BI$2:$CA$254,MATCH(ShopGenerator!$A$2,ReferenceTables!$BI$1:$CA$1,0),0)</f>
        <v>1</v>
      </c>
      <c r="AC190" s="66">
        <f>VLOOKUP(D190,ReferenceTables!$AQ$2:$BE$27,MATCH(ShopGenerator!$A$4,ReferenceTables!$AQ$1:$BE$1,0),0)</f>
        <v>0.6</v>
      </c>
    </row>
    <row r="191">
      <c r="A191" s="67" t="s">
        <v>458</v>
      </c>
      <c r="B191" s="68">
        <f t="shared" si="1"/>
        <v>30</v>
      </c>
      <c r="C191" s="67" t="s">
        <v>459</v>
      </c>
      <c r="D191" s="67" t="s">
        <v>76</v>
      </c>
      <c r="E191" s="68">
        <f t="shared" si="20"/>
        <v>24.6</v>
      </c>
      <c r="F191" s="68">
        <f t="shared" si="21"/>
        <v>15</v>
      </c>
      <c r="G191" s="68">
        <f t="shared" si="22"/>
        <v>27.3</v>
      </c>
      <c r="H191" s="69"/>
      <c r="I191" s="70" t="b">
        <v>1</v>
      </c>
      <c r="J191" s="70" t="b">
        <v>0</v>
      </c>
      <c r="K191" s="67" t="b">
        <v>0</v>
      </c>
      <c r="L191" s="67" t="b">
        <v>0</v>
      </c>
      <c r="M191" s="67" t="b">
        <v>0</v>
      </c>
      <c r="N191" s="67" t="b">
        <v>0</v>
      </c>
      <c r="O191" s="67" t="b">
        <v>0</v>
      </c>
      <c r="P191" s="67" t="b">
        <v>0</v>
      </c>
      <c r="Q191" s="67" t="b">
        <v>0</v>
      </c>
      <c r="R191" s="67" t="b">
        <v>0</v>
      </c>
      <c r="S191" s="67" t="b">
        <v>0</v>
      </c>
      <c r="T191" s="67" t="b">
        <v>0</v>
      </c>
      <c r="U191" s="67" t="b">
        <v>0</v>
      </c>
      <c r="V191" s="67" t="b">
        <v>0</v>
      </c>
      <c r="W191" s="67" t="b">
        <v>1</v>
      </c>
      <c r="X191" s="67" t="b">
        <v>0</v>
      </c>
      <c r="Y191" s="67" t="b">
        <v>0</v>
      </c>
      <c r="Z191" s="38">
        <f t="shared" si="19"/>
        <v>0.04757681455</v>
      </c>
      <c r="AA191" s="71">
        <v>50.0</v>
      </c>
      <c r="AB191" s="72">
        <f>VLOOKUP(A191,ReferenceTables!$BI$2:$CA$254,MATCH(ShopGenerator!$A$2,ReferenceTables!$BI$1:$CA$1,0),0)</f>
        <v>1</v>
      </c>
      <c r="AC191" s="72">
        <f>VLOOKUP(D191,ReferenceTables!$AQ$2:$BE$27,MATCH(ShopGenerator!$A$4,ReferenceTables!$AQ$1:$BE$1,0),0)</f>
        <v>0.6</v>
      </c>
    </row>
    <row r="192">
      <c r="A192" s="61" t="s">
        <v>460</v>
      </c>
      <c r="B192" s="62">
        <f t="shared" si="1"/>
        <v>3</v>
      </c>
      <c r="C192" s="61" t="s">
        <v>43</v>
      </c>
      <c r="D192" s="61" t="s">
        <v>76</v>
      </c>
      <c r="E192" s="62">
        <f t="shared" si="20"/>
        <v>1.86</v>
      </c>
      <c r="F192" s="62">
        <f t="shared" si="21"/>
        <v>1.5</v>
      </c>
      <c r="G192" s="62">
        <f t="shared" si="22"/>
        <v>2.43</v>
      </c>
      <c r="H192" s="63"/>
      <c r="I192" s="64" t="b">
        <v>0</v>
      </c>
      <c r="J192" s="64" t="b">
        <v>0</v>
      </c>
      <c r="K192" s="61" t="b">
        <v>0</v>
      </c>
      <c r="L192" s="61" t="b">
        <v>0</v>
      </c>
      <c r="M192" s="61" t="b">
        <v>1</v>
      </c>
      <c r="N192" s="61" t="b">
        <v>0</v>
      </c>
      <c r="O192" s="61" t="b">
        <v>0</v>
      </c>
      <c r="P192" s="61" t="b">
        <v>0</v>
      </c>
      <c r="Q192" s="61" t="b">
        <v>0</v>
      </c>
      <c r="R192" s="61" t="b">
        <v>0</v>
      </c>
      <c r="S192" s="61" t="b">
        <v>0</v>
      </c>
      <c r="T192" s="61" t="b">
        <v>0</v>
      </c>
      <c r="U192" s="61" t="b">
        <v>0</v>
      </c>
      <c r="V192" s="61" t="b">
        <v>0</v>
      </c>
      <c r="W192" s="61" t="b">
        <v>1</v>
      </c>
      <c r="X192" s="61" t="b">
        <v>0</v>
      </c>
      <c r="Y192" s="61" t="b">
        <v>0</v>
      </c>
      <c r="Z192" s="38">
        <f t="shared" si="19"/>
        <v>0.409945453</v>
      </c>
      <c r="AA192" s="65">
        <v>5.0</v>
      </c>
      <c r="AB192" s="66">
        <f>VLOOKUP(A192,ReferenceTables!$BI$2:$CA$254,MATCH(ShopGenerator!$A$2,ReferenceTables!$BI$1:$CA$1,0),0)</f>
        <v>1</v>
      </c>
      <c r="AC192" s="66">
        <f>VLOOKUP(D192,ReferenceTables!$AQ$2:$BE$27,MATCH(ShopGenerator!$A$4,ReferenceTables!$AQ$1:$BE$1,0),0)</f>
        <v>0.6</v>
      </c>
    </row>
    <row r="193">
      <c r="A193" s="67" t="s">
        <v>461</v>
      </c>
      <c r="B193" s="68">
        <f t="shared" si="1"/>
        <v>3</v>
      </c>
      <c r="C193" s="67" t="s">
        <v>211</v>
      </c>
      <c r="D193" s="67" t="s">
        <v>76</v>
      </c>
      <c r="E193" s="68">
        <f t="shared" si="20"/>
        <v>1.86</v>
      </c>
      <c r="F193" s="68">
        <f t="shared" si="21"/>
        <v>1.5</v>
      </c>
      <c r="G193" s="68">
        <f t="shared" si="22"/>
        <v>2.43</v>
      </c>
      <c r="H193" s="69"/>
      <c r="I193" s="70" t="b">
        <v>0</v>
      </c>
      <c r="J193" s="70" t="b">
        <v>0</v>
      </c>
      <c r="K193" s="67" t="b">
        <v>0</v>
      </c>
      <c r="L193" s="67" t="b">
        <v>0</v>
      </c>
      <c r="M193" s="67" t="b">
        <v>1</v>
      </c>
      <c r="N193" s="67" t="b">
        <v>0</v>
      </c>
      <c r="O193" s="67" t="b">
        <v>0</v>
      </c>
      <c r="P193" s="67" t="b">
        <v>0</v>
      </c>
      <c r="Q193" s="67" t="b">
        <v>0</v>
      </c>
      <c r="R193" s="67" t="b">
        <v>0</v>
      </c>
      <c r="S193" s="67" t="b">
        <v>0</v>
      </c>
      <c r="T193" s="67" t="b">
        <v>0</v>
      </c>
      <c r="U193" s="67" t="b">
        <v>0</v>
      </c>
      <c r="V193" s="67" t="b">
        <v>0</v>
      </c>
      <c r="W193" s="67" t="b">
        <v>1</v>
      </c>
      <c r="X193" s="67" t="b">
        <v>0</v>
      </c>
      <c r="Y193" s="67" t="b">
        <v>0</v>
      </c>
      <c r="Z193" s="38">
        <f t="shared" si="19"/>
        <v>0.658578019</v>
      </c>
      <c r="AA193" s="71">
        <v>5.0</v>
      </c>
      <c r="AB193" s="72">
        <f>VLOOKUP(A193,ReferenceTables!$BI$2:$CA$254,MATCH(ShopGenerator!$A$2,ReferenceTables!$BI$1:$CA$1,0),0)</f>
        <v>1</v>
      </c>
      <c r="AC193" s="72">
        <f>VLOOKUP(D193,ReferenceTables!$AQ$2:$BE$27,MATCH(ShopGenerator!$A$4,ReferenceTables!$AQ$1:$BE$1,0),0)</f>
        <v>0.6</v>
      </c>
    </row>
    <row r="194">
      <c r="A194" s="61" t="s">
        <v>462</v>
      </c>
      <c r="B194" s="62">
        <f t="shared" si="1"/>
        <v>3</v>
      </c>
      <c r="C194" s="61" t="s">
        <v>51</v>
      </c>
      <c r="D194" s="61" t="s">
        <v>76</v>
      </c>
      <c r="E194" s="62">
        <f t="shared" si="20"/>
        <v>1.86</v>
      </c>
      <c r="F194" s="62">
        <f t="shared" si="21"/>
        <v>1.5</v>
      </c>
      <c r="G194" s="62">
        <f t="shared" si="22"/>
        <v>2.43</v>
      </c>
      <c r="H194" s="63"/>
      <c r="I194" s="64" t="b">
        <v>0</v>
      </c>
      <c r="J194" s="64" t="b">
        <v>0</v>
      </c>
      <c r="K194" s="61" t="b">
        <v>0</v>
      </c>
      <c r="L194" s="61" t="b">
        <v>0</v>
      </c>
      <c r="M194" s="61" t="b">
        <v>1</v>
      </c>
      <c r="N194" s="61" t="b">
        <v>0</v>
      </c>
      <c r="O194" s="61" t="b">
        <v>0</v>
      </c>
      <c r="P194" s="61" t="b">
        <v>0</v>
      </c>
      <c r="Q194" s="61" t="b">
        <v>0</v>
      </c>
      <c r="R194" s="61" t="b">
        <v>0</v>
      </c>
      <c r="S194" s="61" t="b">
        <v>0</v>
      </c>
      <c r="T194" s="61" t="b">
        <v>0</v>
      </c>
      <c r="U194" s="61" t="b">
        <v>0</v>
      </c>
      <c r="V194" s="61" t="b">
        <v>0</v>
      </c>
      <c r="W194" s="61" t="b">
        <v>1</v>
      </c>
      <c r="X194" s="61" t="b">
        <v>0</v>
      </c>
      <c r="Y194" s="61" t="b">
        <v>0</v>
      </c>
      <c r="Z194" s="38">
        <f t="shared" si="19"/>
        <v>0.2526501311</v>
      </c>
      <c r="AA194" s="65">
        <v>5.0</v>
      </c>
      <c r="AB194" s="66">
        <f>VLOOKUP(A194,ReferenceTables!$BI$2:$CA$254,MATCH(ShopGenerator!$A$2,ReferenceTables!$BI$1:$CA$1,0),0)</f>
        <v>1</v>
      </c>
      <c r="AC194" s="66">
        <f>VLOOKUP(D194,ReferenceTables!$AQ$2:$BE$27,MATCH(ShopGenerator!$A$4,ReferenceTables!$AQ$1:$BE$1,0),0)</f>
        <v>0.6</v>
      </c>
    </row>
    <row r="195">
      <c r="A195" s="67" t="s">
        <v>463</v>
      </c>
      <c r="B195" s="68">
        <f t="shared" si="1"/>
        <v>15</v>
      </c>
      <c r="C195" s="67" t="s">
        <v>435</v>
      </c>
      <c r="D195" s="67" t="s">
        <v>76</v>
      </c>
      <c r="E195" s="68">
        <f t="shared" si="20"/>
        <v>9.3</v>
      </c>
      <c r="F195" s="68">
        <f t="shared" si="21"/>
        <v>7.5</v>
      </c>
      <c r="G195" s="68">
        <f t="shared" si="22"/>
        <v>12.15</v>
      </c>
      <c r="H195" s="69"/>
      <c r="I195" s="70" t="b">
        <v>0</v>
      </c>
      <c r="J195" s="70" t="b">
        <v>0</v>
      </c>
      <c r="K195" s="67" t="b">
        <v>0</v>
      </c>
      <c r="L195" s="67" t="b">
        <v>0</v>
      </c>
      <c r="M195" s="67" t="b">
        <v>1</v>
      </c>
      <c r="N195" s="67" t="b">
        <v>0</v>
      </c>
      <c r="O195" s="67" t="b">
        <v>0</v>
      </c>
      <c r="P195" s="67" t="b">
        <v>0</v>
      </c>
      <c r="Q195" s="67" t="b">
        <v>0</v>
      </c>
      <c r="R195" s="67" t="b">
        <v>0</v>
      </c>
      <c r="S195" s="67" t="b">
        <v>0</v>
      </c>
      <c r="T195" s="67" t="b">
        <v>0</v>
      </c>
      <c r="U195" s="67" t="b">
        <v>0</v>
      </c>
      <c r="V195" s="67" t="b">
        <v>0</v>
      </c>
      <c r="W195" s="67" t="b">
        <v>1</v>
      </c>
      <c r="X195" s="67" t="b">
        <v>0</v>
      </c>
      <c r="Y195" s="67" t="b">
        <v>0</v>
      </c>
      <c r="Z195" s="38">
        <f t="shared" si="19"/>
        <v>0.5311421676</v>
      </c>
      <c r="AA195" s="71">
        <v>25.0</v>
      </c>
      <c r="AB195" s="72">
        <f>VLOOKUP(A195,ReferenceTables!$BI$2:$CA$254,MATCH(ShopGenerator!$A$2,ReferenceTables!$BI$1:$CA$1,0),0)</f>
        <v>1</v>
      </c>
      <c r="AC195" s="72">
        <f>VLOOKUP(D195,ReferenceTables!$AQ$2:$BE$27,MATCH(ShopGenerator!$A$4,ReferenceTables!$AQ$1:$BE$1,0),0)</f>
        <v>0.6</v>
      </c>
    </row>
    <row r="196">
      <c r="A196" s="61" t="s">
        <v>464</v>
      </c>
      <c r="B196" s="62">
        <f t="shared" si="1"/>
        <v>0.3</v>
      </c>
      <c r="C196" s="61" t="s">
        <v>51</v>
      </c>
      <c r="D196" s="61" t="s">
        <v>76</v>
      </c>
      <c r="E196" s="62">
        <f t="shared" si="20"/>
        <v>0.186</v>
      </c>
      <c r="F196" s="62">
        <f t="shared" si="21"/>
        <v>0.15</v>
      </c>
      <c r="G196" s="62">
        <f t="shared" si="22"/>
        <v>0.243</v>
      </c>
      <c r="H196" s="63"/>
      <c r="I196" s="64" t="b">
        <v>0</v>
      </c>
      <c r="J196" s="64" t="b">
        <v>1</v>
      </c>
      <c r="K196" s="61" t="b">
        <v>0</v>
      </c>
      <c r="L196" s="61" t="b">
        <v>0</v>
      </c>
      <c r="M196" s="61" t="b">
        <v>0</v>
      </c>
      <c r="N196" s="61" t="b">
        <v>0</v>
      </c>
      <c r="O196" s="61" t="b">
        <v>0</v>
      </c>
      <c r="P196" s="61" t="b">
        <v>0</v>
      </c>
      <c r="Q196" s="61" t="b">
        <v>0</v>
      </c>
      <c r="R196" s="61" t="b">
        <v>0</v>
      </c>
      <c r="S196" s="61" t="b">
        <v>0</v>
      </c>
      <c r="T196" s="61" t="b">
        <v>0</v>
      </c>
      <c r="U196" s="61" t="b">
        <v>0</v>
      </c>
      <c r="V196" s="61" t="b">
        <v>0</v>
      </c>
      <c r="W196" s="61" t="b">
        <v>1</v>
      </c>
      <c r="X196" s="61" t="b">
        <v>0</v>
      </c>
      <c r="Y196" s="61" t="b">
        <v>0</v>
      </c>
      <c r="Z196" s="38">
        <f t="shared" si="19"/>
        <v>0.6252933744</v>
      </c>
      <c r="AA196" s="65">
        <v>0.5</v>
      </c>
      <c r="AB196" s="66">
        <f>VLOOKUP(A196,ReferenceTables!$BI$2:$CA$254,MATCH(ShopGenerator!$A$2,ReferenceTables!$BI$1:$CA$1,0),0)</f>
        <v>1</v>
      </c>
      <c r="AC196" s="66">
        <f>VLOOKUP(D196,ReferenceTables!$AQ$2:$BE$27,MATCH(ShopGenerator!$A$4,ReferenceTables!$AQ$1:$BE$1,0),0)</f>
        <v>0.6</v>
      </c>
    </row>
    <row r="197">
      <c r="A197" s="67" t="s">
        <v>79</v>
      </c>
      <c r="B197" s="68">
        <f t="shared" si="1"/>
        <v>6</v>
      </c>
      <c r="C197" s="67" t="s">
        <v>80</v>
      </c>
      <c r="D197" s="67" t="s">
        <v>76</v>
      </c>
      <c r="E197" s="68">
        <f t="shared" si="20"/>
        <v>3.72</v>
      </c>
      <c r="F197" s="68">
        <f t="shared" si="21"/>
        <v>3</v>
      </c>
      <c r="G197" s="68">
        <f t="shared" si="22"/>
        <v>4.86</v>
      </c>
      <c r="H197" s="69"/>
      <c r="I197" s="70" t="b">
        <v>0</v>
      </c>
      <c r="J197" s="70" t="b">
        <v>1</v>
      </c>
      <c r="K197" s="67" t="b">
        <v>0</v>
      </c>
      <c r="L197" s="67" t="b">
        <v>0</v>
      </c>
      <c r="M197" s="67" t="b">
        <v>0</v>
      </c>
      <c r="N197" s="67" t="b">
        <v>0</v>
      </c>
      <c r="O197" s="67" t="b">
        <v>0</v>
      </c>
      <c r="P197" s="67" t="b">
        <v>0</v>
      </c>
      <c r="Q197" s="67" t="b">
        <v>0</v>
      </c>
      <c r="R197" s="67" t="b">
        <v>0</v>
      </c>
      <c r="S197" s="67" t="b">
        <v>0</v>
      </c>
      <c r="T197" s="67" t="b">
        <v>0</v>
      </c>
      <c r="U197" s="67" t="b">
        <v>0</v>
      </c>
      <c r="V197" s="67" t="b">
        <v>0</v>
      </c>
      <c r="W197" s="67" t="b">
        <v>1</v>
      </c>
      <c r="X197" s="67" t="b">
        <v>0</v>
      </c>
      <c r="Y197" s="67" t="b">
        <v>0</v>
      </c>
      <c r="Z197" s="38">
        <f t="shared" si="19"/>
        <v>0.1211756767</v>
      </c>
      <c r="AA197" s="71">
        <v>10.0</v>
      </c>
      <c r="AB197" s="72">
        <f>VLOOKUP(A197,ReferenceTables!$BI$2:$CA$254,MATCH(ShopGenerator!$A$2,ReferenceTables!$BI$1:$CA$1,0),0)</f>
        <v>1</v>
      </c>
      <c r="AC197" s="72">
        <f>VLOOKUP(D197,ReferenceTables!$AQ$2:$BE$27,MATCH(ShopGenerator!$A$4,ReferenceTables!$AQ$1:$BE$1,0),0)</f>
        <v>0.6</v>
      </c>
    </row>
    <row r="198">
      <c r="A198" s="61" t="s">
        <v>465</v>
      </c>
      <c r="B198" s="62">
        <f t="shared" si="1"/>
        <v>15</v>
      </c>
      <c r="C198" s="61" t="s">
        <v>57</v>
      </c>
      <c r="D198" s="61" t="s">
        <v>76</v>
      </c>
      <c r="E198" s="62">
        <f t="shared" si="20"/>
        <v>9.3</v>
      </c>
      <c r="F198" s="62">
        <f t="shared" si="21"/>
        <v>7.5</v>
      </c>
      <c r="G198" s="62">
        <f t="shared" si="22"/>
        <v>12.15</v>
      </c>
      <c r="H198" s="63"/>
      <c r="I198" s="64" t="b">
        <v>1</v>
      </c>
      <c r="J198" s="64" t="b">
        <v>0</v>
      </c>
      <c r="K198" s="61" t="b">
        <v>0</v>
      </c>
      <c r="L198" s="61" t="b">
        <v>0</v>
      </c>
      <c r="M198" s="61" t="b">
        <v>0</v>
      </c>
      <c r="N198" s="61" t="b">
        <v>0</v>
      </c>
      <c r="O198" s="61" t="b">
        <v>0</v>
      </c>
      <c r="P198" s="61" t="b">
        <v>0</v>
      </c>
      <c r="Q198" s="61" t="b">
        <v>0</v>
      </c>
      <c r="R198" s="61" t="b">
        <v>0</v>
      </c>
      <c r="S198" s="61" t="b">
        <v>0</v>
      </c>
      <c r="T198" s="61" t="b">
        <v>0</v>
      </c>
      <c r="U198" s="61" t="b">
        <v>0</v>
      </c>
      <c r="V198" s="61" t="b">
        <v>0</v>
      </c>
      <c r="W198" s="61" t="b">
        <v>1</v>
      </c>
      <c r="X198" s="61" t="b">
        <v>0</v>
      </c>
      <c r="Y198" s="61" t="b">
        <v>0</v>
      </c>
      <c r="Z198" s="38">
        <f t="shared" si="19"/>
        <v>0.134525643</v>
      </c>
      <c r="AA198" s="65">
        <v>25.0</v>
      </c>
      <c r="AB198" s="66">
        <f>VLOOKUP(A198,ReferenceTables!$BI$2:$CA$254,MATCH(ShopGenerator!$A$2,ReferenceTables!$BI$1:$CA$1,0),0)</f>
        <v>1</v>
      </c>
      <c r="AC198" s="66">
        <f>VLOOKUP(D198,ReferenceTables!$AQ$2:$BE$27,MATCH(ShopGenerator!$A$4,ReferenceTables!$AQ$1:$BE$1,0),0)</f>
        <v>0.6</v>
      </c>
    </row>
    <row r="199">
      <c r="A199" s="67" t="s">
        <v>466</v>
      </c>
      <c r="B199" s="68">
        <f t="shared" si="1"/>
        <v>1.2</v>
      </c>
      <c r="C199" s="67" t="s">
        <v>51</v>
      </c>
      <c r="D199" s="67" t="s">
        <v>76</v>
      </c>
      <c r="E199" s="68">
        <f t="shared" si="20"/>
        <v>0.744</v>
      </c>
      <c r="F199" s="68">
        <f t="shared" si="21"/>
        <v>0.6</v>
      </c>
      <c r="G199" s="68">
        <f t="shared" si="22"/>
        <v>0.972</v>
      </c>
      <c r="H199" s="69"/>
      <c r="I199" s="70" t="b">
        <v>0</v>
      </c>
      <c r="J199" s="70" t="b">
        <v>1</v>
      </c>
      <c r="K199" s="67" t="b">
        <v>0</v>
      </c>
      <c r="L199" s="67" t="b">
        <v>0</v>
      </c>
      <c r="M199" s="67" t="b">
        <v>0</v>
      </c>
      <c r="N199" s="67" t="b">
        <v>0</v>
      </c>
      <c r="O199" s="67" t="b">
        <v>0</v>
      </c>
      <c r="P199" s="67" t="b">
        <v>0</v>
      </c>
      <c r="Q199" s="67" t="b">
        <v>0</v>
      </c>
      <c r="R199" s="67" t="b">
        <v>0</v>
      </c>
      <c r="S199" s="67" t="b">
        <v>0</v>
      </c>
      <c r="T199" s="67" t="b">
        <v>0</v>
      </c>
      <c r="U199" s="67" t="b">
        <v>0</v>
      </c>
      <c r="V199" s="67" t="b">
        <v>0</v>
      </c>
      <c r="W199" s="67" t="b">
        <v>1</v>
      </c>
      <c r="X199" s="67" t="b">
        <v>0</v>
      </c>
      <c r="Y199" s="67" t="b">
        <v>0</v>
      </c>
      <c r="Z199" s="38">
        <f t="shared" si="19"/>
        <v>0.8459802366</v>
      </c>
      <c r="AA199" s="71">
        <v>2.0</v>
      </c>
      <c r="AB199" s="72">
        <f>VLOOKUP(A199,ReferenceTables!$BI$2:$CA$254,MATCH(ShopGenerator!$A$2,ReferenceTables!$BI$1:$CA$1,0),0)</f>
        <v>1</v>
      </c>
      <c r="AC199" s="72">
        <f>VLOOKUP(D199,ReferenceTables!$AQ$2:$BE$27,MATCH(ShopGenerator!$A$4,ReferenceTables!$AQ$1:$BE$1,0),0)</f>
        <v>0.6</v>
      </c>
    </row>
    <row r="200">
      <c r="A200" s="61" t="s">
        <v>467</v>
      </c>
      <c r="B200" s="62">
        <f t="shared" si="1"/>
        <v>30</v>
      </c>
      <c r="C200" s="61" t="s">
        <v>51</v>
      </c>
      <c r="D200" s="61" t="s">
        <v>76</v>
      </c>
      <c r="E200" s="62">
        <f t="shared" si="20"/>
        <v>24.6</v>
      </c>
      <c r="F200" s="62">
        <f t="shared" si="21"/>
        <v>15</v>
      </c>
      <c r="G200" s="62">
        <f t="shared" si="22"/>
        <v>27.3</v>
      </c>
      <c r="H200" s="63"/>
      <c r="I200" s="64" t="b">
        <v>1</v>
      </c>
      <c r="J200" s="64" t="b">
        <v>0</v>
      </c>
      <c r="K200" s="61" t="b">
        <v>0</v>
      </c>
      <c r="L200" s="61" t="b">
        <v>0</v>
      </c>
      <c r="M200" s="61" t="b">
        <v>0</v>
      </c>
      <c r="N200" s="61" t="b">
        <v>0</v>
      </c>
      <c r="O200" s="61" t="b">
        <v>0</v>
      </c>
      <c r="P200" s="61" t="b">
        <v>0</v>
      </c>
      <c r="Q200" s="61" t="b">
        <v>0</v>
      </c>
      <c r="R200" s="61" t="b">
        <v>0</v>
      </c>
      <c r="S200" s="61" t="b">
        <v>0</v>
      </c>
      <c r="T200" s="61" t="b">
        <v>0</v>
      </c>
      <c r="U200" s="61" t="b">
        <v>0</v>
      </c>
      <c r="V200" s="61" t="b">
        <v>0</v>
      </c>
      <c r="W200" s="61" t="b">
        <v>1</v>
      </c>
      <c r="X200" s="61" t="b">
        <v>0</v>
      </c>
      <c r="Y200" s="61" t="b">
        <v>0</v>
      </c>
      <c r="Z200" s="38">
        <f t="shared" si="19"/>
        <v>0.9729713815</v>
      </c>
      <c r="AA200" s="65">
        <v>50.0</v>
      </c>
      <c r="AB200" s="66">
        <f>VLOOKUP(A200,ReferenceTables!$BI$2:$CA$254,MATCH(ShopGenerator!$A$2,ReferenceTables!$BI$1:$CA$1,0),0)</f>
        <v>1</v>
      </c>
      <c r="AC200" s="66">
        <f>VLOOKUP(D200,ReferenceTables!$AQ$2:$BE$27,MATCH(ShopGenerator!$A$4,ReferenceTables!$AQ$1:$BE$1,0),0)</f>
        <v>0.6</v>
      </c>
    </row>
    <row r="201">
      <c r="A201" s="67" t="s">
        <v>74</v>
      </c>
      <c r="B201" s="68">
        <f t="shared" si="1"/>
        <v>9</v>
      </c>
      <c r="C201" s="67" t="s">
        <v>75</v>
      </c>
      <c r="D201" s="67" t="s">
        <v>76</v>
      </c>
      <c r="E201" s="68">
        <f t="shared" si="20"/>
        <v>5.58</v>
      </c>
      <c r="F201" s="68">
        <f t="shared" si="21"/>
        <v>4.5</v>
      </c>
      <c r="G201" s="68">
        <f t="shared" si="22"/>
        <v>7.29</v>
      </c>
      <c r="H201" s="69"/>
      <c r="I201" s="70" t="b">
        <v>0</v>
      </c>
      <c r="J201" s="70" t="b">
        <v>1</v>
      </c>
      <c r="K201" s="67" t="b">
        <v>0</v>
      </c>
      <c r="L201" s="67" t="b">
        <v>0</v>
      </c>
      <c r="M201" s="67" t="b">
        <v>0</v>
      </c>
      <c r="N201" s="67" t="b">
        <v>0</v>
      </c>
      <c r="O201" s="67" t="b">
        <v>0</v>
      </c>
      <c r="P201" s="67" t="b">
        <v>0</v>
      </c>
      <c r="Q201" s="67" t="b">
        <v>0</v>
      </c>
      <c r="R201" s="67" t="b">
        <v>0</v>
      </c>
      <c r="S201" s="67" t="b">
        <v>0</v>
      </c>
      <c r="T201" s="67" t="b">
        <v>0</v>
      </c>
      <c r="U201" s="67" t="b">
        <v>0</v>
      </c>
      <c r="V201" s="67" t="b">
        <v>0</v>
      </c>
      <c r="W201" s="67" t="b">
        <v>1</v>
      </c>
      <c r="X201" s="67" t="b">
        <v>0</v>
      </c>
      <c r="Y201" s="67" t="b">
        <v>0</v>
      </c>
      <c r="Z201" s="38">
        <f t="shared" si="19"/>
        <v>0.03441821412</v>
      </c>
      <c r="AA201" s="71">
        <v>15.0</v>
      </c>
      <c r="AB201" s="72">
        <f>VLOOKUP(A201,ReferenceTables!$BI$2:$CA$254,MATCH(ShopGenerator!$A$2,ReferenceTables!$BI$1:$CA$1,0),0)</f>
        <v>1</v>
      </c>
      <c r="AC201" s="72">
        <f>VLOOKUP(D201,ReferenceTables!$AQ$2:$BE$27,MATCH(ShopGenerator!$A$4,ReferenceTables!$AQ$1:$BE$1,0),0)</f>
        <v>0.6</v>
      </c>
    </row>
    <row r="202">
      <c r="A202" s="61" t="s">
        <v>468</v>
      </c>
      <c r="B202" s="62">
        <f t="shared" si="1"/>
        <v>3</v>
      </c>
      <c r="C202" s="61" t="s">
        <v>49</v>
      </c>
      <c r="D202" s="61" t="s">
        <v>76</v>
      </c>
      <c r="E202" s="62">
        <f t="shared" si="20"/>
        <v>1.86</v>
      </c>
      <c r="F202" s="62">
        <f t="shared" si="21"/>
        <v>1.5</v>
      </c>
      <c r="G202" s="62">
        <f t="shared" si="22"/>
        <v>2.43</v>
      </c>
      <c r="H202" s="63"/>
      <c r="I202" s="64" t="b">
        <v>0</v>
      </c>
      <c r="J202" s="64" t="b">
        <v>1</v>
      </c>
      <c r="K202" s="61" t="b">
        <v>0</v>
      </c>
      <c r="L202" s="61" t="b">
        <v>0</v>
      </c>
      <c r="M202" s="61" t="b">
        <v>0</v>
      </c>
      <c r="N202" s="61" t="b">
        <v>0</v>
      </c>
      <c r="O202" s="61" t="b">
        <v>0</v>
      </c>
      <c r="P202" s="61" t="b">
        <v>0</v>
      </c>
      <c r="Q202" s="61" t="b">
        <v>0</v>
      </c>
      <c r="R202" s="61" t="b">
        <v>0</v>
      </c>
      <c r="S202" s="61" t="b">
        <v>0</v>
      </c>
      <c r="T202" s="61" t="b">
        <v>0</v>
      </c>
      <c r="U202" s="61" t="b">
        <v>0</v>
      </c>
      <c r="V202" s="61" t="b">
        <v>0</v>
      </c>
      <c r="W202" s="61" t="b">
        <v>1</v>
      </c>
      <c r="X202" s="61" t="b">
        <v>0</v>
      </c>
      <c r="Y202" s="61" t="b">
        <v>0</v>
      </c>
      <c r="Z202" s="38">
        <f t="shared" si="19"/>
        <v>0.8738589371</v>
      </c>
      <c r="AA202" s="65">
        <v>5.0</v>
      </c>
      <c r="AB202" s="66">
        <f>VLOOKUP(A202,ReferenceTables!$BI$2:$CA$254,MATCH(ShopGenerator!$A$2,ReferenceTables!$BI$1:$CA$1,0),0)</f>
        <v>1</v>
      </c>
      <c r="AC202" s="66">
        <f>VLOOKUP(D202,ReferenceTables!$AQ$2:$BE$27,MATCH(ShopGenerator!$A$4,ReferenceTables!$AQ$1:$BE$1,0),0)</f>
        <v>0.6</v>
      </c>
    </row>
    <row r="203">
      <c r="A203" s="67" t="s">
        <v>82</v>
      </c>
      <c r="B203" s="68">
        <f t="shared" si="1"/>
        <v>6</v>
      </c>
      <c r="C203" s="67" t="s">
        <v>72</v>
      </c>
      <c r="D203" s="67" t="s">
        <v>76</v>
      </c>
      <c r="E203" s="68">
        <f t="shared" si="20"/>
        <v>3.72</v>
      </c>
      <c r="F203" s="68">
        <f t="shared" si="21"/>
        <v>3</v>
      </c>
      <c r="G203" s="68">
        <f t="shared" si="22"/>
        <v>4.86</v>
      </c>
      <c r="H203" s="69"/>
      <c r="I203" s="70" t="b">
        <v>0</v>
      </c>
      <c r="J203" s="70" t="b">
        <v>1</v>
      </c>
      <c r="K203" s="67" t="b">
        <v>0</v>
      </c>
      <c r="L203" s="67" t="b">
        <v>0</v>
      </c>
      <c r="M203" s="67" t="b">
        <v>0</v>
      </c>
      <c r="N203" s="67" t="b">
        <v>0</v>
      </c>
      <c r="O203" s="67" t="b">
        <v>0</v>
      </c>
      <c r="P203" s="67" t="b">
        <v>0</v>
      </c>
      <c r="Q203" s="67" t="b">
        <v>0</v>
      </c>
      <c r="R203" s="67" t="b">
        <v>0</v>
      </c>
      <c r="S203" s="67" t="b">
        <v>0</v>
      </c>
      <c r="T203" s="67" t="b">
        <v>0</v>
      </c>
      <c r="U203" s="67" t="b">
        <v>0</v>
      </c>
      <c r="V203" s="67" t="b">
        <v>0</v>
      </c>
      <c r="W203" s="67" t="b">
        <v>1</v>
      </c>
      <c r="X203" s="67" t="b">
        <v>0</v>
      </c>
      <c r="Y203" s="67" t="b">
        <v>0</v>
      </c>
      <c r="Z203" s="38">
        <f t="shared" si="19"/>
        <v>0.2011900346</v>
      </c>
      <c r="AA203" s="71">
        <v>10.0</v>
      </c>
      <c r="AB203" s="72">
        <f>VLOOKUP(A203,ReferenceTables!$BI$2:$CA$254,MATCH(ShopGenerator!$A$2,ReferenceTables!$BI$1:$CA$1,0),0)</f>
        <v>1</v>
      </c>
      <c r="AC203" s="72">
        <f>VLOOKUP(D203,ReferenceTables!$AQ$2:$BE$27,MATCH(ShopGenerator!$A$4,ReferenceTables!$AQ$1:$BE$1,0),0)</f>
        <v>0.6</v>
      </c>
    </row>
    <row r="204">
      <c r="A204" s="61" t="s">
        <v>469</v>
      </c>
      <c r="B204" s="62">
        <f t="shared" si="1"/>
        <v>9</v>
      </c>
      <c r="C204" s="61" t="s">
        <v>49</v>
      </c>
      <c r="D204" s="61" t="s">
        <v>76</v>
      </c>
      <c r="E204" s="62">
        <f t="shared" si="20"/>
        <v>5.58</v>
      </c>
      <c r="F204" s="62">
        <f t="shared" si="21"/>
        <v>4.5</v>
      </c>
      <c r="G204" s="62">
        <f t="shared" si="22"/>
        <v>7.29</v>
      </c>
      <c r="H204" s="63"/>
      <c r="I204" s="64" t="b">
        <v>0</v>
      </c>
      <c r="J204" s="64" t="b">
        <v>1</v>
      </c>
      <c r="K204" s="61" t="b">
        <v>0</v>
      </c>
      <c r="L204" s="61" t="b">
        <v>0</v>
      </c>
      <c r="M204" s="61" t="b">
        <v>0</v>
      </c>
      <c r="N204" s="61" t="b">
        <v>0</v>
      </c>
      <c r="O204" s="61" t="b">
        <v>0</v>
      </c>
      <c r="P204" s="61" t="b">
        <v>0</v>
      </c>
      <c r="Q204" s="61" t="b">
        <v>0</v>
      </c>
      <c r="R204" s="61" t="b">
        <v>0</v>
      </c>
      <c r="S204" s="61" t="b">
        <v>0</v>
      </c>
      <c r="T204" s="61" t="b">
        <v>0</v>
      </c>
      <c r="U204" s="61" t="b">
        <v>0</v>
      </c>
      <c r="V204" s="61" t="b">
        <v>0</v>
      </c>
      <c r="W204" s="61" t="b">
        <v>1</v>
      </c>
      <c r="X204" s="61" t="b">
        <v>0</v>
      </c>
      <c r="Y204" s="61" t="b">
        <v>0</v>
      </c>
      <c r="Z204" s="38">
        <f t="shared" si="19"/>
        <v>0.5425973448</v>
      </c>
      <c r="AA204" s="65">
        <v>15.0</v>
      </c>
      <c r="AB204" s="66">
        <f>VLOOKUP(A204,ReferenceTables!$BI$2:$CA$254,MATCH(ShopGenerator!$A$2,ReferenceTables!$BI$1:$CA$1,0),0)</f>
        <v>1</v>
      </c>
      <c r="AC204" s="66">
        <f>VLOOKUP(D204,ReferenceTables!$AQ$2:$BE$27,MATCH(ShopGenerator!$A$4,ReferenceTables!$AQ$1:$BE$1,0),0)</f>
        <v>0.6</v>
      </c>
    </row>
    <row r="205">
      <c r="A205" s="67" t="s">
        <v>470</v>
      </c>
      <c r="B205" s="68">
        <f t="shared" si="1"/>
        <v>0.6</v>
      </c>
      <c r="C205" s="67" t="s">
        <v>75</v>
      </c>
      <c r="D205" s="67" t="s">
        <v>76</v>
      </c>
      <c r="E205" s="68">
        <f t="shared" si="20"/>
        <v>0.372</v>
      </c>
      <c r="F205" s="68">
        <f t="shared" si="21"/>
        <v>0.3</v>
      </c>
      <c r="G205" s="68">
        <f t="shared" si="22"/>
        <v>0.486</v>
      </c>
      <c r="H205" s="69"/>
      <c r="I205" s="70" t="b">
        <v>0</v>
      </c>
      <c r="J205" s="70" t="b">
        <v>0</v>
      </c>
      <c r="K205" s="67" t="b">
        <v>0</v>
      </c>
      <c r="L205" s="67" t="b">
        <v>0</v>
      </c>
      <c r="M205" s="67" t="b">
        <v>0</v>
      </c>
      <c r="N205" s="67" t="b">
        <v>0</v>
      </c>
      <c r="O205" s="67" t="b">
        <v>0</v>
      </c>
      <c r="P205" s="67" t="b">
        <v>0</v>
      </c>
      <c r="Q205" s="67" t="b">
        <v>0</v>
      </c>
      <c r="R205" s="67" t="b">
        <v>0</v>
      </c>
      <c r="S205" s="67" t="b">
        <v>0</v>
      </c>
      <c r="T205" s="67" t="b">
        <v>0</v>
      </c>
      <c r="U205" s="67" t="b">
        <v>0</v>
      </c>
      <c r="V205" s="67" t="b">
        <v>0</v>
      </c>
      <c r="W205" s="67" t="b">
        <v>1</v>
      </c>
      <c r="X205" s="67" t="b">
        <v>0</v>
      </c>
      <c r="Y205" s="67" t="b">
        <v>0</v>
      </c>
      <c r="Z205" s="38">
        <f t="shared" si="19"/>
        <v>0.8533640825</v>
      </c>
      <c r="AA205" s="71">
        <v>1.0</v>
      </c>
      <c r="AB205" s="72">
        <f>VLOOKUP(A205,ReferenceTables!$BI$2:$CA$254,MATCH(ShopGenerator!$A$2,ReferenceTables!$BI$1:$CA$1,0),0)</f>
        <v>1</v>
      </c>
      <c r="AC205" s="72">
        <f>VLOOKUP(D205,ReferenceTables!$AQ$2:$BE$27,MATCH(ShopGenerator!$A$4,ReferenceTables!$AQ$1:$BE$1,0),0)</f>
        <v>0.6</v>
      </c>
    </row>
    <row r="206">
      <c r="A206" s="61" t="s">
        <v>471</v>
      </c>
      <c r="B206" s="62">
        <f t="shared" si="1"/>
        <v>3</v>
      </c>
      <c r="C206" s="61" t="s">
        <v>459</v>
      </c>
      <c r="D206" s="61" t="s">
        <v>76</v>
      </c>
      <c r="E206" s="62">
        <f t="shared" si="20"/>
        <v>1.86</v>
      </c>
      <c r="F206" s="62">
        <f t="shared" si="21"/>
        <v>1.5</v>
      </c>
      <c r="G206" s="62">
        <f t="shared" si="22"/>
        <v>2.43</v>
      </c>
      <c r="H206" s="63"/>
      <c r="I206" s="64" t="b">
        <v>0</v>
      </c>
      <c r="J206" s="64" t="b">
        <v>1</v>
      </c>
      <c r="K206" s="61" t="b">
        <v>0</v>
      </c>
      <c r="L206" s="61" t="b">
        <v>0</v>
      </c>
      <c r="M206" s="61" t="b">
        <v>0</v>
      </c>
      <c r="N206" s="61" t="b">
        <v>0</v>
      </c>
      <c r="O206" s="61" t="b">
        <v>0</v>
      </c>
      <c r="P206" s="61" t="b">
        <v>0</v>
      </c>
      <c r="Q206" s="61" t="b">
        <v>0</v>
      </c>
      <c r="R206" s="61" t="b">
        <v>0</v>
      </c>
      <c r="S206" s="61" t="b">
        <v>0</v>
      </c>
      <c r="T206" s="61" t="b">
        <v>0</v>
      </c>
      <c r="U206" s="61" t="b">
        <v>0</v>
      </c>
      <c r="V206" s="61" t="b">
        <v>0</v>
      </c>
      <c r="W206" s="61" t="b">
        <v>1</v>
      </c>
      <c r="X206" s="61" t="b">
        <v>0</v>
      </c>
      <c r="Y206" s="61" t="b">
        <v>0</v>
      </c>
      <c r="Z206" s="38">
        <f t="shared" si="19"/>
        <v>0.7600301804</v>
      </c>
      <c r="AA206" s="65">
        <v>5.0</v>
      </c>
      <c r="AB206" s="66">
        <f>VLOOKUP(A206,ReferenceTables!$BI$2:$CA$254,MATCH(ShopGenerator!$A$2,ReferenceTables!$BI$1:$CA$1,0),0)</f>
        <v>1</v>
      </c>
      <c r="AC206" s="66">
        <f>VLOOKUP(D206,ReferenceTables!$AQ$2:$BE$27,MATCH(ShopGenerator!$A$4,ReferenceTables!$AQ$1:$BE$1,0),0)</f>
        <v>0.6</v>
      </c>
    </row>
    <row r="207">
      <c r="A207" s="67" t="s">
        <v>472</v>
      </c>
      <c r="B207" s="68">
        <f t="shared" si="1"/>
        <v>0.12</v>
      </c>
      <c r="C207" s="67" t="s">
        <v>49</v>
      </c>
      <c r="D207" s="67" t="s">
        <v>76</v>
      </c>
      <c r="E207" s="68">
        <f t="shared" si="20"/>
        <v>0.0744</v>
      </c>
      <c r="F207" s="68">
        <f t="shared" si="21"/>
        <v>0.06</v>
      </c>
      <c r="G207" s="68">
        <f t="shared" si="22"/>
        <v>0.0972</v>
      </c>
      <c r="H207" s="69"/>
      <c r="I207" s="70" t="b">
        <v>0</v>
      </c>
      <c r="J207" s="70" t="b">
        <v>0</v>
      </c>
      <c r="K207" s="67" t="b">
        <v>0</v>
      </c>
      <c r="L207" s="67" t="b">
        <v>0</v>
      </c>
      <c r="M207" s="67" t="b">
        <v>0</v>
      </c>
      <c r="N207" s="67" t="b">
        <v>0</v>
      </c>
      <c r="O207" s="67" t="b">
        <v>0</v>
      </c>
      <c r="P207" s="67" t="b">
        <v>0</v>
      </c>
      <c r="Q207" s="67" t="b">
        <v>0</v>
      </c>
      <c r="R207" s="67" t="b">
        <v>0</v>
      </c>
      <c r="S207" s="67" t="b">
        <v>0</v>
      </c>
      <c r="T207" s="67" t="b">
        <v>0</v>
      </c>
      <c r="U207" s="67" t="b">
        <v>0</v>
      </c>
      <c r="V207" s="67" t="b">
        <v>0</v>
      </c>
      <c r="W207" s="67" t="b">
        <v>1</v>
      </c>
      <c r="X207" s="67" t="b">
        <v>0</v>
      </c>
      <c r="Y207" s="67" t="b">
        <v>0</v>
      </c>
      <c r="Z207" s="38">
        <f t="shared" si="19"/>
        <v>0.2847246944</v>
      </c>
      <c r="AA207" s="71">
        <v>0.2</v>
      </c>
      <c r="AB207" s="72">
        <f>VLOOKUP(A207,ReferenceTables!$BI$2:$CA$254,MATCH(ShopGenerator!$A$2,ReferenceTables!$BI$1:$CA$1,0),0)</f>
        <v>1</v>
      </c>
      <c r="AC207" s="72">
        <f>VLOOKUP(D207,ReferenceTables!$AQ$2:$BE$27,MATCH(ShopGenerator!$A$4,ReferenceTables!$AQ$1:$BE$1,0),0)</f>
        <v>0.6</v>
      </c>
    </row>
    <row r="208">
      <c r="A208" s="61" t="s">
        <v>473</v>
      </c>
      <c r="B208" s="62">
        <f t="shared" si="1"/>
        <v>0.6</v>
      </c>
      <c r="C208" s="61" t="s">
        <v>43</v>
      </c>
      <c r="D208" s="61" t="s">
        <v>76</v>
      </c>
      <c r="E208" s="62">
        <f t="shared" si="20"/>
        <v>0.372</v>
      </c>
      <c r="F208" s="62">
        <f t="shared" si="21"/>
        <v>0.3</v>
      </c>
      <c r="G208" s="62">
        <f t="shared" si="22"/>
        <v>0.486</v>
      </c>
      <c r="H208" s="63"/>
      <c r="I208" s="64" t="b">
        <v>1</v>
      </c>
      <c r="J208" s="64" t="b">
        <v>0</v>
      </c>
      <c r="K208" s="61" t="b">
        <v>0</v>
      </c>
      <c r="L208" s="61" t="b">
        <v>0</v>
      </c>
      <c r="M208" s="61" t="b">
        <v>0</v>
      </c>
      <c r="N208" s="61" t="b">
        <v>0</v>
      </c>
      <c r="O208" s="61" t="b">
        <v>0</v>
      </c>
      <c r="P208" s="61" t="b">
        <v>0</v>
      </c>
      <c r="Q208" s="61" t="b">
        <v>0</v>
      </c>
      <c r="R208" s="61" t="b">
        <v>0</v>
      </c>
      <c r="S208" s="61" t="b">
        <v>0</v>
      </c>
      <c r="T208" s="61" t="b">
        <v>0</v>
      </c>
      <c r="U208" s="61" t="b">
        <v>0</v>
      </c>
      <c r="V208" s="61" t="b">
        <v>0</v>
      </c>
      <c r="W208" s="61" t="b">
        <v>1</v>
      </c>
      <c r="X208" s="61" t="b">
        <v>0</v>
      </c>
      <c r="Y208" s="61" t="b">
        <v>0</v>
      </c>
      <c r="Z208" s="38">
        <f t="shared" si="19"/>
        <v>0.7399327315</v>
      </c>
      <c r="AA208" s="65">
        <v>1.0</v>
      </c>
      <c r="AB208" s="66">
        <f>VLOOKUP(A208,ReferenceTables!$BI$2:$CA$254,MATCH(ShopGenerator!$A$2,ReferenceTables!$BI$1:$CA$1,0),0)</f>
        <v>1</v>
      </c>
      <c r="AC208" s="66">
        <f>VLOOKUP(D208,ReferenceTables!$AQ$2:$BE$27,MATCH(ShopGenerator!$A$4,ReferenceTables!$AQ$1:$BE$1,0),0)</f>
        <v>0.6</v>
      </c>
    </row>
    <row r="209">
      <c r="A209" s="67" t="s">
        <v>85</v>
      </c>
      <c r="B209" s="68">
        <f t="shared" si="1"/>
        <v>15</v>
      </c>
      <c r="C209" s="67" t="s">
        <v>51</v>
      </c>
      <c r="D209" s="67" t="s">
        <v>76</v>
      </c>
      <c r="E209" s="68">
        <f t="shared" si="20"/>
        <v>9.3</v>
      </c>
      <c r="F209" s="68">
        <f t="shared" si="21"/>
        <v>7.5</v>
      </c>
      <c r="G209" s="68">
        <f t="shared" si="22"/>
        <v>12.15</v>
      </c>
      <c r="H209" s="69"/>
      <c r="I209" s="70" t="b">
        <v>0</v>
      </c>
      <c r="J209" s="70" t="b">
        <v>1</v>
      </c>
      <c r="K209" s="67" t="b">
        <v>0</v>
      </c>
      <c r="L209" s="67" t="b">
        <v>0</v>
      </c>
      <c r="M209" s="67" t="b">
        <v>0</v>
      </c>
      <c r="N209" s="67" t="b">
        <v>0</v>
      </c>
      <c r="O209" s="67" t="b">
        <v>0</v>
      </c>
      <c r="P209" s="67" t="b">
        <v>0</v>
      </c>
      <c r="Q209" s="67" t="b">
        <v>0</v>
      </c>
      <c r="R209" s="67" t="b">
        <v>0</v>
      </c>
      <c r="S209" s="67" t="b">
        <v>0</v>
      </c>
      <c r="T209" s="67" t="b">
        <v>0</v>
      </c>
      <c r="U209" s="67" t="b">
        <v>0</v>
      </c>
      <c r="V209" s="67" t="b">
        <v>0</v>
      </c>
      <c r="W209" s="67" t="b">
        <v>1</v>
      </c>
      <c r="X209" s="67" t="b">
        <v>0</v>
      </c>
      <c r="Y209" s="67" t="b">
        <v>0</v>
      </c>
      <c r="Z209" s="38">
        <f t="shared" si="19"/>
        <v>0.3976601533</v>
      </c>
      <c r="AA209" s="71">
        <v>25.0</v>
      </c>
      <c r="AB209" s="72">
        <f>VLOOKUP(A209,ReferenceTables!$BI$2:$CA$254,MATCH(ShopGenerator!$A$2,ReferenceTables!$BI$1:$CA$1,0),0)</f>
        <v>1</v>
      </c>
      <c r="AC209" s="72">
        <f>VLOOKUP(D209,ReferenceTables!$AQ$2:$BE$27,MATCH(ShopGenerator!$A$4,ReferenceTables!$AQ$1:$BE$1,0),0)</f>
        <v>0.6</v>
      </c>
    </row>
    <row r="210">
      <c r="A210" s="61" t="s">
        <v>77</v>
      </c>
      <c r="B210" s="62">
        <f t="shared" si="1"/>
        <v>15</v>
      </c>
      <c r="C210" s="61" t="s">
        <v>75</v>
      </c>
      <c r="D210" s="61" t="s">
        <v>76</v>
      </c>
      <c r="E210" s="62">
        <f t="shared" si="20"/>
        <v>9.3</v>
      </c>
      <c r="F210" s="62">
        <f t="shared" si="21"/>
        <v>7.5</v>
      </c>
      <c r="G210" s="62">
        <f t="shared" si="22"/>
        <v>12.15</v>
      </c>
      <c r="H210" s="63"/>
      <c r="I210" s="64" t="b">
        <v>0</v>
      </c>
      <c r="J210" s="64" t="b">
        <v>1</v>
      </c>
      <c r="K210" s="61" t="b">
        <v>0</v>
      </c>
      <c r="L210" s="61" t="b">
        <v>0</v>
      </c>
      <c r="M210" s="61" t="b">
        <v>0</v>
      </c>
      <c r="N210" s="61" t="b">
        <v>0</v>
      </c>
      <c r="O210" s="61" t="b">
        <v>0</v>
      </c>
      <c r="P210" s="61" t="b">
        <v>0</v>
      </c>
      <c r="Q210" s="61" t="b">
        <v>0</v>
      </c>
      <c r="R210" s="61" t="b">
        <v>0</v>
      </c>
      <c r="S210" s="61" t="b">
        <v>0</v>
      </c>
      <c r="T210" s="61" t="b">
        <v>0</v>
      </c>
      <c r="U210" s="61" t="b">
        <v>0</v>
      </c>
      <c r="V210" s="61" t="b">
        <v>0</v>
      </c>
      <c r="W210" s="61" t="b">
        <v>1</v>
      </c>
      <c r="X210" s="61" t="b">
        <v>0</v>
      </c>
      <c r="Y210" s="61" t="b">
        <v>0</v>
      </c>
      <c r="Z210" s="38">
        <f t="shared" si="19"/>
        <v>0.0991561013</v>
      </c>
      <c r="AA210" s="65">
        <v>25.0</v>
      </c>
      <c r="AB210" s="66">
        <f>VLOOKUP(A210,ReferenceTables!$BI$2:$CA$254,MATCH(ShopGenerator!$A$2,ReferenceTables!$BI$1:$CA$1,0),0)</f>
        <v>1</v>
      </c>
      <c r="AC210" s="66">
        <f>VLOOKUP(D210,ReferenceTables!$AQ$2:$BE$27,MATCH(ShopGenerator!$A$4,ReferenceTables!$AQ$1:$BE$1,0),0)</f>
        <v>0.6</v>
      </c>
    </row>
    <row r="211">
      <c r="A211" s="67" t="s">
        <v>474</v>
      </c>
      <c r="B211" s="68">
        <f t="shared" si="1"/>
        <v>15</v>
      </c>
      <c r="C211" s="67" t="s">
        <v>51</v>
      </c>
      <c r="D211" s="67" t="s">
        <v>76</v>
      </c>
      <c r="E211" s="68">
        <f t="shared" si="20"/>
        <v>9.3</v>
      </c>
      <c r="F211" s="68">
        <f t="shared" si="21"/>
        <v>7.5</v>
      </c>
      <c r="G211" s="68">
        <f t="shared" si="22"/>
        <v>12.15</v>
      </c>
      <c r="H211" s="69"/>
      <c r="I211" s="70" t="b">
        <v>1</v>
      </c>
      <c r="J211" s="70" t="b">
        <v>0</v>
      </c>
      <c r="K211" s="67" t="b">
        <v>0</v>
      </c>
      <c r="L211" s="67" t="b">
        <v>0</v>
      </c>
      <c r="M211" s="67" t="b">
        <v>0</v>
      </c>
      <c r="N211" s="67" t="b">
        <v>0</v>
      </c>
      <c r="O211" s="67" t="b">
        <v>0</v>
      </c>
      <c r="P211" s="67" t="b">
        <v>0</v>
      </c>
      <c r="Q211" s="67" t="b">
        <v>0</v>
      </c>
      <c r="R211" s="67" t="b">
        <v>0</v>
      </c>
      <c r="S211" s="67" t="b">
        <v>0</v>
      </c>
      <c r="T211" s="67" t="b">
        <v>0</v>
      </c>
      <c r="U211" s="67" t="b">
        <v>0</v>
      </c>
      <c r="V211" s="67" t="b">
        <v>0</v>
      </c>
      <c r="W211" s="67" t="b">
        <v>1</v>
      </c>
      <c r="X211" s="67" t="b">
        <v>0</v>
      </c>
      <c r="Y211" s="67" t="b">
        <v>0</v>
      </c>
      <c r="Z211" s="38">
        <f t="shared" si="19"/>
        <v>0.1977697233</v>
      </c>
      <c r="AA211" s="71">
        <v>25.0</v>
      </c>
      <c r="AB211" s="72">
        <f>VLOOKUP(A211,ReferenceTables!$BI$2:$CA$254,MATCH(ShopGenerator!$A$2,ReferenceTables!$BI$1:$CA$1,0),0)</f>
        <v>1</v>
      </c>
      <c r="AC211" s="72">
        <f>VLOOKUP(D211,ReferenceTables!$AQ$2:$BE$27,MATCH(ShopGenerator!$A$4,ReferenceTables!$AQ$1:$BE$1,0),0)</f>
        <v>0.6</v>
      </c>
    </row>
    <row r="212">
      <c r="A212" s="61" t="s">
        <v>84</v>
      </c>
      <c r="B212" s="62">
        <f t="shared" si="1"/>
        <v>6</v>
      </c>
      <c r="C212" s="61" t="s">
        <v>51</v>
      </c>
      <c r="D212" s="61" t="s">
        <v>76</v>
      </c>
      <c r="E212" s="62">
        <f t="shared" si="20"/>
        <v>3.72</v>
      </c>
      <c r="F212" s="62">
        <f t="shared" si="21"/>
        <v>3</v>
      </c>
      <c r="G212" s="62">
        <f t="shared" si="22"/>
        <v>4.86</v>
      </c>
      <c r="H212" s="63"/>
      <c r="I212" s="64" t="b">
        <v>0</v>
      </c>
      <c r="J212" s="64" t="b">
        <v>1</v>
      </c>
      <c r="K212" s="61" t="b">
        <v>0</v>
      </c>
      <c r="L212" s="61" t="b">
        <v>0</v>
      </c>
      <c r="M212" s="61" t="b">
        <v>0</v>
      </c>
      <c r="N212" s="61" t="b">
        <v>0</v>
      </c>
      <c r="O212" s="61" t="b">
        <v>0</v>
      </c>
      <c r="P212" s="61" t="b">
        <v>0</v>
      </c>
      <c r="Q212" s="61" t="b">
        <v>0</v>
      </c>
      <c r="R212" s="61" t="b">
        <v>0</v>
      </c>
      <c r="S212" s="61" t="b">
        <v>0</v>
      </c>
      <c r="T212" s="61" t="b">
        <v>0</v>
      </c>
      <c r="U212" s="61" t="b">
        <v>0</v>
      </c>
      <c r="V212" s="61" t="b">
        <v>0</v>
      </c>
      <c r="W212" s="61" t="b">
        <v>1</v>
      </c>
      <c r="X212" s="61" t="b">
        <v>0</v>
      </c>
      <c r="Y212" s="61" t="b">
        <v>0</v>
      </c>
      <c r="Z212" s="38">
        <f t="shared" si="19"/>
        <v>0.3425419165</v>
      </c>
      <c r="AA212" s="65">
        <v>10.0</v>
      </c>
      <c r="AB212" s="66">
        <f>VLOOKUP(A212,ReferenceTables!$BI$2:$CA$254,MATCH(ShopGenerator!$A$2,ReferenceTables!$BI$1:$CA$1,0),0)</f>
        <v>1</v>
      </c>
      <c r="AC212" s="66">
        <f>VLOOKUP(D212,ReferenceTables!$AQ$2:$BE$27,MATCH(ShopGenerator!$A$4,ReferenceTables!$AQ$1:$BE$1,0),0)</f>
        <v>0.6</v>
      </c>
    </row>
    <row r="213">
      <c r="A213" s="67" t="s">
        <v>475</v>
      </c>
      <c r="B213" s="68">
        <f t="shared" si="1"/>
        <v>0.6</v>
      </c>
      <c r="C213" s="67" t="s">
        <v>51</v>
      </c>
      <c r="D213" s="67" t="s">
        <v>76</v>
      </c>
      <c r="E213" s="68">
        <f t="shared" si="20"/>
        <v>0.372</v>
      </c>
      <c r="F213" s="68">
        <f t="shared" si="21"/>
        <v>0.3</v>
      </c>
      <c r="G213" s="68">
        <f t="shared" si="22"/>
        <v>0.486</v>
      </c>
      <c r="H213" s="69"/>
      <c r="I213" s="70" t="b">
        <v>0</v>
      </c>
      <c r="J213" s="70" t="b">
        <v>1</v>
      </c>
      <c r="K213" s="67" t="b">
        <v>1</v>
      </c>
      <c r="L213" s="67" t="b">
        <v>1</v>
      </c>
      <c r="M213" s="67" t="b">
        <v>0</v>
      </c>
      <c r="N213" s="67" t="b">
        <v>0</v>
      </c>
      <c r="O213" s="67" t="b">
        <v>0</v>
      </c>
      <c r="P213" s="67" t="b">
        <v>0</v>
      </c>
      <c r="Q213" s="67" t="b">
        <v>0</v>
      </c>
      <c r="R213" s="67" t="b">
        <v>0</v>
      </c>
      <c r="S213" s="67" t="b">
        <v>0</v>
      </c>
      <c r="T213" s="67" t="b">
        <v>0</v>
      </c>
      <c r="U213" s="67" t="b">
        <v>0</v>
      </c>
      <c r="V213" s="67" t="b">
        <v>0</v>
      </c>
      <c r="W213" s="67" t="b">
        <v>1</v>
      </c>
      <c r="X213" s="67" t="b">
        <v>0</v>
      </c>
      <c r="Y213" s="67" t="b">
        <v>0</v>
      </c>
      <c r="Z213" s="38">
        <f t="shared" si="19"/>
        <v>0.6208223028</v>
      </c>
      <c r="AA213" s="71">
        <v>1.0</v>
      </c>
      <c r="AB213" s="72">
        <f>VLOOKUP(A213,ReferenceTables!$BI$2:$CA$254,MATCH(ShopGenerator!$A$2,ReferenceTables!$BI$1:$CA$1,0),0)</f>
        <v>1</v>
      </c>
      <c r="AC213" s="72">
        <f>VLOOKUP(D213,ReferenceTables!$AQ$2:$BE$27,MATCH(ShopGenerator!$A$4,ReferenceTables!$AQ$1:$BE$1,0),0)</f>
        <v>0.6</v>
      </c>
    </row>
    <row r="214">
      <c r="A214" s="61" t="s">
        <v>476</v>
      </c>
      <c r="B214" s="62">
        <f t="shared" si="1"/>
        <v>0.06</v>
      </c>
      <c r="C214" s="61" t="s">
        <v>211</v>
      </c>
      <c r="D214" s="61" t="s">
        <v>76</v>
      </c>
      <c r="E214" s="62">
        <f t="shared" si="20"/>
        <v>0.0372</v>
      </c>
      <c r="F214" s="62">
        <f t="shared" si="21"/>
        <v>0.03</v>
      </c>
      <c r="G214" s="62">
        <f t="shared" si="22"/>
        <v>0.0486</v>
      </c>
      <c r="H214" s="63"/>
      <c r="I214" s="64" t="b">
        <v>0</v>
      </c>
      <c r="J214" s="64" t="b">
        <v>0</v>
      </c>
      <c r="K214" s="61" t="b">
        <v>1</v>
      </c>
      <c r="L214" s="61" t="b">
        <v>1</v>
      </c>
      <c r="M214" s="61" t="b">
        <v>0</v>
      </c>
      <c r="N214" s="61" t="b">
        <v>1</v>
      </c>
      <c r="O214" s="61" t="b">
        <v>0</v>
      </c>
      <c r="P214" s="61" t="b">
        <v>0</v>
      </c>
      <c r="Q214" s="61" t="b">
        <v>0</v>
      </c>
      <c r="R214" s="61" t="b">
        <v>0</v>
      </c>
      <c r="S214" s="61" t="b">
        <v>0</v>
      </c>
      <c r="T214" s="61" t="b">
        <v>0</v>
      </c>
      <c r="U214" s="61" t="b">
        <v>0</v>
      </c>
      <c r="V214" s="61" t="b">
        <v>0</v>
      </c>
      <c r="W214" s="61" t="b">
        <v>1</v>
      </c>
      <c r="X214" s="61" t="b">
        <v>0</v>
      </c>
      <c r="Y214" s="61" t="b">
        <v>0</v>
      </c>
      <c r="Z214" s="38">
        <f t="shared" si="19"/>
        <v>0.2843426297</v>
      </c>
      <c r="AA214" s="65">
        <v>0.1</v>
      </c>
      <c r="AB214" s="66">
        <f>VLOOKUP(A214,ReferenceTables!$BI$2:$CA$254,MATCH(ShopGenerator!$A$2,ReferenceTables!$BI$1:$CA$1,0),0)</f>
        <v>1</v>
      </c>
      <c r="AC214" s="66">
        <f>VLOOKUP(D214,ReferenceTables!$AQ$2:$BE$27,MATCH(ShopGenerator!$A$4,ReferenceTables!$AQ$1:$BE$1,0),0)</f>
        <v>0.6</v>
      </c>
    </row>
    <row r="215">
      <c r="A215" s="67" t="s">
        <v>78</v>
      </c>
      <c r="B215" s="68">
        <f t="shared" si="1"/>
        <v>0.6</v>
      </c>
      <c r="C215" s="67" t="s">
        <v>75</v>
      </c>
      <c r="D215" s="67" t="s">
        <v>76</v>
      </c>
      <c r="E215" s="68">
        <f t="shared" si="20"/>
        <v>0.372</v>
      </c>
      <c r="F215" s="68">
        <f t="shared" si="21"/>
        <v>0.3</v>
      </c>
      <c r="G215" s="68">
        <f t="shared" si="22"/>
        <v>0.486</v>
      </c>
      <c r="H215" s="69"/>
      <c r="I215" s="70" t="b">
        <v>0</v>
      </c>
      <c r="J215" s="70" t="b">
        <v>1</v>
      </c>
      <c r="K215" s="67" t="b">
        <v>0</v>
      </c>
      <c r="L215" s="67" t="b">
        <v>0</v>
      </c>
      <c r="M215" s="67" t="b">
        <v>0</v>
      </c>
      <c r="N215" s="67" t="b">
        <v>0</v>
      </c>
      <c r="O215" s="67" t="b">
        <v>0</v>
      </c>
      <c r="P215" s="67" t="b">
        <v>0</v>
      </c>
      <c r="Q215" s="67" t="b">
        <v>0</v>
      </c>
      <c r="R215" s="67" t="b">
        <v>0</v>
      </c>
      <c r="S215" s="67" t="b">
        <v>0</v>
      </c>
      <c r="T215" s="67" t="b">
        <v>0</v>
      </c>
      <c r="U215" s="67" t="b">
        <v>0</v>
      </c>
      <c r="V215" s="67" t="b">
        <v>0</v>
      </c>
      <c r="W215" s="67" t="b">
        <v>1</v>
      </c>
      <c r="X215" s="67" t="b">
        <v>0</v>
      </c>
      <c r="Y215" s="67" t="b">
        <v>0</v>
      </c>
      <c r="Z215" s="38">
        <f t="shared" si="19"/>
        <v>0.1159709611</v>
      </c>
      <c r="AA215" s="71">
        <v>1.0</v>
      </c>
      <c r="AB215" s="72">
        <f>VLOOKUP(A215,ReferenceTables!$BI$2:$CA$254,MATCH(ShopGenerator!$A$2,ReferenceTables!$BI$1:$CA$1,0),0)</f>
        <v>1</v>
      </c>
      <c r="AC215" s="72">
        <f>VLOOKUP(D215,ReferenceTables!$AQ$2:$BE$27,MATCH(ShopGenerator!$A$4,ReferenceTables!$AQ$1:$BE$1,0),0)</f>
        <v>0.6</v>
      </c>
    </row>
    <row r="216">
      <c r="A216" s="61" t="s">
        <v>477</v>
      </c>
      <c r="B216" s="62">
        <f t="shared" si="1"/>
        <v>3</v>
      </c>
      <c r="C216" s="61" t="s">
        <v>49</v>
      </c>
      <c r="D216" s="61" t="s">
        <v>76</v>
      </c>
      <c r="E216" s="62">
        <f t="shared" si="20"/>
        <v>1.86</v>
      </c>
      <c r="F216" s="62">
        <f t="shared" si="21"/>
        <v>1.5</v>
      </c>
      <c r="G216" s="62">
        <f t="shared" si="22"/>
        <v>2.43</v>
      </c>
      <c r="H216" s="63"/>
      <c r="I216" s="64" t="b">
        <v>0</v>
      </c>
      <c r="J216" s="64" t="b">
        <v>1</v>
      </c>
      <c r="K216" s="61" t="b">
        <v>0</v>
      </c>
      <c r="L216" s="61" t="b">
        <v>0</v>
      </c>
      <c r="M216" s="61" t="b">
        <v>0</v>
      </c>
      <c r="N216" s="61" t="b">
        <v>0</v>
      </c>
      <c r="O216" s="61" t="b">
        <v>0</v>
      </c>
      <c r="P216" s="61" t="b">
        <v>0</v>
      </c>
      <c r="Q216" s="61" t="b">
        <v>0</v>
      </c>
      <c r="R216" s="61" t="b">
        <v>0</v>
      </c>
      <c r="S216" s="61" t="b">
        <v>0</v>
      </c>
      <c r="T216" s="61" t="b">
        <v>0</v>
      </c>
      <c r="U216" s="61" t="b">
        <v>0</v>
      </c>
      <c r="V216" s="61" t="b">
        <v>0</v>
      </c>
      <c r="W216" s="61" t="b">
        <v>1</v>
      </c>
      <c r="X216" s="61" t="b">
        <v>0</v>
      </c>
      <c r="Y216" s="61" t="b">
        <v>0</v>
      </c>
      <c r="Z216" s="38">
        <f t="shared" si="19"/>
        <v>0.6095178851</v>
      </c>
      <c r="AA216" s="65">
        <v>5.0</v>
      </c>
      <c r="AB216" s="66">
        <f>VLOOKUP(A216,ReferenceTables!$BI$2:$CA$254,MATCH(ShopGenerator!$A$2,ReferenceTables!$BI$1:$CA$1,0),0)</f>
        <v>1</v>
      </c>
      <c r="AC216" s="66">
        <f>VLOOKUP(D216,ReferenceTables!$AQ$2:$BE$27,MATCH(ShopGenerator!$A$4,ReferenceTables!$AQ$1:$BE$1,0),0)</f>
        <v>0.6</v>
      </c>
    </row>
    <row r="217">
      <c r="A217" s="67" t="s">
        <v>87</v>
      </c>
      <c r="B217" s="68">
        <f t="shared" si="1"/>
        <v>3</v>
      </c>
      <c r="C217" s="67" t="s">
        <v>51</v>
      </c>
      <c r="D217" s="67" t="s">
        <v>76</v>
      </c>
      <c r="E217" s="68">
        <f t="shared" si="20"/>
        <v>1.86</v>
      </c>
      <c r="F217" s="68">
        <f t="shared" si="21"/>
        <v>1.5</v>
      </c>
      <c r="G217" s="68">
        <f t="shared" si="22"/>
        <v>2.43</v>
      </c>
      <c r="H217" s="69"/>
      <c r="I217" s="70" t="b">
        <v>0</v>
      </c>
      <c r="J217" s="70" t="b">
        <v>1</v>
      </c>
      <c r="K217" s="67" t="b">
        <v>0</v>
      </c>
      <c r="L217" s="67" t="b">
        <v>0</v>
      </c>
      <c r="M217" s="67" t="b">
        <v>0</v>
      </c>
      <c r="N217" s="67" t="b">
        <v>0</v>
      </c>
      <c r="O217" s="67" t="b">
        <v>0</v>
      </c>
      <c r="P217" s="67" t="b">
        <v>0</v>
      </c>
      <c r="Q217" s="67" t="b">
        <v>0</v>
      </c>
      <c r="R217" s="67" t="b">
        <v>0</v>
      </c>
      <c r="S217" s="67" t="b">
        <v>0</v>
      </c>
      <c r="T217" s="67" t="b">
        <v>0</v>
      </c>
      <c r="U217" s="67" t="b">
        <v>0</v>
      </c>
      <c r="V217" s="67" t="b">
        <v>0</v>
      </c>
      <c r="W217" s="67" t="b">
        <v>1</v>
      </c>
      <c r="X217" s="67" t="b">
        <v>0</v>
      </c>
      <c r="Y217" s="67" t="b">
        <v>0</v>
      </c>
      <c r="Z217" s="38">
        <f t="shared" si="19"/>
        <v>0.4671595277</v>
      </c>
      <c r="AA217" s="71">
        <v>5.0</v>
      </c>
      <c r="AB217" s="72">
        <f>VLOOKUP(A217,ReferenceTables!$BI$2:$CA$254,MATCH(ShopGenerator!$A$2,ReferenceTables!$BI$1:$CA$1,0),0)</f>
        <v>1</v>
      </c>
      <c r="AC217" s="72">
        <f>VLOOKUP(D217,ReferenceTables!$AQ$2:$BE$27,MATCH(ShopGenerator!$A$4,ReferenceTables!$AQ$1:$BE$1,0),0)</f>
        <v>0.6</v>
      </c>
    </row>
    <row r="218">
      <c r="A218" s="61" t="s">
        <v>86</v>
      </c>
      <c r="B218" s="62">
        <f t="shared" si="1"/>
        <v>9</v>
      </c>
      <c r="C218" s="61" t="s">
        <v>51</v>
      </c>
      <c r="D218" s="61" t="s">
        <v>76</v>
      </c>
      <c r="E218" s="62">
        <f t="shared" si="20"/>
        <v>5.58</v>
      </c>
      <c r="F218" s="62">
        <f t="shared" si="21"/>
        <v>4.5</v>
      </c>
      <c r="G218" s="62">
        <f t="shared" si="22"/>
        <v>7.29</v>
      </c>
      <c r="H218" s="63"/>
      <c r="I218" s="64" t="b">
        <v>0</v>
      </c>
      <c r="J218" s="64" t="b">
        <v>1</v>
      </c>
      <c r="K218" s="61" t="b">
        <v>0</v>
      </c>
      <c r="L218" s="61" t="b">
        <v>0</v>
      </c>
      <c r="M218" s="61" t="b">
        <v>0</v>
      </c>
      <c r="N218" s="61" t="b">
        <v>0</v>
      </c>
      <c r="O218" s="61" t="b">
        <v>0</v>
      </c>
      <c r="P218" s="61" t="b">
        <v>0</v>
      </c>
      <c r="Q218" s="61" t="b">
        <v>0</v>
      </c>
      <c r="R218" s="61" t="b">
        <v>0</v>
      </c>
      <c r="S218" s="61" t="b">
        <v>0</v>
      </c>
      <c r="T218" s="61" t="b">
        <v>0</v>
      </c>
      <c r="U218" s="61" t="b">
        <v>0</v>
      </c>
      <c r="V218" s="61" t="b">
        <v>0</v>
      </c>
      <c r="W218" s="61" t="b">
        <v>1</v>
      </c>
      <c r="X218" s="61" t="b">
        <v>0</v>
      </c>
      <c r="Y218" s="61" t="b">
        <v>0</v>
      </c>
      <c r="Z218" s="38">
        <f t="shared" si="19"/>
        <v>0.4361940179</v>
      </c>
      <c r="AA218" s="65">
        <v>15.0</v>
      </c>
      <c r="AB218" s="66">
        <f>VLOOKUP(A218,ReferenceTables!$BI$2:$CA$254,MATCH(ShopGenerator!$A$2,ReferenceTables!$BI$1:$CA$1,0),0)</f>
        <v>1</v>
      </c>
      <c r="AC218" s="66">
        <f>VLOOKUP(D218,ReferenceTables!$AQ$2:$BE$27,MATCH(ShopGenerator!$A$4,ReferenceTables!$AQ$1:$BE$1,0),0)</f>
        <v>0.6</v>
      </c>
    </row>
    <row r="219">
      <c r="A219" s="67" t="s">
        <v>478</v>
      </c>
      <c r="B219" s="68">
        <f t="shared" si="1"/>
        <v>1.2</v>
      </c>
      <c r="C219" s="67" t="s">
        <v>75</v>
      </c>
      <c r="D219" s="67" t="s">
        <v>76</v>
      </c>
      <c r="E219" s="68">
        <f t="shared" si="20"/>
        <v>0.744</v>
      </c>
      <c r="F219" s="68">
        <f t="shared" si="21"/>
        <v>0.6</v>
      </c>
      <c r="G219" s="68">
        <f t="shared" si="22"/>
        <v>0.972</v>
      </c>
      <c r="H219" s="69"/>
      <c r="I219" s="70" t="b">
        <v>0</v>
      </c>
      <c r="J219" s="70" t="b">
        <v>0</v>
      </c>
      <c r="K219" s="67" t="b">
        <v>1</v>
      </c>
      <c r="L219" s="67" t="b">
        <v>0</v>
      </c>
      <c r="M219" s="67" t="b">
        <v>0</v>
      </c>
      <c r="N219" s="67" t="b">
        <v>0</v>
      </c>
      <c r="O219" s="67" t="b">
        <v>0</v>
      </c>
      <c r="P219" s="67" t="b">
        <v>0</v>
      </c>
      <c r="Q219" s="67" t="b">
        <v>0</v>
      </c>
      <c r="R219" s="67" t="b">
        <v>0</v>
      </c>
      <c r="S219" s="67" t="b">
        <v>0</v>
      </c>
      <c r="T219" s="67" t="b">
        <v>1</v>
      </c>
      <c r="U219" s="67" t="b">
        <v>0</v>
      </c>
      <c r="V219" s="67" t="b">
        <v>0</v>
      </c>
      <c r="W219" s="67" t="b">
        <v>1</v>
      </c>
      <c r="X219" s="67" t="b">
        <v>0</v>
      </c>
      <c r="Y219" s="67" t="b">
        <v>0</v>
      </c>
      <c r="Z219" s="38">
        <f t="shared" si="19"/>
        <v>0.6835238263</v>
      </c>
      <c r="AA219" s="71">
        <v>2.0</v>
      </c>
      <c r="AB219" s="72">
        <f>VLOOKUP(A219,ReferenceTables!$BI$2:$CA$254,MATCH(ShopGenerator!$A$2,ReferenceTables!$BI$1:$CA$1,0),0)</f>
        <v>1</v>
      </c>
      <c r="AC219" s="72">
        <f>VLOOKUP(D219,ReferenceTables!$AQ$2:$BE$27,MATCH(ShopGenerator!$A$4,ReferenceTables!$AQ$1:$BE$1,0),0)</f>
        <v>0.6</v>
      </c>
    </row>
    <row r="220">
      <c r="A220" s="61" t="s">
        <v>479</v>
      </c>
      <c r="B220" s="62">
        <f t="shared" si="1"/>
        <v>250</v>
      </c>
      <c r="C220" s="61" t="s">
        <v>480</v>
      </c>
      <c r="D220" s="61" t="s">
        <v>279</v>
      </c>
      <c r="E220" s="62">
        <f t="shared" si="20"/>
        <v>205</v>
      </c>
      <c r="F220" s="62">
        <f t="shared" si="21"/>
        <v>125</v>
      </c>
      <c r="G220" s="62">
        <f t="shared" si="22"/>
        <v>227.5</v>
      </c>
      <c r="H220" s="61" t="s">
        <v>481</v>
      </c>
      <c r="I220" s="61" t="b">
        <v>0</v>
      </c>
      <c r="J220" s="61" t="b">
        <v>0</v>
      </c>
      <c r="K220" s="61" t="b">
        <v>0</v>
      </c>
      <c r="L220" s="61" t="b">
        <v>0</v>
      </c>
      <c r="M220" s="61" t="b">
        <v>0</v>
      </c>
      <c r="N220" s="61" t="b">
        <v>0</v>
      </c>
      <c r="O220" s="61" t="b">
        <v>0</v>
      </c>
      <c r="P220" s="61" t="b">
        <v>0</v>
      </c>
      <c r="Q220" s="61" t="b">
        <v>0</v>
      </c>
      <c r="R220" s="61" t="b">
        <v>0</v>
      </c>
      <c r="S220" s="61" t="b">
        <v>0</v>
      </c>
      <c r="T220" s="61" t="b">
        <v>0</v>
      </c>
      <c r="U220" s="61" t="b">
        <v>0</v>
      </c>
      <c r="V220" s="61" t="b">
        <v>0</v>
      </c>
      <c r="W220" s="61" t="b">
        <v>0</v>
      </c>
      <c r="X220" s="61" t="b">
        <v>1</v>
      </c>
      <c r="Y220" s="61" t="b">
        <v>1</v>
      </c>
      <c r="Z220" s="2">
        <v>0.1548754789</v>
      </c>
      <c r="AA220" s="65">
        <v>50.0</v>
      </c>
      <c r="AB220" s="66">
        <f>VLOOKUP(A220,ReferenceTables!$BI$2:$CA$254,MATCH(ShopGenerator!$A$2,ReferenceTables!$BI$1:$CA$1,0),0)</f>
        <v>1</v>
      </c>
      <c r="AC220" s="66">
        <f>VLOOKUP(D220,ReferenceTables!$AQ$2:$BE$27,MATCH(ShopGenerator!$A$4,ReferenceTables!$AQ$1:$BE$1,0),0)</f>
        <v>5</v>
      </c>
    </row>
    <row r="221">
      <c r="A221" s="67" t="s">
        <v>482</v>
      </c>
      <c r="B221" s="68">
        <f t="shared" si="1"/>
        <v>350</v>
      </c>
      <c r="C221" s="67" t="s">
        <v>483</v>
      </c>
      <c r="D221" s="67" t="s">
        <v>279</v>
      </c>
      <c r="E221" s="68">
        <f t="shared" si="20"/>
        <v>287</v>
      </c>
      <c r="F221" s="68">
        <f t="shared" si="21"/>
        <v>175</v>
      </c>
      <c r="G221" s="68">
        <f t="shared" si="22"/>
        <v>318.5</v>
      </c>
      <c r="H221" s="67" t="s">
        <v>484</v>
      </c>
      <c r="I221" s="67" t="b">
        <v>0</v>
      </c>
      <c r="J221" s="67" t="b">
        <v>0</v>
      </c>
      <c r="K221" s="67" t="b">
        <v>0</v>
      </c>
      <c r="L221" s="67" t="b">
        <v>0</v>
      </c>
      <c r="M221" s="67" t="b">
        <v>0</v>
      </c>
      <c r="N221" s="67" t="b">
        <v>0</v>
      </c>
      <c r="O221" s="67" t="b">
        <v>0</v>
      </c>
      <c r="P221" s="67" t="b">
        <v>0</v>
      </c>
      <c r="Q221" s="67" t="b">
        <v>0</v>
      </c>
      <c r="R221" s="67" t="b">
        <v>0</v>
      </c>
      <c r="S221" s="67" t="b">
        <v>0</v>
      </c>
      <c r="T221" s="67" t="b">
        <v>0</v>
      </c>
      <c r="U221" s="67" t="b">
        <v>0</v>
      </c>
      <c r="V221" s="67" t="b">
        <v>0</v>
      </c>
      <c r="W221" s="67" t="b">
        <v>0</v>
      </c>
      <c r="X221" s="67" t="b">
        <v>1</v>
      </c>
      <c r="Y221" s="67" t="b">
        <v>0</v>
      </c>
      <c r="Z221" s="38">
        <f t="shared" ref="Z221:Z222" si="23">RAND()</f>
        <v>0.467156037</v>
      </c>
      <c r="AA221" s="71">
        <v>70.0</v>
      </c>
      <c r="AB221" s="72">
        <f>VLOOKUP(A221,ReferenceTables!$BI$2:$CA$254,MATCH(ShopGenerator!$A$2,ReferenceTables!$BI$1:$CA$1,0),0)</f>
        <v>1</v>
      </c>
      <c r="AC221" s="72">
        <f>VLOOKUP(D221,ReferenceTables!$AQ$2:$BE$27,MATCH(ShopGenerator!$A$4,ReferenceTables!$AQ$1:$BE$1,0),0)</f>
        <v>5</v>
      </c>
    </row>
    <row r="222">
      <c r="A222" s="61" t="s">
        <v>485</v>
      </c>
      <c r="B222" s="62">
        <f t="shared" si="1"/>
        <v>100</v>
      </c>
      <c r="C222" s="61" t="s">
        <v>486</v>
      </c>
      <c r="D222" s="61" t="s">
        <v>358</v>
      </c>
      <c r="E222" s="62">
        <f t="shared" si="20"/>
        <v>82</v>
      </c>
      <c r="F222" s="62">
        <f t="shared" si="21"/>
        <v>50</v>
      </c>
      <c r="G222" s="62">
        <f t="shared" si="22"/>
        <v>91</v>
      </c>
      <c r="H222" s="61" t="s">
        <v>487</v>
      </c>
      <c r="I222" s="61" t="b">
        <v>0</v>
      </c>
      <c r="J222" s="61" t="b">
        <v>0</v>
      </c>
      <c r="K222" s="61" t="b">
        <v>0</v>
      </c>
      <c r="L222" s="61" t="b">
        <v>0</v>
      </c>
      <c r="M222" s="61" t="b">
        <v>0</v>
      </c>
      <c r="N222" s="61" t="b">
        <v>0</v>
      </c>
      <c r="O222" s="61" t="b">
        <v>0</v>
      </c>
      <c r="P222" s="61" t="b">
        <v>0</v>
      </c>
      <c r="Q222" s="61" t="b">
        <v>0</v>
      </c>
      <c r="R222" s="61" t="b">
        <v>0</v>
      </c>
      <c r="S222" s="61" t="b">
        <v>0</v>
      </c>
      <c r="T222" s="61" t="b">
        <v>0</v>
      </c>
      <c r="U222" s="61" t="b">
        <v>0</v>
      </c>
      <c r="V222" s="61" t="b">
        <v>0</v>
      </c>
      <c r="W222" s="61" t="b">
        <v>0</v>
      </c>
      <c r="X222" s="61" t="b">
        <v>0</v>
      </c>
      <c r="Y222" s="61" t="b">
        <v>1</v>
      </c>
      <c r="Z222" s="2">
        <f t="shared" si="23"/>
        <v>0.1294827556</v>
      </c>
      <c r="AA222" s="65">
        <v>50.0</v>
      </c>
      <c r="AB222" s="66">
        <f>VLOOKUP(A222,ReferenceTables!$BI$2:$CA$254,MATCH(ShopGenerator!$A$2,ReferenceTables!$BI$1:$CA$1,0),0)</f>
        <v>1</v>
      </c>
      <c r="AC222" s="66">
        <f>VLOOKUP(D222,ReferenceTables!$AQ$2:$BE$27,MATCH(ShopGenerator!$A$4,ReferenceTables!$AQ$1:$BE$1,0),0)</f>
        <v>2</v>
      </c>
    </row>
    <row r="223">
      <c r="A223" s="67" t="s">
        <v>488</v>
      </c>
      <c r="B223" s="68">
        <f t="shared" si="1"/>
        <v>30</v>
      </c>
      <c r="C223" s="67" t="s">
        <v>486</v>
      </c>
      <c r="D223" s="67" t="s">
        <v>358</v>
      </c>
      <c r="E223" s="68">
        <f t="shared" si="20"/>
        <v>24.6</v>
      </c>
      <c r="F223" s="68">
        <f t="shared" si="21"/>
        <v>15</v>
      </c>
      <c r="G223" s="68">
        <f t="shared" si="22"/>
        <v>27.3</v>
      </c>
      <c r="H223" s="67" t="s">
        <v>489</v>
      </c>
      <c r="I223" s="67" t="b">
        <v>0</v>
      </c>
      <c r="J223" s="67" t="b">
        <v>0</v>
      </c>
      <c r="K223" s="67" t="b">
        <v>0</v>
      </c>
      <c r="L223" s="67" t="b">
        <v>0</v>
      </c>
      <c r="M223" s="67" t="b">
        <v>0</v>
      </c>
      <c r="N223" s="67" t="b">
        <v>0</v>
      </c>
      <c r="O223" s="67" t="b">
        <v>0</v>
      </c>
      <c r="P223" s="67" t="b">
        <v>0</v>
      </c>
      <c r="Q223" s="67" t="b">
        <v>0</v>
      </c>
      <c r="R223" s="67" t="b">
        <v>0</v>
      </c>
      <c r="S223" s="67" t="b">
        <v>0</v>
      </c>
      <c r="T223" s="67" t="b">
        <v>0</v>
      </c>
      <c r="U223" s="67" t="b">
        <v>0</v>
      </c>
      <c r="V223" s="67" t="b">
        <v>0</v>
      </c>
      <c r="W223" s="67" t="b">
        <v>0</v>
      </c>
      <c r="X223" s="67" t="b">
        <v>0</v>
      </c>
      <c r="Y223" s="67" t="b">
        <v>1</v>
      </c>
      <c r="Z223" s="2">
        <v>0.0154684321</v>
      </c>
      <c r="AA223" s="71">
        <v>15.0</v>
      </c>
      <c r="AB223" s="72">
        <f>VLOOKUP(A223,ReferenceTables!$BI$2:$CA$254,MATCH(ShopGenerator!$A$2,ReferenceTables!$BI$1:$CA$1,0),0)</f>
        <v>1</v>
      </c>
      <c r="AC223" s="72">
        <f>VLOOKUP(D223,ReferenceTables!$AQ$2:$BE$27,MATCH(ShopGenerator!$A$4,ReferenceTables!$AQ$1:$BE$1,0),0)</f>
        <v>2</v>
      </c>
    </row>
    <row r="224">
      <c r="A224" s="61" t="s">
        <v>490</v>
      </c>
      <c r="B224" s="62">
        <f t="shared" si="1"/>
        <v>75</v>
      </c>
      <c r="C224" s="61" t="s">
        <v>66</v>
      </c>
      <c r="D224" s="61" t="s">
        <v>58</v>
      </c>
      <c r="E224" s="62">
        <f t="shared" si="20"/>
        <v>61.5</v>
      </c>
      <c r="F224" s="62">
        <f t="shared" si="21"/>
        <v>37.5</v>
      </c>
      <c r="G224" s="62">
        <f t="shared" si="22"/>
        <v>68.25</v>
      </c>
      <c r="H224" s="61" t="s">
        <v>491</v>
      </c>
      <c r="I224" s="61" t="b">
        <v>0</v>
      </c>
      <c r="J224" s="61" t="b">
        <v>0</v>
      </c>
      <c r="K224" s="61" t="b">
        <v>0</v>
      </c>
      <c r="L224" s="61" t="b">
        <v>0</v>
      </c>
      <c r="M224" s="61" t="b">
        <v>0</v>
      </c>
      <c r="N224" s="61" t="b">
        <v>0</v>
      </c>
      <c r="O224" s="61" t="b">
        <v>0</v>
      </c>
      <c r="P224" s="61" t="b">
        <v>0</v>
      </c>
      <c r="Q224" s="61" t="b">
        <v>0</v>
      </c>
      <c r="R224" s="61" t="b">
        <v>0</v>
      </c>
      <c r="S224" s="61" t="b">
        <v>0</v>
      </c>
      <c r="T224" s="61" t="b">
        <v>0</v>
      </c>
      <c r="U224" s="61" t="b">
        <v>0</v>
      </c>
      <c r="V224" s="61" t="b">
        <v>0</v>
      </c>
      <c r="W224" s="61" t="b">
        <v>0</v>
      </c>
      <c r="X224" s="61" t="b">
        <v>0</v>
      </c>
      <c r="Y224" s="61" t="b">
        <v>0</v>
      </c>
      <c r="Z224" s="2">
        <f t="shared" ref="Z224:Z253" si="24">RAND()</f>
        <v>0.1339944164</v>
      </c>
      <c r="AA224" s="65">
        <v>50.0</v>
      </c>
      <c r="AB224" s="66">
        <f>VLOOKUP(A224,ReferenceTables!$BI$2:$CA$254,MATCH(ShopGenerator!$A$2,ReferenceTables!$BI$1:$CA$1,0),0)</f>
        <v>1</v>
      </c>
      <c r="AC224" s="66">
        <f>VLOOKUP(D224,ReferenceTables!$AQ$2:$BE$27,MATCH(ShopGenerator!$A$4,ReferenceTables!$AQ$1:$BE$1,0),0)</f>
        <v>1.5</v>
      </c>
    </row>
    <row r="225">
      <c r="A225" s="67" t="s">
        <v>492</v>
      </c>
      <c r="B225" s="68">
        <f t="shared" si="1"/>
        <v>30</v>
      </c>
      <c r="C225" s="67" t="s">
        <v>493</v>
      </c>
      <c r="D225" s="67" t="s">
        <v>58</v>
      </c>
      <c r="E225" s="68">
        <f t="shared" si="20"/>
        <v>24.6</v>
      </c>
      <c r="F225" s="68">
        <f t="shared" si="21"/>
        <v>15</v>
      </c>
      <c r="G225" s="68">
        <f t="shared" si="22"/>
        <v>27.3</v>
      </c>
      <c r="H225" s="67" t="s">
        <v>494</v>
      </c>
      <c r="I225" s="67" t="b">
        <v>0</v>
      </c>
      <c r="J225" s="67" t="b">
        <v>0</v>
      </c>
      <c r="K225" s="67" t="b">
        <v>0</v>
      </c>
      <c r="L225" s="67" t="b">
        <v>0</v>
      </c>
      <c r="M225" s="67" t="b">
        <v>0</v>
      </c>
      <c r="N225" s="67" t="b">
        <v>0</v>
      </c>
      <c r="O225" s="67" t="b">
        <v>0</v>
      </c>
      <c r="P225" s="67" t="b">
        <v>0</v>
      </c>
      <c r="Q225" s="67" t="b">
        <v>0</v>
      </c>
      <c r="R225" s="67" t="b">
        <v>0</v>
      </c>
      <c r="S225" s="67" t="b">
        <v>0</v>
      </c>
      <c r="T225" s="67" t="b">
        <v>0</v>
      </c>
      <c r="U225" s="67" t="b">
        <v>0</v>
      </c>
      <c r="V225" s="67" t="b">
        <v>0</v>
      </c>
      <c r="W225" s="67" t="b">
        <v>0</v>
      </c>
      <c r="X225" s="67" t="b">
        <v>0</v>
      </c>
      <c r="Y225" s="67" t="b">
        <v>0</v>
      </c>
      <c r="Z225" s="2">
        <f t="shared" si="24"/>
        <v>0.04945658125</v>
      </c>
      <c r="AA225" s="71">
        <v>20.0</v>
      </c>
      <c r="AB225" s="72">
        <f>VLOOKUP(A225,ReferenceTables!$BI$2:$CA$254,MATCH(ShopGenerator!$A$2,ReferenceTables!$BI$1:$CA$1,0),0)</f>
        <v>1</v>
      </c>
      <c r="AC225" s="72">
        <f>VLOOKUP(D225,ReferenceTables!$AQ$2:$BE$27,MATCH(ShopGenerator!$A$4,ReferenceTables!$AQ$1:$BE$1,0),0)</f>
        <v>1.5</v>
      </c>
    </row>
    <row r="226">
      <c r="A226" s="61" t="s">
        <v>495</v>
      </c>
      <c r="B226" s="62">
        <f t="shared" si="1"/>
        <v>15</v>
      </c>
      <c r="C226" s="61" t="s">
        <v>57</v>
      </c>
      <c r="D226" s="61" t="s">
        <v>58</v>
      </c>
      <c r="E226" s="62">
        <f t="shared" si="20"/>
        <v>9.3</v>
      </c>
      <c r="F226" s="62">
        <f t="shared" si="21"/>
        <v>7.5</v>
      </c>
      <c r="G226" s="62">
        <f t="shared" si="22"/>
        <v>12.15</v>
      </c>
      <c r="H226" s="61" t="s">
        <v>496</v>
      </c>
      <c r="I226" s="61" t="b">
        <v>0</v>
      </c>
      <c r="J226" s="61" t="b">
        <v>0</v>
      </c>
      <c r="K226" s="61" t="b">
        <v>0</v>
      </c>
      <c r="L226" s="61" t="b">
        <v>0</v>
      </c>
      <c r="M226" s="61" t="b">
        <v>0</v>
      </c>
      <c r="N226" s="61" t="b">
        <v>0</v>
      </c>
      <c r="O226" s="61" t="b">
        <v>0</v>
      </c>
      <c r="P226" s="61" t="b">
        <v>0</v>
      </c>
      <c r="Q226" s="61" t="b">
        <v>0</v>
      </c>
      <c r="R226" s="61" t="b">
        <v>0</v>
      </c>
      <c r="S226" s="61" t="b">
        <v>0</v>
      </c>
      <c r="T226" s="61" t="b">
        <v>0</v>
      </c>
      <c r="U226" s="61" t="b">
        <v>0</v>
      </c>
      <c r="V226" s="61" t="b">
        <v>0</v>
      </c>
      <c r="W226" s="61" t="b">
        <v>0</v>
      </c>
      <c r="X226" s="61" t="b">
        <v>0</v>
      </c>
      <c r="Y226" s="61" t="b">
        <v>0</v>
      </c>
      <c r="Z226" s="2">
        <f t="shared" si="24"/>
        <v>0.1410893558</v>
      </c>
      <c r="AA226" s="65">
        <v>10.0</v>
      </c>
      <c r="AB226" s="66">
        <f>VLOOKUP(A226,ReferenceTables!$BI$2:$CA$254,MATCH(ShopGenerator!$A$2,ReferenceTables!$BI$1:$CA$1,0),0)</f>
        <v>1</v>
      </c>
      <c r="AC226" s="66">
        <f>VLOOKUP(D226,ReferenceTables!$AQ$2:$BE$27,MATCH(ShopGenerator!$A$4,ReferenceTables!$AQ$1:$BE$1,0),0)</f>
        <v>1.5</v>
      </c>
    </row>
    <row r="227">
      <c r="A227" s="67" t="s">
        <v>497</v>
      </c>
      <c r="B227" s="68">
        <f t="shared" si="1"/>
        <v>12</v>
      </c>
      <c r="C227" s="67" t="s">
        <v>80</v>
      </c>
      <c r="D227" s="67" t="s">
        <v>58</v>
      </c>
      <c r="E227" s="68">
        <f t="shared" si="20"/>
        <v>7.44</v>
      </c>
      <c r="F227" s="68">
        <f t="shared" si="21"/>
        <v>6</v>
      </c>
      <c r="G227" s="68">
        <f t="shared" si="22"/>
        <v>9.72</v>
      </c>
      <c r="H227" s="67" t="s">
        <v>498</v>
      </c>
      <c r="I227" s="67" t="b">
        <v>0</v>
      </c>
      <c r="J227" s="67" t="b">
        <v>0</v>
      </c>
      <c r="K227" s="67" t="b">
        <v>0</v>
      </c>
      <c r="L227" s="67" t="b">
        <v>0</v>
      </c>
      <c r="M227" s="67" t="b">
        <v>0</v>
      </c>
      <c r="N227" s="67" t="b">
        <v>0</v>
      </c>
      <c r="O227" s="67" t="b">
        <v>0</v>
      </c>
      <c r="P227" s="67" t="b">
        <v>0</v>
      </c>
      <c r="Q227" s="67" t="b">
        <v>0</v>
      </c>
      <c r="R227" s="67" t="b">
        <v>0</v>
      </c>
      <c r="S227" s="67" t="b">
        <v>0</v>
      </c>
      <c r="T227" s="67" t="b">
        <v>0</v>
      </c>
      <c r="U227" s="67" t="b">
        <v>0</v>
      </c>
      <c r="V227" s="67" t="b">
        <v>0</v>
      </c>
      <c r="W227" s="67" t="b">
        <v>0</v>
      </c>
      <c r="X227" s="67" t="b">
        <v>0</v>
      </c>
      <c r="Y227" s="67" t="b">
        <v>0</v>
      </c>
      <c r="Z227" s="2">
        <f t="shared" si="24"/>
        <v>0.1271841304</v>
      </c>
      <c r="AA227" s="71">
        <v>8.0</v>
      </c>
      <c r="AB227" s="72">
        <f>VLOOKUP(A227,ReferenceTables!$BI$2:$CA$254,MATCH(ShopGenerator!$A$2,ReferenceTables!$BI$1:$CA$1,0),0)</f>
        <v>1</v>
      </c>
      <c r="AC227" s="72">
        <f>VLOOKUP(D227,ReferenceTables!$AQ$2:$BE$27,MATCH(ShopGenerator!$A$4,ReferenceTables!$AQ$1:$BE$1,0),0)</f>
        <v>1.5</v>
      </c>
    </row>
    <row r="228">
      <c r="A228" s="61" t="s">
        <v>499</v>
      </c>
      <c r="B228" s="62">
        <f t="shared" si="1"/>
        <v>22.5</v>
      </c>
      <c r="C228" s="61" t="s">
        <v>80</v>
      </c>
      <c r="D228" s="61" t="s">
        <v>58</v>
      </c>
      <c r="E228" s="62">
        <f t="shared" si="20"/>
        <v>18.45</v>
      </c>
      <c r="F228" s="62">
        <f t="shared" si="21"/>
        <v>11.25</v>
      </c>
      <c r="G228" s="62">
        <f t="shared" si="22"/>
        <v>20.475</v>
      </c>
      <c r="H228" s="61" t="s">
        <v>500</v>
      </c>
      <c r="I228" s="61" t="b">
        <v>0</v>
      </c>
      <c r="J228" s="61" t="b">
        <v>0</v>
      </c>
      <c r="K228" s="61" t="b">
        <v>0</v>
      </c>
      <c r="L228" s="61" t="b">
        <v>0</v>
      </c>
      <c r="M228" s="61" t="b">
        <v>0</v>
      </c>
      <c r="N228" s="61" t="b">
        <v>0</v>
      </c>
      <c r="O228" s="61" t="b">
        <v>0</v>
      </c>
      <c r="P228" s="61" t="b">
        <v>0</v>
      </c>
      <c r="Q228" s="61" t="b">
        <v>0</v>
      </c>
      <c r="R228" s="61" t="b">
        <v>0</v>
      </c>
      <c r="S228" s="61" t="b">
        <v>0</v>
      </c>
      <c r="T228" s="61" t="b">
        <v>0</v>
      </c>
      <c r="U228" s="61" t="b">
        <v>0</v>
      </c>
      <c r="V228" s="61" t="b">
        <v>0</v>
      </c>
      <c r="W228" s="61" t="b">
        <v>0</v>
      </c>
      <c r="X228" s="61" t="b">
        <v>0</v>
      </c>
      <c r="Y228" s="61" t="b">
        <v>0</v>
      </c>
      <c r="Z228" s="2">
        <f t="shared" si="24"/>
        <v>0.4347358582</v>
      </c>
      <c r="AA228" s="65">
        <v>15.0</v>
      </c>
      <c r="AB228" s="66">
        <f>VLOOKUP(A228,ReferenceTables!$BI$2:$CA$254,MATCH(ShopGenerator!$A$2,ReferenceTables!$BI$1:$CA$1,0),0)</f>
        <v>1</v>
      </c>
      <c r="AC228" s="66">
        <f>VLOOKUP(D228,ReferenceTables!$AQ$2:$BE$27,MATCH(ShopGenerator!$A$4,ReferenceTables!$AQ$1:$BE$1,0),0)</f>
        <v>1.5</v>
      </c>
    </row>
    <row r="229">
      <c r="A229" s="67" t="s">
        <v>501</v>
      </c>
      <c r="B229" s="68">
        <f t="shared" si="1"/>
        <v>7.5</v>
      </c>
      <c r="C229" s="67" t="s">
        <v>57</v>
      </c>
      <c r="D229" s="67" t="s">
        <v>58</v>
      </c>
      <c r="E229" s="68">
        <f t="shared" si="20"/>
        <v>4.65</v>
      </c>
      <c r="F229" s="68">
        <f t="shared" si="21"/>
        <v>3.75</v>
      </c>
      <c r="G229" s="68">
        <f t="shared" si="22"/>
        <v>6.075</v>
      </c>
      <c r="H229" s="67" t="s">
        <v>502</v>
      </c>
      <c r="I229" s="67" t="b">
        <v>0</v>
      </c>
      <c r="J229" s="67" t="b">
        <v>0</v>
      </c>
      <c r="K229" s="67" t="b">
        <v>0</v>
      </c>
      <c r="L229" s="67" t="b">
        <v>0</v>
      </c>
      <c r="M229" s="67" t="b">
        <v>0</v>
      </c>
      <c r="N229" s="67" t="b">
        <v>0</v>
      </c>
      <c r="O229" s="67" t="b">
        <v>0</v>
      </c>
      <c r="P229" s="67" t="b">
        <v>0</v>
      </c>
      <c r="Q229" s="67" t="b">
        <v>0</v>
      </c>
      <c r="R229" s="67" t="b">
        <v>0</v>
      </c>
      <c r="S229" s="67" t="b">
        <v>0</v>
      </c>
      <c r="T229" s="67" t="b">
        <v>0</v>
      </c>
      <c r="U229" s="67" t="b">
        <v>0</v>
      </c>
      <c r="V229" s="67" t="b">
        <v>0</v>
      </c>
      <c r="W229" s="67" t="b">
        <v>0</v>
      </c>
      <c r="X229" s="67" t="b">
        <v>0</v>
      </c>
      <c r="Y229" s="67" t="b">
        <v>0</v>
      </c>
      <c r="Z229" s="2">
        <f t="shared" si="24"/>
        <v>0.01500978988</v>
      </c>
      <c r="AA229" s="71">
        <v>5.0</v>
      </c>
      <c r="AB229" s="72">
        <f>VLOOKUP(A229,ReferenceTables!$BI$2:$CA$254,MATCH(ShopGenerator!$A$2,ReferenceTables!$BI$1:$CA$1,0),0)</f>
        <v>1</v>
      </c>
      <c r="AC229" s="72">
        <f>VLOOKUP(D229,ReferenceTables!$AQ$2:$BE$27,MATCH(ShopGenerator!$A$4,ReferenceTables!$AQ$1:$BE$1,0),0)</f>
        <v>1.5</v>
      </c>
    </row>
    <row r="230">
      <c r="A230" s="61" t="s">
        <v>503</v>
      </c>
      <c r="B230" s="62">
        <f t="shared" si="1"/>
        <v>1.5</v>
      </c>
      <c r="C230" s="61" t="s">
        <v>66</v>
      </c>
      <c r="D230" s="61" t="s">
        <v>58</v>
      </c>
      <c r="E230" s="62">
        <f t="shared" si="20"/>
        <v>0.93</v>
      </c>
      <c r="F230" s="62">
        <f t="shared" si="21"/>
        <v>0.75</v>
      </c>
      <c r="G230" s="62">
        <f t="shared" si="22"/>
        <v>1.215</v>
      </c>
      <c r="H230" s="61" t="s">
        <v>504</v>
      </c>
      <c r="I230" s="61" t="b">
        <v>0</v>
      </c>
      <c r="J230" s="61" t="b">
        <v>1</v>
      </c>
      <c r="K230" s="61" t="b">
        <v>0</v>
      </c>
      <c r="L230" s="61" t="b">
        <v>0</v>
      </c>
      <c r="M230" s="61" t="b">
        <v>0</v>
      </c>
      <c r="N230" s="61" t="b">
        <v>0</v>
      </c>
      <c r="O230" s="61" t="b">
        <v>0</v>
      </c>
      <c r="P230" s="61" t="b">
        <v>0</v>
      </c>
      <c r="Q230" s="61" t="b">
        <v>0</v>
      </c>
      <c r="R230" s="61" t="b">
        <v>0</v>
      </c>
      <c r="S230" s="61" t="b">
        <v>0</v>
      </c>
      <c r="T230" s="61" t="b">
        <v>0</v>
      </c>
      <c r="U230" s="61" t="b">
        <v>0</v>
      </c>
      <c r="V230" s="61" t="b">
        <v>0</v>
      </c>
      <c r="W230" s="61" t="b">
        <v>0</v>
      </c>
      <c r="X230" s="61" t="b">
        <v>0</v>
      </c>
      <c r="Y230" s="61" t="b">
        <v>0</v>
      </c>
      <c r="Z230" s="2">
        <f t="shared" si="24"/>
        <v>0.8602821736</v>
      </c>
      <c r="AA230" s="65">
        <v>1.0</v>
      </c>
      <c r="AB230" s="66">
        <f>VLOOKUP(A230,ReferenceTables!$BI$2:$CA$254,MATCH(ShopGenerator!$A$2,ReferenceTables!$BI$1:$CA$1,0),0)</f>
        <v>1</v>
      </c>
      <c r="AC230" s="66">
        <f>VLOOKUP(D230,ReferenceTables!$AQ$2:$BE$27,MATCH(ShopGenerator!$A$4,ReferenceTables!$AQ$1:$BE$1,0),0)</f>
        <v>1.5</v>
      </c>
    </row>
    <row r="231">
      <c r="A231" s="67" t="s">
        <v>505</v>
      </c>
      <c r="B231" s="68">
        <f t="shared" si="1"/>
        <v>45</v>
      </c>
      <c r="C231" s="67" t="s">
        <v>57</v>
      </c>
      <c r="D231" s="67" t="s">
        <v>58</v>
      </c>
      <c r="E231" s="68">
        <f t="shared" si="20"/>
        <v>36.9</v>
      </c>
      <c r="F231" s="68">
        <f t="shared" si="21"/>
        <v>22.5</v>
      </c>
      <c r="G231" s="68">
        <f t="shared" si="22"/>
        <v>40.95</v>
      </c>
      <c r="H231" s="67" t="s">
        <v>506</v>
      </c>
      <c r="I231" s="67" t="b">
        <v>0</v>
      </c>
      <c r="J231" s="67" t="b">
        <v>0</v>
      </c>
      <c r="K231" s="67" t="b">
        <v>0</v>
      </c>
      <c r="L231" s="67" t="b">
        <v>0</v>
      </c>
      <c r="M231" s="67" t="b">
        <v>0</v>
      </c>
      <c r="N231" s="67" t="b">
        <v>0</v>
      </c>
      <c r="O231" s="67" t="b">
        <v>0</v>
      </c>
      <c r="P231" s="67" t="b">
        <v>0</v>
      </c>
      <c r="Q231" s="67" t="b">
        <v>0</v>
      </c>
      <c r="R231" s="67" t="b">
        <v>0</v>
      </c>
      <c r="S231" s="67" t="b">
        <v>0</v>
      </c>
      <c r="T231" s="67" t="b">
        <v>0</v>
      </c>
      <c r="U231" s="67" t="b">
        <v>0</v>
      </c>
      <c r="V231" s="67" t="b">
        <v>0</v>
      </c>
      <c r="W231" s="67" t="b">
        <v>0</v>
      </c>
      <c r="X231" s="67" t="b">
        <v>0</v>
      </c>
      <c r="Y231" s="67" t="b">
        <v>0</v>
      </c>
      <c r="Z231" s="2">
        <f t="shared" si="24"/>
        <v>0.886968595</v>
      </c>
      <c r="AA231" s="71">
        <v>30.0</v>
      </c>
      <c r="AB231" s="72">
        <f>VLOOKUP(A231,ReferenceTables!$BI$2:$CA$254,MATCH(ShopGenerator!$A$2,ReferenceTables!$BI$1:$CA$1,0),0)</f>
        <v>1</v>
      </c>
      <c r="AC231" s="72">
        <f>VLOOKUP(D231,ReferenceTables!$AQ$2:$BE$27,MATCH(ShopGenerator!$A$4,ReferenceTables!$AQ$1:$BE$1,0),0)</f>
        <v>1.5</v>
      </c>
    </row>
    <row r="232">
      <c r="A232" s="61" t="s">
        <v>507</v>
      </c>
      <c r="B232" s="62">
        <f t="shared" si="1"/>
        <v>37.5</v>
      </c>
      <c r="C232" s="61" t="s">
        <v>51</v>
      </c>
      <c r="D232" s="61" t="s">
        <v>58</v>
      </c>
      <c r="E232" s="62">
        <f t="shared" si="20"/>
        <v>30.75</v>
      </c>
      <c r="F232" s="62">
        <f t="shared" si="21"/>
        <v>18.75</v>
      </c>
      <c r="G232" s="62">
        <f t="shared" si="22"/>
        <v>34.125</v>
      </c>
      <c r="H232" s="61" t="s">
        <v>508</v>
      </c>
      <c r="I232" s="61" t="b">
        <v>0</v>
      </c>
      <c r="J232" s="61" t="b">
        <v>0</v>
      </c>
      <c r="K232" s="61" t="b">
        <v>0</v>
      </c>
      <c r="L232" s="61" t="b">
        <v>0</v>
      </c>
      <c r="M232" s="61" t="b">
        <v>0</v>
      </c>
      <c r="N232" s="61" t="b">
        <v>0</v>
      </c>
      <c r="O232" s="61" t="b">
        <v>0</v>
      </c>
      <c r="P232" s="61" t="b">
        <v>0</v>
      </c>
      <c r="Q232" s="61" t="b">
        <v>0</v>
      </c>
      <c r="R232" s="61" t="b">
        <v>0</v>
      </c>
      <c r="S232" s="61" t="b">
        <v>0</v>
      </c>
      <c r="T232" s="61" t="b">
        <v>0</v>
      </c>
      <c r="U232" s="61" t="b">
        <v>0</v>
      </c>
      <c r="V232" s="61" t="b">
        <v>0</v>
      </c>
      <c r="W232" s="61" t="b">
        <v>0</v>
      </c>
      <c r="X232" s="61" t="b">
        <v>0</v>
      </c>
      <c r="Y232" s="61" t="b">
        <v>0</v>
      </c>
      <c r="Z232" s="2">
        <f t="shared" si="24"/>
        <v>0.4601748603</v>
      </c>
      <c r="AA232" s="65">
        <v>25.0</v>
      </c>
      <c r="AB232" s="66">
        <f>VLOOKUP(A232,ReferenceTables!$BI$2:$CA$254,MATCH(ShopGenerator!$A$2,ReferenceTables!$BI$1:$CA$1,0),0)</f>
        <v>1</v>
      </c>
      <c r="AC232" s="66">
        <f>VLOOKUP(D232,ReferenceTables!$AQ$2:$BE$27,MATCH(ShopGenerator!$A$4,ReferenceTables!$AQ$1:$BE$1,0),0)</f>
        <v>1.5</v>
      </c>
    </row>
    <row r="233">
      <c r="A233" s="67" t="s">
        <v>509</v>
      </c>
      <c r="B233" s="68">
        <f t="shared" si="1"/>
        <v>7.5</v>
      </c>
      <c r="C233" s="67" t="s">
        <v>57</v>
      </c>
      <c r="D233" s="67" t="s">
        <v>58</v>
      </c>
      <c r="E233" s="68">
        <f t="shared" si="20"/>
        <v>4.65</v>
      </c>
      <c r="F233" s="68">
        <f t="shared" si="21"/>
        <v>3.75</v>
      </c>
      <c r="G233" s="68">
        <f t="shared" si="22"/>
        <v>6.075</v>
      </c>
      <c r="H233" s="67" t="s">
        <v>510</v>
      </c>
      <c r="I233" s="67" t="b">
        <v>0</v>
      </c>
      <c r="J233" s="67" t="b">
        <v>1</v>
      </c>
      <c r="K233" s="67" t="b">
        <v>0</v>
      </c>
      <c r="L233" s="67" t="b">
        <v>0</v>
      </c>
      <c r="M233" s="67" t="b">
        <v>0</v>
      </c>
      <c r="N233" s="67" t="b">
        <v>0</v>
      </c>
      <c r="O233" s="67" t="b">
        <v>0</v>
      </c>
      <c r="P233" s="67" t="b">
        <v>0</v>
      </c>
      <c r="Q233" s="67" t="b">
        <v>0</v>
      </c>
      <c r="R233" s="67" t="b">
        <v>0</v>
      </c>
      <c r="S233" s="67" t="b">
        <v>0</v>
      </c>
      <c r="T233" s="67" t="b">
        <v>0</v>
      </c>
      <c r="U233" s="67" t="b">
        <v>0</v>
      </c>
      <c r="V233" s="67" t="b">
        <v>0</v>
      </c>
      <c r="W233" s="67" t="b">
        <v>0</v>
      </c>
      <c r="X233" s="67" t="b">
        <v>0</v>
      </c>
      <c r="Y233" s="67" t="b">
        <v>0</v>
      </c>
      <c r="Z233" s="2">
        <f t="shared" si="24"/>
        <v>0.9768352409</v>
      </c>
      <c r="AA233" s="71">
        <v>5.0</v>
      </c>
      <c r="AB233" s="72">
        <f>VLOOKUP(A233,ReferenceTables!$BI$2:$CA$254,MATCH(ShopGenerator!$A$2,ReferenceTables!$BI$1:$CA$1,0),0)</f>
        <v>1</v>
      </c>
      <c r="AC233" s="72">
        <f>VLOOKUP(D233,ReferenceTables!$AQ$2:$BE$27,MATCH(ShopGenerator!$A$4,ReferenceTables!$AQ$1:$BE$1,0),0)</f>
        <v>1.5</v>
      </c>
    </row>
    <row r="234">
      <c r="A234" s="61" t="s">
        <v>69</v>
      </c>
      <c r="B234" s="62">
        <f t="shared" si="1"/>
        <v>15</v>
      </c>
      <c r="C234" s="61" t="s">
        <v>66</v>
      </c>
      <c r="D234" s="61" t="s">
        <v>58</v>
      </c>
      <c r="E234" s="62">
        <f t="shared" si="20"/>
        <v>9.3</v>
      </c>
      <c r="F234" s="62">
        <f t="shared" si="21"/>
        <v>7.5</v>
      </c>
      <c r="G234" s="62">
        <f t="shared" si="22"/>
        <v>12.15</v>
      </c>
      <c r="H234" s="61" t="s">
        <v>70</v>
      </c>
      <c r="I234" s="61" t="b">
        <v>0</v>
      </c>
      <c r="J234" s="61" t="b">
        <v>1</v>
      </c>
      <c r="K234" s="61" t="b">
        <v>0</v>
      </c>
      <c r="L234" s="61" t="b">
        <v>0</v>
      </c>
      <c r="M234" s="61" t="b">
        <v>0</v>
      </c>
      <c r="N234" s="61" t="b">
        <v>0</v>
      </c>
      <c r="O234" s="61" t="b">
        <v>0</v>
      </c>
      <c r="P234" s="61" t="b">
        <v>0</v>
      </c>
      <c r="Q234" s="61" t="b">
        <v>0</v>
      </c>
      <c r="R234" s="61" t="b">
        <v>0</v>
      </c>
      <c r="S234" s="61" t="b">
        <v>0</v>
      </c>
      <c r="T234" s="61" t="b">
        <v>0</v>
      </c>
      <c r="U234" s="61" t="b">
        <v>0</v>
      </c>
      <c r="V234" s="61" t="b">
        <v>0</v>
      </c>
      <c r="W234" s="61" t="b">
        <v>0</v>
      </c>
      <c r="X234" s="61" t="b">
        <v>0</v>
      </c>
      <c r="Y234" s="61" t="b">
        <v>0</v>
      </c>
      <c r="Z234" s="2">
        <f t="shared" si="24"/>
        <v>0.4194118243</v>
      </c>
      <c r="AA234" s="65">
        <v>10.0</v>
      </c>
      <c r="AB234" s="66">
        <f>VLOOKUP(A234,ReferenceTables!$BI$2:$CA$254,MATCH(ShopGenerator!$A$2,ReferenceTables!$BI$1:$CA$1,0),0)</f>
        <v>1</v>
      </c>
      <c r="AC234" s="66">
        <f>VLOOKUP(D234,ReferenceTables!$AQ$2:$BE$27,MATCH(ShopGenerator!$A$4,ReferenceTables!$AQ$1:$BE$1,0),0)</f>
        <v>1.5</v>
      </c>
    </row>
    <row r="235">
      <c r="A235" s="67" t="s">
        <v>511</v>
      </c>
      <c r="B235" s="68">
        <f t="shared" si="1"/>
        <v>15</v>
      </c>
      <c r="C235" s="67" t="s">
        <v>57</v>
      </c>
      <c r="D235" s="67" t="s">
        <v>58</v>
      </c>
      <c r="E235" s="68">
        <f t="shared" si="20"/>
        <v>9.3</v>
      </c>
      <c r="F235" s="68">
        <f t="shared" si="21"/>
        <v>7.5</v>
      </c>
      <c r="G235" s="68">
        <f t="shared" si="22"/>
        <v>12.15</v>
      </c>
      <c r="H235" s="67" t="s">
        <v>512</v>
      </c>
      <c r="I235" s="67" t="b">
        <v>0</v>
      </c>
      <c r="J235" s="67" t="b">
        <v>0</v>
      </c>
      <c r="K235" s="67" t="b">
        <v>0</v>
      </c>
      <c r="L235" s="67" t="b">
        <v>0</v>
      </c>
      <c r="M235" s="67" t="b">
        <v>0</v>
      </c>
      <c r="N235" s="67" t="b">
        <v>0</v>
      </c>
      <c r="O235" s="67" t="b">
        <v>0</v>
      </c>
      <c r="P235" s="67" t="b">
        <v>0</v>
      </c>
      <c r="Q235" s="67" t="b">
        <v>0</v>
      </c>
      <c r="R235" s="67" t="b">
        <v>0</v>
      </c>
      <c r="S235" s="67" t="b">
        <v>0</v>
      </c>
      <c r="T235" s="67" t="b">
        <v>0</v>
      </c>
      <c r="U235" s="67" t="b">
        <v>0</v>
      </c>
      <c r="V235" s="67" t="b">
        <v>0</v>
      </c>
      <c r="W235" s="67" t="b">
        <v>0</v>
      </c>
      <c r="X235" s="67" t="b">
        <v>0</v>
      </c>
      <c r="Y235" s="67" t="b">
        <v>0</v>
      </c>
      <c r="Z235" s="2">
        <f t="shared" si="24"/>
        <v>0.9274644193</v>
      </c>
      <c r="AA235" s="71">
        <v>10.0</v>
      </c>
      <c r="AB235" s="72">
        <f>VLOOKUP(A235,ReferenceTables!$BI$2:$CA$254,MATCH(ShopGenerator!$A$2,ReferenceTables!$BI$1:$CA$1,0),0)</f>
        <v>1</v>
      </c>
      <c r="AC235" s="72">
        <f>VLOOKUP(D235,ReferenceTables!$AQ$2:$BE$27,MATCH(ShopGenerator!$A$4,ReferenceTables!$AQ$1:$BE$1,0),0)</f>
        <v>1.5</v>
      </c>
    </row>
    <row r="236">
      <c r="A236" s="61" t="s">
        <v>513</v>
      </c>
      <c r="B236" s="62">
        <f t="shared" si="1"/>
        <v>15</v>
      </c>
      <c r="C236" s="61" t="s">
        <v>75</v>
      </c>
      <c r="D236" s="61" t="s">
        <v>58</v>
      </c>
      <c r="E236" s="62">
        <f t="shared" si="20"/>
        <v>9.3</v>
      </c>
      <c r="F236" s="62">
        <f t="shared" si="21"/>
        <v>7.5</v>
      </c>
      <c r="G236" s="62">
        <f t="shared" si="22"/>
        <v>12.15</v>
      </c>
      <c r="H236" s="61" t="s">
        <v>514</v>
      </c>
      <c r="I236" s="61" t="b">
        <v>0</v>
      </c>
      <c r="J236" s="61" t="b">
        <v>0</v>
      </c>
      <c r="K236" s="61" t="b">
        <v>0</v>
      </c>
      <c r="L236" s="61" t="b">
        <v>0</v>
      </c>
      <c r="M236" s="61" t="b">
        <v>0</v>
      </c>
      <c r="N236" s="61" t="b">
        <v>0</v>
      </c>
      <c r="O236" s="61" t="b">
        <v>0</v>
      </c>
      <c r="P236" s="61" t="b">
        <v>0</v>
      </c>
      <c r="Q236" s="61" t="b">
        <v>0</v>
      </c>
      <c r="R236" s="61" t="b">
        <v>0</v>
      </c>
      <c r="S236" s="61" t="b">
        <v>0</v>
      </c>
      <c r="T236" s="61" t="b">
        <v>0</v>
      </c>
      <c r="U236" s="61" t="b">
        <v>0</v>
      </c>
      <c r="V236" s="61" t="b">
        <v>0</v>
      </c>
      <c r="W236" s="61" t="b">
        <v>0</v>
      </c>
      <c r="X236" s="61" t="b">
        <v>0</v>
      </c>
      <c r="Y236" s="61" t="b">
        <v>0</v>
      </c>
      <c r="Z236" s="2">
        <f t="shared" si="24"/>
        <v>0.3213571823</v>
      </c>
      <c r="AA236" s="65">
        <v>10.0</v>
      </c>
      <c r="AB236" s="66">
        <f>VLOOKUP(A236,ReferenceTables!$BI$2:$CA$254,MATCH(ShopGenerator!$A$2,ReferenceTables!$BI$1:$CA$1,0),0)</f>
        <v>1</v>
      </c>
      <c r="AC236" s="66">
        <f>VLOOKUP(D236,ReferenceTables!$AQ$2:$BE$27,MATCH(ShopGenerator!$A$4,ReferenceTables!$AQ$1:$BE$1,0),0)</f>
        <v>1.5</v>
      </c>
    </row>
    <row r="237">
      <c r="A237" s="67" t="s">
        <v>65</v>
      </c>
      <c r="B237" s="68">
        <f t="shared" si="1"/>
        <v>30</v>
      </c>
      <c r="C237" s="67" t="s">
        <v>66</v>
      </c>
      <c r="D237" s="67" t="s">
        <v>58</v>
      </c>
      <c r="E237" s="68">
        <f t="shared" si="20"/>
        <v>24.6</v>
      </c>
      <c r="F237" s="68">
        <f t="shared" si="21"/>
        <v>15</v>
      </c>
      <c r="G237" s="68">
        <f t="shared" si="22"/>
        <v>27.3</v>
      </c>
      <c r="H237" s="67" t="s">
        <v>67</v>
      </c>
      <c r="I237" s="67" t="b">
        <v>0</v>
      </c>
      <c r="J237" s="67" t="b">
        <v>1</v>
      </c>
      <c r="K237" s="67" t="b">
        <v>0</v>
      </c>
      <c r="L237" s="67" t="b">
        <v>0</v>
      </c>
      <c r="M237" s="67" t="b">
        <v>0</v>
      </c>
      <c r="N237" s="67" t="b">
        <v>0</v>
      </c>
      <c r="O237" s="67" t="b">
        <v>0</v>
      </c>
      <c r="P237" s="67" t="b">
        <v>0</v>
      </c>
      <c r="Q237" s="67" t="b">
        <v>0</v>
      </c>
      <c r="R237" s="67" t="b">
        <v>0</v>
      </c>
      <c r="S237" s="67" t="b">
        <v>0</v>
      </c>
      <c r="T237" s="67" t="b">
        <v>0</v>
      </c>
      <c r="U237" s="67" t="b">
        <v>0</v>
      </c>
      <c r="V237" s="67" t="b">
        <v>0</v>
      </c>
      <c r="W237" s="67" t="b">
        <v>0</v>
      </c>
      <c r="X237" s="67" t="b">
        <v>0</v>
      </c>
      <c r="Y237" s="67" t="b">
        <v>0</v>
      </c>
      <c r="Z237" s="2">
        <f t="shared" si="24"/>
        <v>0.2228071884</v>
      </c>
      <c r="AA237" s="71">
        <v>20.0</v>
      </c>
      <c r="AB237" s="72">
        <f>VLOOKUP(A237,ReferenceTables!$BI$2:$CA$254,MATCH(ShopGenerator!$A$2,ReferenceTables!$BI$1:$CA$1,0),0)</f>
        <v>1</v>
      </c>
      <c r="AC237" s="72">
        <f>VLOOKUP(D237,ReferenceTables!$AQ$2:$BE$27,MATCH(ShopGenerator!$A$4,ReferenceTables!$AQ$1:$BE$1,0),0)</f>
        <v>1.5</v>
      </c>
    </row>
    <row r="238">
      <c r="A238" s="61" t="s">
        <v>71</v>
      </c>
      <c r="B238" s="62">
        <f t="shared" si="1"/>
        <v>75</v>
      </c>
      <c r="C238" s="61" t="s">
        <v>72</v>
      </c>
      <c r="D238" s="61" t="s">
        <v>58</v>
      </c>
      <c r="E238" s="62">
        <f t="shared" si="20"/>
        <v>61.5</v>
      </c>
      <c r="F238" s="62">
        <f t="shared" si="21"/>
        <v>37.5</v>
      </c>
      <c r="G238" s="62">
        <f t="shared" si="22"/>
        <v>68.25</v>
      </c>
      <c r="H238" s="61" t="s">
        <v>73</v>
      </c>
      <c r="I238" s="61" t="b">
        <v>0</v>
      </c>
      <c r="J238" s="61" t="b">
        <v>1</v>
      </c>
      <c r="K238" s="61" t="b">
        <v>0</v>
      </c>
      <c r="L238" s="61" t="b">
        <v>0</v>
      </c>
      <c r="M238" s="61" t="b">
        <v>0</v>
      </c>
      <c r="N238" s="61" t="b">
        <v>0</v>
      </c>
      <c r="O238" s="61" t="b">
        <v>0</v>
      </c>
      <c r="P238" s="61" t="b">
        <v>0</v>
      </c>
      <c r="Q238" s="61" t="b">
        <v>0</v>
      </c>
      <c r="R238" s="61" t="b">
        <v>0</v>
      </c>
      <c r="S238" s="61" t="b">
        <v>0</v>
      </c>
      <c r="T238" s="61" t="b">
        <v>0</v>
      </c>
      <c r="U238" s="61" t="b">
        <v>0</v>
      </c>
      <c r="V238" s="61" t="b">
        <v>0</v>
      </c>
      <c r="W238" s="61" t="b">
        <v>0</v>
      </c>
      <c r="X238" s="61" t="b">
        <v>0</v>
      </c>
      <c r="Y238" s="61" t="b">
        <v>0</v>
      </c>
      <c r="Z238" s="2">
        <f t="shared" si="24"/>
        <v>0.4535505788</v>
      </c>
      <c r="AA238" s="65">
        <v>50.0</v>
      </c>
      <c r="AB238" s="66">
        <f>VLOOKUP(A238,ReferenceTables!$BI$2:$CA$254,MATCH(ShopGenerator!$A$2,ReferenceTables!$BI$1:$CA$1,0),0)</f>
        <v>1</v>
      </c>
      <c r="AC238" s="66">
        <f>VLOOKUP(D238,ReferenceTables!$AQ$2:$BE$27,MATCH(ShopGenerator!$A$4,ReferenceTables!$AQ$1:$BE$1,0),0)</f>
        <v>1.5</v>
      </c>
    </row>
    <row r="239">
      <c r="A239" s="67" t="s">
        <v>515</v>
      </c>
      <c r="B239" s="68">
        <f t="shared" si="1"/>
        <v>1.5</v>
      </c>
      <c r="C239" s="67" t="s">
        <v>57</v>
      </c>
      <c r="D239" s="67" t="s">
        <v>58</v>
      </c>
      <c r="E239" s="68">
        <f t="shared" si="20"/>
        <v>0.93</v>
      </c>
      <c r="F239" s="68">
        <f t="shared" si="21"/>
        <v>0.75</v>
      </c>
      <c r="G239" s="68">
        <f t="shared" si="22"/>
        <v>1.215</v>
      </c>
      <c r="H239" s="67" t="s">
        <v>516</v>
      </c>
      <c r="I239" s="67" t="b">
        <v>0</v>
      </c>
      <c r="J239" s="67" t="b">
        <v>0</v>
      </c>
      <c r="K239" s="67" t="b">
        <v>0</v>
      </c>
      <c r="L239" s="67" t="b">
        <v>0</v>
      </c>
      <c r="M239" s="67" t="b">
        <v>0</v>
      </c>
      <c r="N239" s="67" t="b">
        <v>0</v>
      </c>
      <c r="O239" s="67" t="b">
        <v>0</v>
      </c>
      <c r="P239" s="67" t="b">
        <v>0</v>
      </c>
      <c r="Q239" s="67" t="b">
        <v>0</v>
      </c>
      <c r="R239" s="67" t="b">
        <v>0</v>
      </c>
      <c r="S239" s="67" t="b">
        <v>0</v>
      </c>
      <c r="T239" s="67" t="b">
        <v>0</v>
      </c>
      <c r="U239" s="67" t="b">
        <v>0</v>
      </c>
      <c r="V239" s="67" t="b">
        <v>0</v>
      </c>
      <c r="W239" s="67" t="b">
        <v>0</v>
      </c>
      <c r="X239" s="67" t="b">
        <v>0</v>
      </c>
      <c r="Y239" s="67" t="b">
        <v>0</v>
      </c>
      <c r="Z239" s="2">
        <f t="shared" si="24"/>
        <v>0.3241347835</v>
      </c>
      <c r="AA239" s="71">
        <v>1.0</v>
      </c>
      <c r="AB239" s="72">
        <f>VLOOKUP(A239,ReferenceTables!$BI$2:$CA$254,MATCH(ShopGenerator!$A$2,ReferenceTables!$BI$1:$CA$1,0),0)</f>
        <v>1</v>
      </c>
      <c r="AC239" s="72">
        <f>VLOOKUP(D239,ReferenceTables!$AQ$2:$BE$27,MATCH(ShopGenerator!$A$4,ReferenceTables!$AQ$1:$BE$1,0),0)</f>
        <v>1.5</v>
      </c>
    </row>
    <row r="240">
      <c r="A240" s="61" t="s">
        <v>59</v>
      </c>
      <c r="B240" s="62">
        <f t="shared" si="1"/>
        <v>1.5</v>
      </c>
      <c r="C240" s="61" t="s">
        <v>57</v>
      </c>
      <c r="D240" s="61" t="s">
        <v>58</v>
      </c>
      <c r="E240" s="62">
        <f t="shared" si="20"/>
        <v>0.93</v>
      </c>
      <c r="F240" s="62">
        <f t="shared" si="21"/>
        <v>0.75</v>
      </c>
      <c r="G240" s="62">
        <f t="shared" si="22"/>
        <v>1.215</v>
      </c>
      <c r="H240" s="61" t="s">
        <v>60</v>
      </c>
      <c r="I240" s="61" t="b">
        <v>0</v>
      </c>
      <c r="J240" s="61" t="b">
        <v>1</v>
      </c>
      <c r="K240" s="61" t="b">
        <v>0</v>
      </c>
      <c r="L240" s="61" t="b">
        <v>0</v>
      </c>
      <c r="M240" s="61" t="b">
        <v>0</v>
      </c>
      <c r="N240" s="61" t="b">
        <v>0</v>
      </c>
      <c r="O240" s="61" t="b">
        <v>0</v>
      </c>
      <c r="P240" s="61" t="b">
        <v>0</v>
      </c>
      <c r="Q240" s="61" t="b">
        <v>0</v>
      </c>
      <c r="R240" s="61" t="b">
        <v>0</v>
      </c>
      <c r="S240" s="61" t="b">
        <v>0</v>
      </c>
      <c r="T240" s="61" t="b">
        <v>0</v>
      </c>
      <c r="U240" s="61" t="b">
        <v>0</v>
      </c>
      <c r="V240" s="61" t="b">
        <v>0</v>
      </c>
      <c r="W240" s="61" t="b">
        <v>0</v>
      </c>
      <c r="X240" s="61" t="b">
        <v>0</v>
      </c>
      <c r="Y240" s="61" t="b">
        <v>1</v>
      </c>
      <c r="Z240" s="2">
        <f t="shared" si="24"/>
        <v>0.04555808175</v>
      </c>
      <c r="AA240" s="65">
        <v>1.0</v>
      </c>
      <c r="AB240" s="66">
        <f>VLOOKUP(A240,ReferenceTables!$BI$2:$CA$254,MATCH(ShopGenerator!$A$2,ReferenceTables!$BI$1:$CA$1,0),0)</f>
        <v>1</v>
      </c>
      <c r="AC240" s="66">
        <f>VLOOKUP(D240,ReferenceTables!$AQ$2:$BE$27,MATCH(ShopGenerator!$A$4,ReferenceTables!$AQ$1:$BE$1,0),0)</f>
        <v>1.5</v>
      </c>
    </row>
    <row r="241">
      <c r="A241" s="67" t="s">
        <v>517</v>
      </c>
      <c r="B241" s="68">
        <f t="shared" si="1"/>
        <v>0.15</v>
      </c>
      <c r="C241" s="67" t="s">
        <v>211</v>
      </c>
      <c r="D241" s="67" t="s">
        <v>58</v>
      </c>
      <c r="E241" s="68">
        <f t="shared" si="20"/>
        <v>0.093</v>
      </c>
      <c r="F241" s="68">
        <f t="shared" si="21"/>
        <v>0.075</v>
      </c>
      <c r="G241" s="68">
        <f t="shared" si="22"/>
        <v>0.1215</v>
      </c>
      <c r="H241" s="67"/>
      <c r="I241" s="67" t="b">
        <v>0</v>
      </c>
      <c r="J241" s="67" t="b">
        <v>0</v>
      </c>
      <c r="K241" s="67" t="b">
        <v>1</v>
      </c>
      <c r="L241" s="67" t="b">
        <v>0</v>
      </c>
      <c r="M241" s="67" t="b">
        <v>0</v>
      </c>
      <c r="N241" s="67" t="b">
        <v>0</v>
      </c>
      <c r="O241" s="67" t="b">
        <v>0</v>
      </c>
      <c r="P241" s="67" t="b">
        <v>0</v>
      </c>
      <c r="Q241" s="67" t="b">
        <v>0</v>
      </c>
      <c r="R241" s="67" t="b">
        <v>0</v>
      </c>
      <c r="S241" s="67" t="b">
        <v>0</v>
      </c>
      <c r="T241" s="67" t="b">
        <v>0</v>
      </c>
      <c r="U241" s="67" t="b">
        <v>0</v>
      </c>
      <c r="V241" s="67" t="b">
        <v>0</v>
      </c>
      <c r="W241" s="67" t="b">
        <v>0</v>
      </c>
      <c r="X241" s="67" t="b">
        <v>0</v>
      </c>
      <c r="Y241" s="67" t="b">
        <v>0</v>
      </c>
      <c r="Z241" s="2">
        <f t="shared" si="24"/>
        <v>0.6655597878</v>
      </c>
      <c r="AA241" s="71">
        <v>0.1</v>
      </c>
      <c r="AB241" s="72">
        <f>VLOOKUP(A241,ReferenceTables!$BI$2:$CA$254,MATCH(ShopGenerator!$A$2,ReferenceTables!$BI$1:$CA$1,0),0)</f>
        <v>1</v>
      </c>
      <c r="AC241" s="72">
        <f>VLOOKUP(D241,ReferenceTables!$AQ$2:$BE$27,MATCH(ShopGenerator!$A$4,ReferenceTables!$AQ$1:$BE$1,0),0)</f>
        <v>1.5</v>
      </c>
    </row>
    <row r="242">
      <c r="A242" s="61" t="s">
        <v>518</v>
      </c>
      <c r="B242" s="62">
        <f t="shared" si="1"/>
        <v>0.75</v>
      </c>
      <c r="C242" s="61" t="s">
        <v>211</v>
      </c>
      <c r="D242" s="61" t="s">
        <v>58</v>
      </c>
      <c r="E242" s="62">
        <f t="shared" si="20"/>
        <v>0.465</v>
      </c>
      <c r="F242" s="62">
        <f t="shared" si="21"/>
        <v>0.375</v>
      </c>
      <c r="G242" s="62">
        <f t="shared" si="22"/>
        <v>0.6075</v>
      </c>
      <c r="H242" s="61" t="s">
        <v>519</v>
      </c>
      <c r="I242" s="61" t="b">
        <v>0</v>
      </c>
      <c r="J242" s="61" t="b">
        <v>0</v>
      </c>
      <c r="K242" s="61" t="b">
        <v>1</v>
      </c>
      <c r="L242" s="61" t="b">
        <v>0</v>
      </c>
      <c r="M242" s="61" t="b">
        <v>0</v>
      </c>
      <c r="N242" s="61" t="b">
        <v>0</v>
      </c>
      <c r="O242" s="61" t="b">
        <v>0</v>
      </c>
      <c r="P242" s="61" t="b">
        <v>0</v>
      </c>
      <c r="Q242" s="61" t="b">
        <v>0</v>
      </c>
      <c r="R242" s="61" t="b">
        <v>0</v>
      </c>
      <c r="S242" s="61" t="b">
        <v>0</v>
      </c>
      <c r="T242" s="61" t="b">
        <v>0</v>
      </c>
      <c r="U242" s="61" t="b">
        <v>0</v>
      </c>
      <c r="V242" s="61" t="b">
        <v>0</v>
      </c>
      <c r="W242" s="61" t="b">
        <v>0</v>
      </c>
      <c r="X242" s="61" t="b">
        <v>0</v>
      </c>
      <c r="Y242" s="61" t="b">
        <v>0</v>
      </c>
      <c r="Z242" s="2">
        <f t="shared" si="24"/>
        <v>0.2526931157</v>
      </c>
      <c r="AA242" s="65">
        <v>0.5</v>
      </c>
      <c r="AB242" s="66">
        <f>VLOOKUP(A242,ReferenceTables!$BI$2:$CA$254,MATCH(ShopGenerator!$A$2,ReferenceTables!$BI$1:$CA$1,0),0)</f>
        <v>1</v>
      </c>
      <c r="AC242" s="66">
        <f>VLOOKUP(D242,ReferenceTables!$AQ$2:$BE$27,MATCH(ShopGenerator!$A$4,ReferenceTables!$AQ$1:$BE$1,0),0)</f>
        <v>1.5</v>
      </c>
    </row>
    <row r="243">
      <c r="A243" s="67" t="s">
        <v>520</v>
      </c>
      <c r="B243" s="68">
        <f t="shared" si="1"/>
        <v>45</v>
      </c>
      <c r="C243" s="67" t="s">
        <v>80</v>
      </c>
      <c r="D243" s="67" t="s">
        <v>58</v>
      </c>
      <c r="E243" s="68">
        <f t="shared" si="20"/>
        <v>36.9</v>
      </c>
      <c r="F243" s="68">
        <f t="shared" si="21"/>
        <v>22.5</v>
      </c>
      <c r="G243" s="68">
        <f t="shared" si="22"/>
        <v>40.95</v>
      </c>
      <c r="H243" s="67" t="s">
        <v>521</v>
      </c>
      <c r="I243" s="67" t="b">
        <v>0</v>
      </c>
      <c r="J243" s="67" t="b">
        <v>0</v>
      </c>
      <c r="K243" s="67" t="b">
        <v>0</v>
      </c>
      <c r="L243" s="67" t="b">
        <v>0</v>
      </c>
      <c r="M243" s="67" t="b">
        <v>0</v>
      </c>
      <c r="N243" s="67" t="b">
        <v>0</v>
      </c>
      <c r="O243" s="67" t="b">
        <v>0</v>
      </c>
      <c r="P243" s="67" t="b">
        <v>0</v>
      </c>
      <c r="Q243" s="67" t="b">
        <v>0</v>
      </c>
      <c r="R243" s="67" t="b">
        <v>0</v>
      </c>
      <c r="S243" s="67" t="b">
        <v>0</v>
      </c>
      <c r="T243" s="67" t="b">
        <v>0</v>
      </c>
      <c r="U243" s="67" t="b">
        <v>0</v>
      </c>
      <c r="V243" s="67" t="b">
        <v>0</v>
      </c>
      <c r="W243" s="67" t="b">
        <v>0</v>
      </c>
      <c r="X243" s="67" t="b">
        <v>0</v>
      </c>
      <c r="Y243" s="67" t="b">
        <v>0</v>
      </c>
      <c r="Z243" s="2">
        <f t="shared" si="24"/>
        <v>0.8623579189</v>
      </c>
      <c r="AA243" s="71">
        <v>30.0</v>
      </c>
      <c r="AB243" s="72">
        <f>VLOOKUP(A243,ReferenceTables!$BI$2:$CA$254,MATCH(ShopGenerator!$A$2,ReferenceTables!$BI$1:$CA$1,0),0)</f>
        <v>1</v>
      </c>
      <c r="AC243" s="72">
        <f>VLOOKUP(D243,ReferenceTables!$AQ$2:$BE$27,MATCH(ShopGenerator!$A$4,ReferenceTables!$AQ$1:$BE$1,0),0)</f>
        <v>1.5</v>
      </c>
    </row>
    <row r="244">
      <c r="A244" s="61" t="s">
        <v>522</v>
      </c>
      <c r="B244" s="62">
        <f t="shared" si="1"/>
        <v>9</v>
      </c>
      <c r="C244" s="61" t="s">
        <v>75</v>
      </c>
      <c r="D244" s="61" t="s">
        <v>58</v>
      </c>
      <c r="E244" s="62">
        <f t="shared" si="20"/>
        <v>5.58</v>
      </c>
      <c r="F244" s="62">
        <f t="shared" si="21"/>
        <v>4.5</v>
      </c>
      <c r="G244" s="62">
        <f t="shared" si="22"/>
        <v>7.29</v>
      </c>
      <c r="H244" s="61" t="s">
        <v>523</v>
      </c>
      <c r="I244" s="61" t="b">
        <v>0</v>
      </c>
      <c r="J244" s="61" t="b">
        <v>0</v>
      </c>
      <c r="K244" s="61" t="b">
        <v>0</v>
      </c>
      <c r="L244" s="61" t="b">
        <v>0</v>
      </c>
      <c r="M244" s="61" t="b">
        <v>0</v>
      </c>
      <c r="N244" s="61" t="b">
        <v>0</v>
      </c>
      <c r="O244" s="61" t="b">
        <v>0</v>
      </c>
      <c r="P244" s="61" t="b">
        <v>0</v>
      </c>
      <c r="Q244" s="61" t="b">
        <v>0</v>
      </c>
      <c r="R244" s="61" t="b">
        <v>0</v>
      </c>
      <c r="S244" s="61" t="b">
        <v>0</v>
      </c>
      <c r="T244" s="61" t="b">
        <v>0</v>
      </c>
      <c r="U244" s="61" t="b">
        <v>0</v>
      </c>
      <c r="V244" s="61" t="b">
        <v>0</v>
      </c>
      <c r="W244" s="61" t="b">
        <v>0</v>
      </c>
      <c r="X244" s="61" t="b">
        <v>0</v>
      </c>
      <c r="Y244" s="61" t="b">
        <v>0</v>
      </c>
      <c r="Z244" s="2">
        <f t="shared" si="24"/>
        <v>0.4723436709</v>
      </c>
      <c r="AA244" s="65">
        <v>6.0</v>
      </c>
      <c r="AB244" s="66">
        <f>VLOOKUP(A244,ReferenceTables!$BI$2:$CA$254,MATCH(ShopGenerator!$A$2,ReferenceTables!$BI$1:$CA$1,0),0)</f>
        <v>1</v>
      </c>
      <c r="AC244" s="66">
        <f>VLOOKUP(D244,ReferenceTables!$AQ$2:$BE$27,MATCH(ShopGenerator!$A$4,ReferenceTables!$AQ$1:$BE$1,0),0)</f>
        <v>1.5</v>
      </c>
    </row>
    <row r="245">
      <c r="A245" s="67" t="s">
        <v>524</v>
      </c>
      <c r="B245" s="68">
        <f t="shared" si="1"/>
        <v>37.5</v>
      </c>
      <c r="C245" s="67" t="s">
        <v>72</v>
      </c>
      <c r="D245" s="67" t="s">
        <v>58</v>
      </c>
      <c r="E245" s="68">
        <f t="shared" si="20"/>
        <v>30.75</v>
      </c>
      <c r="F245" s="68">
        <f t="shared" si="21"/>
        <v>18.75</v>
      </c>
      <c r="G245" s="68">
        <f t="shared" si="22"/>
        <v>34.125</v>
      </c>
      <c r="H245" s="67" t="s">
        <v>525</v>
      </c>
      <c r="I245" s="67" t="b">
        <v>0</v>
      </c>
      <c r="J245" s="67" t="b">
        <v>0</v>
      </c>
      <c r="K245" s="67" t="b">
        <v>0</v>
      </c>
      <c r="L245" s="67" t="b">
        <v>0</v>
      </c>
      <c r="M245" s="67" t="b">
        <v>0</v>
      </c>
      <c r="N245" s="67" t="b">
        <v>0</v>
      </c>
      <c r="O245" s="67" t="b">
        <v>0</v>
      </c>
      <c r="P245" s="67" t="b">
        <v>0</v>
      </c>
      <c r="Q245" s="67" t="b">
        <v>0</v>
      </c>
      <c r="R245" s="67" t="b">
        <v>0</v>
      </c>
      <c r="S245" s="67" t="b">
        <v>0</v>
      </c>
      <c r="T245" s="67" t="b">
        <v>0</v>
      </c>
      <c r="U245" s="67" t="b">
        <v>0</v>
      </c>
      <c r="V245" s="67" t="b">
        <v>0</v>
      </c>
      <c r="W245" s="67" t="b">
        <v>0</v>
      </c>
      <c r="X245" s="67" t="b">
        <v>0</v>
      </c>
      <c r="Y245" s="67" t="b">
        <v>0</v>
      </c>
      <c r="Z245" s="2">
        <f t="shared" si="24"/>
        <v>0.2834341855</v>
      </c>
      <c r="AA245" s="71">
        <v>25.0</v>
      </c>
      <c r="AB245" s="72">
        <f>VLOOKUP(A245,ReferenceTables!$BI$2:$CA$254,MATCH(ShopGenerator!$A$2,ReferenceTables!$BI$1:$CA$1,0),0)</f>
        <v>1</v>
      </c>
      <c r="AC245" s="72">
        <f>VLOOKUP(D245,ReferenceTables!$AQ$2:$BE$27,MATCH(ShopGenerator!$A$4,ReferenceTables!$AQ$1:$BE$1,0),0)</f>
        <v>1.5</v>
      </c>
    </row>
    <row r="246">
      <c r="A246" s="61" t="s">
        <v>526</v>
      </c>
      <c r="B246" s="62">
        <f t="shared" si="1"/>
        <v>3</v>
      </c>
      <c r="C246" s="61" t="s">
        <v>43</v>
      </c>
      <c r="D246" s="61" t="s">
        <v>58</v>
      </c>
      <c r="E246" s="62">
        <f t="shared" si="20"/>
        <v>1.86</v>
      </c>
      <c r="F246" s="62">
        <f t="shared" si="21"/>
        <v>1.5</v>
      </c>
      <c r="G246" s="62">
        <f t="shared" si="22"/>
        <v>2.43</v>
      </c>
      <c r="H246" s="61" t="s">
        <v>527</v>
      </c>
      <c r="I246" s="61" t="b">
        <v>0</v>
      </c>
      <c r="J246" s="61" t="b">
        <v>0</v>
      </c>
      <c r="K246" s="61" t="b">
        <v>0</v>
      </c>
      <c r="L246" s="61" t="b">
        <v>0</v>
      </c>
      <c r="M246" s="61" t="b">
        <v>0</v>
      </c>
      <c r="N246" s="61" t="b">
        <v>0</v>
      </c>
      <c r="O246" s="61" t="b">
        <v>0</v>
      </c>
      <c r="P246" s="61" t="b">
        <v>0</v>
      </c>
      <c r="Q246" s="61" t="b">
        <v>0</v>
      </c>
      <c r="R246" s="61" t="b">
        <v>0</v>
      </c>
      <c r="S246" s="61" t="b">
        <v>0</v>
      </c>
      <c r="T246" s="61" t="b">
        <v>0</v>
      </c>
      <c r="U246" s="61" t="b">
        <v>0</v>
      </c>
      <c r="V246" s="61" t="b">
        <v>0</v>
      </c>
      <c r="W246" s="61" t="b">
        <v>0</v>
      </c>
      <c r="X246" s="61" t="b">
        <v>0</v>
      </c>
      <c r="Y246" s="61" t="b">
        <v>0</v>
      </c>
      <c r="Z246" s="2">
        <f t="shared" si="24"/>
        <v>0.8235572458</v>
      </c>
      <c r="AA246" s="65">
        <v>2.0</v>
      </c>
      <c r="AB246" s="66">
        <f>VLOOKUP(A246,ReferenceTables!$BI$2:$CA$254,MATCH(ShopGenerator!$A$2,ReferenceTables!$BI$1:$CA$1,0),0)</f>
        <v>1</v>
      </c>
      <c r="AC246" s="66">
        <f>VLOOKUP(D246,ReferenceTables!$AQ$2:$BE$27,MATCH(ShopGenerator!$A$4,ReferenceTables!$AQ$1:$BE$1,0),0)</f>
        <v>1.5</v>
      </c>
    </row>
    <row r="247">
      <c r="A247" s="67" t="s">
        <v>528</v>
      </c>
      <c r="B247" s="68">
        <f t="shared" si="1"/>
        <v>52.5</v>
      </c>
      <c r="C247" s="67" t="s">
        <v>51</v>
      </c>
      <c r="D247" s="67" t="s">
        <v>58</v>
      </c>
      <c r="E247" s="68">
        <f t="shared" si="20"/>
        <v>43.05</v>
      </c>
      <c r="F247" s="68">
        <f t="shared" si="21"/>
        <v>26.25</v>
      </c>
      <c r="G247" s="68">
        <f t="shared" si="22"/>
        <v>47.775</v>
      </c>
      <c r="H247" s="67" t="s">
        <v>529</v>
      </c>
      <c r="I247" s="67" t="b">
        <v>0</v>
      </c>
      <c r="J247" s="67" t="b">
        <v>0</v>
      </c>
      <c r="K247" s="67" t="b">
        <v>0</v>
      </c>
      <c r="L247" s="67" t="b">
        <v>0</v>
      </c>
      <c r="M247" s="67" t="b">
        <v>0</v>
      </c>
      <c r="N247" s="67" t="b">
        <v>0</v>
      </c>
      <c r="O247" s="67" t="b">
        <v>0</v>
      </c>
      <c r="P247" s="67" t="b">
        <v>0</v>
      </c>
      <c r="Q247" s="67" t="b">
        <v>0</v>
      </c>
      <c r="R247" s="67" t="b">
        <v>0</v>
      </c>
      <c r="S247" s="67" t="b">
        <v>0</v>
      </c>
      <c r="T247" s="67" t="b">
        <v>0</v>
      </c>
      <c r="U247" s="67" t="b">
        <v>0</v>
      </c>
      <c r="V247" s="67" t="b">
        <v>0</v>
      </c>
      <c r="W247" s="67" t="b">
        <v>0</v>
      </c>
      <c r="X247" s="67" t="b">
        <v>0</v>
      </c>
      <c r="Y247" s="67" t="b">
        <v>0</v>
      </c>
      <c r="Z247" s="2">
        <f t="shared" si="24"/>
        <v>0.1742385048</v>
      </c>
      <c r="AA247" s="71">
        <v>35.0</v>
      </c>
      <c r="AB247" s="72">
        <f>VLOOKUP(A247,ReferenceTables!$BI$2:$CA$254,MATCH(ShopGenerator!$A$2,ReferenceTables!$BI$1:$CA$1,0),0)</f>
        <v>1</v>
      </c>
      <c r="AC247" s="72">
        <f>VLOOKUP(D247,ReferenceTables!$AQ$2:$BE$27,MATCH(ShopGenerator!$A$4,ReferenceTables!$AQ$1:$BE$1,0),0)</f>
        <v>1.5</v>
      </c>
    </row>
    <row r="248">
      <c r="A248" s="61" t="s">
        <v>530</v>
      </c>
      <c r="B248" s="62">
        <f t="shared" si="1"/>
        <v>45</v>
      </c>
      <c r="C248" s="61" t="s">
        <v>51</v>
      </c>
      <c r="D248" s="61" t="s">
        <v>58</v>
      </c>
      <c r="E248" s="62">
        <f t="shared" si="20"/>
        <v>36.9</v>
      </c>
      <c r="F248" s="62">
        <f t="shared" si="21"/>
        <v>22.5</v>
      </c>
      <c r="G248" s="62">
        <f t="shared" si="22"/>
        <v>40.95</v>
      </c>
      <c r="H248" s="61" t="s">
        <v>531</v>
      </c>
      <c r="I248" s="61" t="b">
        <v>0</v>
      </c>
      <c r="J248" s="61" t="b">
        <v>0</v>
      </c>
      <c r="K248" s="61" t="b">
        <v>0</v>
      </c>
      <c r="L248" s="61" t="b">
        <v>0</v>
      </c>
      <c r="M248" s="61" t="b">
        <v>0</v>
      </c>
      <c r="N248" s="61" t="b">
        <v>0</v>
      </c>
      <c r="O248" s="61" t="b">
        <v>0</v>
      </c>
      <c r="P248" s="61" t="b">
        <v>0</v>
      </c>
      <c r="Q248" s="61" t="b">
        <v>0</v>
      </c>
      <c r="R248" s="61" t="b">
        <v>0</v>
      </c>
      <c r="S248" s="61" t="b">
        <v>0</v>
      </c>
      <c r="T248" s="61" t="b">
        <v>0</v>
      </c>
      <c r="U248" s="61" t="b">
        <v>0</v>
      </c>
      <c r="V248" s="61" t="b">
        <v>0</v>
      </c>
      <c r="W248" s="61" t="b">
        <v>0</v>
      </c>
      <c r="X248" s="61" t="b">
        <v>0</v>
      </c>
      <c r="Y248" s="61" t="b">
        <v>0</v>
      </c>
      <c r="Z248" s="2">
        <f t="shared" si="24"/>
        <v>0.7934664162</v>
      </c>
      <c r="AA248" s="65">
        <v>30.0</v>
      </c>
      <c r="AB248" s="66">
        <f>VLOOKUP(A248,ReferenceTables!$BI$2:$CA$254,MATCH(ShopGenerator!$A$2,ReferenceTables!$BI$1:$CA$1,0),0)</f>
        <v>1</v>
      </c>
      <c r="AC248" s="66">
        <f>VLOOKUP(D248,ReferenceTables!$AQ$2:$BE$27,MATCH(ShopGenerator!$A$4,ReferenceTables!$AQ$1:$BE$1,0),0)</f>
        <v>1.5</v>
      </c>
    </row>
    <row r="249">
      <c r="A249" s="67" t="s">
        <v>532</v>
      </c>
      <c r="B249" s="68">
        <f t="shared" si="1"/>
        <v>4.5</v>
      </c>
      <c r="C249" s="67" t="s">
        <v>51</v>
      </c>
      <c r="D249" s="67" t="s">
        <v>58</v>
      </c>
      <c r="E249" s="68">
        <f t="shared" si="20"/>
        <v>2.79</v>
      </c>
      <c r="F249" s="68">
        <f t="shared" si="21"/>
        <v>2.25</v>
      </c>
      <c r="G249" s="68">
        <f t="shared" si="22"/>
        <v>3.645</v>
      </c>
      <c r="H249" s="67" t="s">
        <v>533</v>
      </c>
      <c r="I249" s="67" t="b">
        <v>0</v>
      </c>
      <c r="J249" s="67" t="b">
        <v>0</v>
      </c>
      <c r="K249" s="67" t="b">
        <v>0</v>
      </c>
      <c r="L249" s="67" t="b">
        <v>0</v>
      </c>
      <c r="M249" s="67" t="b">
        <v>0</v>
      </c>
      <c r="N249" s="67" t="b">
        <v>0</v>
      </c>
      <c r="O249" s="67" t="b">
        <v>0</v>
      </c>
      <c r="P249" s="67" t="b">
        <v>0</v>
      </c>
      <c r="Q249" s="67" t="b">
        <v>0</v>
      </c>
      <c r="R249" s="67" t="b">
        <v>0</v>
      </c>
      <c r="S249" s="67" t="b">
        <v>0</v>
      </c>
      <c r="T249" s="67" t="b">
        <v>0</v>
      </c>
      <c r="U249" s="67" t="b">
        <v>0</v>
      </c>
      <c r="V249" s="67" t="b">
        <v>0</v>
      </c>
      <c r="W249" s="67" t="b">
        <v>0</v>
      </c>
      <c r="X249" s="67" t="b">
        <v>0</v>
      </c>
      <c r="Y249" s="67" t="b">
        <v>0</v>
      </c>
      <c r="Z249" s="2">
        <f t="shared" si="24"/>
        <v>0.3793398495</v>
      </c>
      <c r="AA249" s="71">
        <v>3.0</v>
      </c>
      <c r="AB249" s="72">
        <f>VLOOKUP(A249,ReferenceTables!$BI$2:$CA$254,MATCH(ShopGenerator!$A$2,ReferenceTables!$BI$1:$CA$1,0),0)</f>
        <v>1</v>
      </c>
      <c r="AC249" s="72">
        <f>VLOOKUP(D249,ReferenceTables!$AQ$2:$BE$27,MATCH(ShopGenerator!$A$4,ReferenceTables!$AQ$1:$BE$1,0),0)</f>
        <v>1.5</v>
      </c>
    </row>
    <row r="250">
      <c r="A250" s="61" t="s">
        <v>534</v>
      </c>
      <c r="B250" s="62">
        <f t="shared" si="1"/>
        <v>18</v>
      </c>
      <c r="C250" s="61" t="s">
        <v>51</v>
      </c>
      <c r="D250" s="61" t="s">
        <v>58</v>
      </c>
      <c r="E250" s="62">
        <f t="shared" si="20"/>
        <v>11.16</v>
      </c>
      <c r="F250" s="62">
        <f t="shared" si="21"/>
        <v>9</v>
      </c>
      <c r="G250" s="62">
        <f t="shared" si="22"/>
        <v>14.58</v>
      </c>
      <c r="H250" s="61" t="s">
        <v>535</v>
      </c>
      <c r="I250" s="61" t="b">
        <v>0</v>
      </c>
      <c r="J250" s="61" t="b">
        <v>0</v>
      </c>
      <c r="K250" s="61" t="b">
        <v>0</v>
      </c>
      <c r="L250" s="61" t="b">
        <v>0</v>
      </c>
      <c r="M250" s="61" t="b">
        <v>0</v>
      </c>
      <c r="N250" s="61" t="b">
        <v>0</v>
      </c>
      <c r="O250" s="61" t="b">
        <v>0</v>
      </c>
      <c r="P250" s="61" t="b">
        <v>0</v>
      </c>
      <c r="Q250" s="61" t="b">
        <v>0</v>
      </c>
      <c r="R250" s="61" t="b">
        <v>0</v>
      </c>
      <c r="S250" s="61" t="b">
        <v>0</v>
      </c>
      <c r="T250" s="61" t="b">
        <v>0</v>
      </c>
      <c r="U250" s="61" t="b">
        <v>0</v>
      </c>
      <c r="V250" s="61" t="b">
        <v>0</v>
      </c>
      <c r="W250" s="61" t="b">
        <v>0</v>
      </c>
      <c r="X250" s="61" t="b">
        <v>0</v>
      </c>
      <c r="Y250" s="61" t="b">
        <v>0</v>
      </c>
      <c r="Z250" s="2">
        <f t="shared" si="24"/>
        <v>0.6922192586</v>
      </c>
      <c r="AA250" s="65">
        <v>12.0</v>
      </c>
      <c r="AB250" s="66">
        <f>VLOOKUP(A250,ReferenceTables!$BI$2:$CA$254,MATCH(ShopGenerator!$A$2,ReferenceTables!$BI$1:$CA$1,0),0)</f>
        <v>1</v>
      </c>
      <c r="AC250" s="66">
        <f>VLOOKUP(D250,ReferenceTables!$AQ$2:$BE$27,MATCH(ShopGenerator!$A$4,ReferenceTables!$AQ$1:$BE$1,0),0)</f>
        <v>1.5</v>
      </c>
    </row>
    <row r="251">
      <c r="A251" s="67" t="s">
        <v>536</v>
      </c>
      <c r="B251" s="68">
        <f t="shared" si="1"/>
        <v>3</v>
      </c>
      <c r="C251" s="67" t="s">
        <v>43</v>
      </c>
      <c r="D251" s="67" t="s">
        <v>58</v>
      </c>
      <c r="E251" s="68">
        <f t="shared" si="20"/>
        <v>1.86</v>
      </c>
      <c r="F251" s="68">
        <f t="shared" si="21"/>
        <v>1.5</v>
      </c>
      <c r="G251" s="68">
        <f t="shared" si="22"/>
        <v>2.43</v>
      </c>
      <c r="H251" s="67" t="s">
        <v>537</v>
      </c>
      <c r="I251" s="67" t="b">
        <v>0</v>
      </c>
      <c r="J251" s="67" t="b">
        <v>0</v>
      </c>
      <c r="K251" s="67" t="b">
        <v>0</v>
      </c>
      <c r="L251" s="67" t="b">
        <v>0</v>
      </c>
      <c r="M251" s="67" t="b">
        <v>0</v>
      </c>
      <c r="N251" s="67" t="b">
        <v>0</v>
      </c>
      <c r="O251" s="67" t="b">
        <v>0</v>
      </c>
      <c r="P251" s="67" t="b">
        <v>0</v>
      </c>
      <c r="Q251" s="67" t="b">
        <v>0</v>
      </c>
      <c r="R251" s="67" t="b">
        <v>0</v>
      </c>
      <c r="S251" s="67" t="b">
        <v>0</v>
      </c>
      <c r="T251" s="67" t="b">
        <v>0</v>
      </c>
      <c r="U251" s="67" t="b">
        <v>0</v>
      </c>
      <c r="V251" s="67" t="b">
        <v>0</v>
      </c>
      <c r="W251" s="67" t="b">
        <v>0</v>
      </c>
      <c r="X251" s="67" t="b">
        <v>0</v>
      </c>
      <c r="Y251" s="67" t="b">
        <v>0</v>
      </c>
      <c r="Z251" s="2">
        <f t="shared" si="24"/>
        <v>0.1986584262</v>
      </c>
      <c r="AA251" s="71">
        <v>2.0</v>
      </c>
      <c r="AB251" s="72">
        <f>VLOOKUP(A251,ReferenceTables!$BI$2:$CA$254,MATCH(ShopGenerator!$A$2,ReferenceTables!$BI$1:$CA$1,0),0)</f>
        <v>1</v>
      </c>
      <c r="AC251" s="72">
        <f>VLOOKUP(D251,ReferenceTables!$AQ$2:$BE$27,MATCH(ShopGenerator!$A$4,ReferenceTables!$AQ$1:$BE$1,0),0)</f>
        <v>1.5</v>
      </c>
    </row>
    <row r="252">
      <c r="A252" s="61" t="s">
        <v>538</v>
      </c>
      <c r="B252" s="62">
        <f t="shared" si="1"/>
        <v>45</v>
      </c>
      <c r="C252" s="61" t="s">
        <v>43</v>
      </c>
      <c r="D252" s="61" t="s">
        <v>58</v>
      </c>
      <c r="E252" s="62">
        <f t="shared" si="20"/>
        <v>36.9</v>
      </c>
      <c r="F252" s="62">
        <f t="shared" si="21"/>
        <v>22.5</v>
      </c>
      <c r="G252" s="62">
        <f t="shared" si="22"/>
        <v>40.95</v>
      </c>
      <c r="H252" s="61" t="s">
        <v>539</v>
      </c>
      <c r="I252" s="61" t="b">
        <v>0</v>
      </c>
      <c r="J252" s="61" t="b">
        <v>0</v>
      </c>
      <c r="K252" s="61" t="b">
        <v>0</v>
      </c>
      <c r="L252" s="61" t="b">
        <v>0</v>
      </c>
      <c r="M252" s="61" t="b">
        <v>0</v>
      </c>
      <c r="N252" s="61" t="b">
        <v>0</v>
      </c>
      <c r="O252" s="61" t="b">
        <v>0</v>
      </c>
      <c r="P252" s="61" t="b">
        <v>0</v>
      </c>
      <c r="Q252" s="61" t="b">
        <v>0</v>
      </c>
      <c r="R252" s="61" t="b">
        <v>0</v>
      </c>
      <c r="S252" s="61" t="b">
        <v>0</v>
      </c>
      <c r="T252" s="61" t="b">
        <v>0</v>
      </c>
      <c r="U252" s="61" t="b">
        <v>0</v>
      </c>
      <c r="V252" s="61" t="b">
        <v>0</v>
      </c>
      <c r="W252" s="61" t="b">
        <v>0</v>
      </c>
      <c r="X252" s="61" t="b">
        <v>0</v>
      </c>
      <c r="Y252" s="61" t="b">
        <v>0</v>
      </c>
      <c r="Z252" s="2">
        <f t="shared" si="24"/>
        <v>0.5255655573</v>
      </c>
      <c r="AA252" s="65">
        <v>30.0</v>
      </c>
      <c r="AB252" s="66">
        <f>VLOOKUP(A252,ReferenceTables!$BI$2:$CA$254,MATCH(ShopGenerator!$A$2,ReferenceTables!$BI$1:$CA$1,0),0)</f>
        <v>1</v>
      </c>
      <c r="AC252" s="66">
        <f>VLOOKUP(D252,ReferenceTables!$AQ$2:$BE$27,MATCH(ShopGenerator!$A$4,ReferenceTables!$AQ$1:$BE$1,0),0)</f>
        <v>1.5</v>
      </c>
    </row>
    <row r="253">
      <c r="A253" s="67" t="s">
        <v>540</v>
      </c>
      <c r="B253" s="68">
        <f t="shared" si="1"/>
        <v>37.5</v>
      </c>
      <c r="C253" s="67" t="s">
        <v>51</v>
      </c>
      <c r="D253" s="67" t="s">
        <v>58</v>
      </c>
      <c r="E253" s="68">
        <f t="shared" si="20"/>
        <v>30.75</v>
      </c>
      <c r="F253" s="68">
        <f t="shared" si="21"/>
        <v>18.75</v>
      </c>
      <c r="G253" s="68">
        <f t="shared" si="22"/>
        <v>34.125</v>
      </c>
      <c r="H253" s="67" t="s">
        <v>541</v>
      </c>
      <c r="I253" s="67" t="b">
        <v>0</v>
      </c>
      <c r="J253" s="67" t="b">
        <v>0</v>
      </c>
      <c r="K253" s="67" t="b">
        <v>0</v>
      </c>
      <c r="L253" s="67" t="b">
        <v>0</v>
      </c>
      <c r="M253" s="67" t="b">
        <v>0</v>
      </c>
      <c r="N253" s="67" t="b">
        <v>0</v>
      </c>
      <c r="O253" s="67" t="b">
        <v>0</v>
      </c>
      <c r="P253" s="67" t="b">
        <v>0</v>
      </c>
      <c r="Q253" s="67" t="b">
        <v>0</v>
      </c>
      <c r="R253" s="67" t="b">
        <v>0</v>
      </c>
      <c r="S253" s="67" t="b">
        <v>0</v>
      </c>
      <c r="T253" s="67" t="b">
        <v>0</v>
      </c>
      <c r="U253" s="67" t="b">
        <v>0</v>
      </c>
      <c r="V253" s="67" t="b">
        <v>0</v>
      </c>
      <c r="W253" s="67" t="b">
        <v>0</v>
      </c>
      <c r="X253" s="67" t="b">
        <v>0</v>
      </c>
      <c r="Y253" s="67" t="b">
        <v>0</v>
      </c>
      <c r="Z253" s="2">
        <f t="shared" si="24"/>
        <v>0.2651041634</v>
      </c>
      <c r="AA253" s="71">
        <v>25.0</v>
      </c>
      <c r="AB253" s="72">
        <f>VLOOKUP(A253,ReferenceTables!$BI$2:$CA$254,MATCH(ShopGenerator!$A$2,ReferenceTables!$BI$1:$CA$1,0),0)</f>
        <v>1</v>
      </c>
      <c r="AC253" s="72">
        <f>VLOOKUP(D253,ReferenceTables!$AQ$2:$BE$27,MATCH(ShopGenerator!$A$4,ReferenceTables!$AQ$1:$BE$1,0),0)</f>
        <v>1.5</v>
      </c>
    </row>
    <row r="254">
      <c r="A254" s="61" t="s">
        <v>63</v>
      </c>
      <c r="B254" s="62">
        <f t="shared" si="1"/>
        <v>56.25</v>
      </c>
      <c r="C254" s="61" t="s">
        <v>43</v>
      </c>
      <c r="D254" s="61" t="s">
        <v>58</v>
      </c>
      <c r="E254" s="62">
        <f t="shared" si="20"/>
        <v>46.125</v>
      </c>
      <c r="F254" s="62">
        <f t="shared" si="21"/>
        <v>28.125</v>
      </c>
      <c r="G254" s="62">
        <f t="shared" si="22"/>
        <v>51.1875</v>
      </c>
      <c r="H254" s="61" t="s">
        <v>64</v>
      </c>
      <c r="I254" s="61" t="b">
        <v>0</v>
      </c>
      <c r="J254" s="61" t="b">
        <v>1</v>
      </c>
      <c r="K254" s="61" t="b">
        <v>0</v>
      </c>
      <c r="L254" s="61" t="b">
        <v>0</v>
      </c>
      <c r="M254" s="61" t="b">
        <v>0</v>
      </c>
      <c r="N254" s="61" t="b">
        <v>1</v>
      </c>
      <c r="O254" s="61" t="b">
        <v>0</v>
      </c>
      <c r="P254" s="61" t="b">
        <v>0</v>
      </c>
      <c r="Q254" s="61" t="b">
        <v>0</v>
      </c>
      <c r="R254" s="61" t="b">
        <v>0</v>
      </c>
      <c r="S254" s="61" t="b">
        <v>0</v>
      </c>
      <c r="T254" s="61" t="b">
        <v>0</v>
      </c>
      <c r="U254" s="61" t="b">
        <v>0</v>
      </c>
      <c r="V254" s="61" t="b">
        <v>0</v>
      </c>
      <c r="W254" s="61" t="b">
        <v>1</v>
      </c>
      <c r="X254" s="61" t="b">
        <v>0</v>
      </c>
      <c r="Y254" s="61" t="b">
        <v>0</v>
      </c>
      <c r="Z254" s="2">
        <v>0.124587645</v>
      </c>
      <c r="AA254" s="65">
        <v>25.0</v>
      </c>
      <c r="AB254" s="66">
        <f>VLOOKUP(A254,ReferenceTables!$BI$2:$CA$254,MATCH(ShopGenerator!$A$2,ReferenceTables!$BI$1:$CA$1,0),0)</f>
        <v>1.5</v>
      </c>
      <c r="AC254" s="66">
        <f>VLOOKUP(D254,ReferenceTables!$AQ$2:$BE$27,MATCH(ShopGenerator!$A$4,ReferenceTables!$AQ$1:$BE$1,0),0)</f>
        <v>1.5</v>
      </c>
    </row>
    <row r="255">
      <c r="B255" s="41"/>
      <c r="E255" s="41"/>
      <c r="F255" s="41"/>
      <c r="G255" s="41"/>
      <c r="Z255" s="38">
        <f t="shared" ref="Z255:Z1037" si="25">RAND()</f>
        <v>0.6335266517</v>
      </c>
      <c r="AA255" s="74"/>
      <c r="AC255" s="75"/>
    </row>
    <row r="256">
      <c r="B256" s="41"/>
      <c r="E256" s="41"/>
      <c r="F256" s="41"/>
      <c r="G256" s="41"/>
      <c r="Z256" s="38">
        <f t="shared" si="25"/>
        <v>0.5042702103</v>
      </c>
      <c r="AA256" s="74"/>
      <c r="AC256" s="75"/>
    </row>
    <row r="257">
      <c r="B257" s="41"/>
      <c r="E257" s="41"/>
      <c r="F257" s="41"/>
      <c r="G257" s="41"/>
      <c r="Z257" s="38">
        <f t="shared" si="25"/>
        <v>0.2251515009</v>
      </c>
      <c r="AA257" s="74"/>
      <c r="AC257" s="75"/>
    </row>
    <row r="258">
      <c r="B258" s="41"/>
      <c r="E258" s="41"/>
      <c r="F258" s="41"/>
      <c r="G258" s="41"/>
      <c r="Z258" s="38">
        <f t="shared" si="25"/>
        <v>0.1322054352</v>
      </c>
      <c r="AA258" s="74"/>
      <c r="AC258" s="75"/>
    </row>
    <row r="259">
      <c r="B259" s="41"/>
      <c r="E259" s="41"/>
      <c r="F259" s="41"/>
      <c r="G259" s="41"/>
      <c r="Z259" s="38">
        <f t="shared" si="25"/>
        <v>0.1118653975</v>
      </c>
      <c r="AA259" s="74"/>
      <c r="AC259" s="75"/>
    </row>
    <row r="260">
      <c r="B260" s="41"/>
      <c r="E260" s="41"/>
      <c r="F260" s="41"/>
      <c r="G260" s="41"/>
      <c r="Z260" s="38">
        <f t="shared" si="25"/>
        <v>0.3715817333</v>
      </c>
      <c r="AA260" s="74"/>
      <c r="AC260" s="75"/>
    </row>
    <row r="261">
      <c r="B261" s="41"/>
      <c r="E261" s="41"/>
      <c r="F261" s="41"/>
      <c r="G261" s="41"/>
      <c r="Z261" s="38">
        <f t="shared" si="25"/>
        <v>0.1821105286</v>
      </c>
      <c r="AA261" s="74"/>
      <c r="AC261" s="75"/>
    </row>
    <row r="262">
      <c r="B262" s="41"/>
      <c r="E262" s="41"/>
      <c r="F262" s="41"/>
      <c r="G262" s="41"/>
      <c r="Z262" s="38">
        <f t="shared" si="25"/>
        <v>0.6793541001</v>
      </c>
      <c r="AA262" s="74"/>
      <c r="AC262" s="75"/>
    </row>
    <row r="263">
      <c r="B263" s="41"/>
      <c r="E263" s="41"/>
      <c r="F263" s="41"/>
      <c r="G263" s="41"/>
      <c r="Z263" s="38">
        <f t="shared" si="25"/>
        <v>0.7227406751</v>
      </c>
      <c r="AA263" s="74"/>
      <c r="AC263" s="75"/>
    </row>
    <row r="264">
      <c r="B264" s="41"/>
      <c r="E264" s="41"/>
      <c r="F264" s="41"/>
      <c r="G264" s="41"/>
      <c r="Z264" s="38">
        <f t="shared" si="25"/>
        <v>0.0429765679</v>
      </c>
      <c r="AA264" s="74"/>
      <c r="AC264" s="75"/>
    </row>
    <row r="265">
      <c r="B265" s="41"/>
      <c r="E265" s="41"/>
      <c r="F265" s="41"/>
      <c r="G265" s="41"/>
      <c r="Z265" s="38">
        <f t="shared" si="25"/>
        <v>0.6609742664</v>
      </c>
      <c r="AA265" s="74"/>
    </row>
    <row r="266">
      <c r="B266" s="41"/>
      <c r="E266" s="41"/>
      <c r="F266" s="41"/>
      <c r="G266" s="41"/>
      <c r="Z266" s="38">
        <f t="shared" si="25"/>
        <v>0.5332077615</v>
      </c>
      <c r="AA266" s="74"/>
    </row>
    <row r="267">
      <c r="B267" s="41"/>
      <c r="E267" s="41"/>
      <c r="F267" s="41"/>
      <c r="G267" s="41"/>
      <c r="Z267" s="38">
        <f t="shared" si="25"/>
        <v>0.335763022</v>
      </c>
      <c r="AA267" s="74"/>
    </row>
    <row r="268">
      <c r="B268" s="41"/>
      <c r="E268" s="41"/>
      <c r="F268" s="41"/>
      <c r="G268" s="41"/>
      <c r="Z268" s="38">
        <f t="shared" si="25"/>
        <v>0.2184586627</v>
      </c>
      <c r="AA268" s="74"/>
    </row>
    <row r="269">
      <c r="B269" s="41"/>
      <c r="E269" s="41"/>
      <c r="F269" s="41"/>
      <c r="G269" s="41"/>
      <c r="Z269" s="38">
        <f t="shared" si="25"/>
        <v>0.9984562046</v>
      </c>
      <c r="AA269" s="74"/>
    </row>
    <row r="270">
      <c r="B270" s="41"/>
      <c r="E270" s="41"/>
      <c r="F270" s="41"/>
      <c r="G270" s="41"/>
      <c r="Z270" s="38">
        <f t="shared" si="25"/>
        <v>0.6205756537</v>
      </c>
      <c r="AA270" s="74"/>
    </row>
    <row r="271">
      <c r="B271" s="41"/>
      <c r="E271" s="41"/>
      <c r="F271" s="41"/>
      <c r="G271" s="41"/>
      <c r="Z271" s="38">
        <f t="shared" si="25"/>
        <v>0.9570149287</v>
      </c>
      <c r="AA271" s="74"/>
    </row>
    <row r="272">
      <c r="B272" s="41"/>
      <c r="E272" s="41"/>
      <c r="F272" s="41"/>
      <c r="G272" s="41"/>
      <c r="Z272" s="38">
        <f t="shared" si="25"/>
        <v>0.7001066171</v>
      </c>
      <c r="AA272" s="74"/>
    </row>
    <row r="273">
      <c r="B273" s="41"/>
      <c r="E273" s="41"/>
      <c r="F273" s="41"/>
      <c r="G273" s="41"/>
      <c r="Z273" s="38">
        <f t="shared" si="25"/>
        <v>0.01126512425</v>
      </c>
      <c r="AA273" s="74"/>
    </row>
    <row r="274">
      <c r="B274" s="41"/>
      <c r="E274" s="41"/>
      <c r="F274" s="41"/>
      <c r="G274" s="41"/>
      <c r="Z274" s="38">
        <f t="shared" si="25"/>
        <v>0.4287885144</v>
      </c>
      <c r="AA274" s="74"/>
    </row>
    <row r="275">
      <c r="B275" s="41"/>
      <c r="E275" s="41"/>
      <c r="F275" s="41"/>
      <c r="G275" s="41"/>
      <c r="Z275" s="38">
        <f t="shared" si="25"/>
        <v>0.5524054703</v>
      </c>
      <c r="AA275" s="74"/>
    </row>
    <row r="276">
      <c r="B276" s="41"/>
      <c r="E276" s="41"/>
      <c r="F276" s="41"/>
      <c r="G276" s="41"/>
      <c r="Z276" s="38">
        <f t="shared" si="25"/>
        <v>0.06966696992</v>
      </c>
      <c r="AA276" s="74"/>
    </row>
    <row r="277">
      <c r="B277" s="41"/>
      <c r="E277" s="41"/>
      <c r="F277" s="41"/>
      <c r="G277" s="41"/>
      <c r="Z277" s="38">
        <f t="shared" si="25"/>
        <v>0.7199633589</v>
      </c>
      <c r="AA277" s="74"/>
    </row>
    <row r="278">
      <c r="B278" s="41"/>
      <c r="E278" s="41"/>
      <c r="F278" s="41"/>
      <c r="G278" s="41"/>
      <c r="Z278" s="38">
        <f t="shared" si="25"/>
        <v>0.5254804219</v>
      </c>
      <c r="AA278" s="74"/>
    </row>
    <row r="279">
      <c r="B279" s="41"/>
      <c r="E279" s="41"/>
      <c r="F279" s="41"/>
      <c r="G279" s="41"/>
      <c r="Z279" s="38">
        <f t="shared" si="25"/>
        <v>0.2035035103</v>
      </c>
      <c r="AA279" s="74"/>
    </row>
    <row r="280">
      <c r="B280" s="41"/>
      <c r="E280" s="41"/>
      <c r="F280" s="41"/>
      <c r="G280" s="41"/>
      <c r="Z280" s="38">
        <f t="shared" si="25"/>
        <v>0.4214121807</v>
      </c>
      <c r="AA280" s="74"/>
    </row>
    <row r="281">
      <c r="B281" s="41"/>
      <c r="E281" s="41"/>
      <c r="F281" s="41"/>
      <c r="G281" s="41"/>
      <c r="Z281" s="38">
        <f t="shared" si="25"/>
        <v>0.3526455451</v>
      </c>
      <c r="AA281" s="74"/>
    </row>
    <row r="282">
      <c r="B282" s="41"/>
      <c r="E282" s="41"/>
      <c r="F282" s="41"/>
      <c r="G282" s="41"/>
      <c r="Z282" s="38">
        <f t="shared" si="25"/>
        <v>0.7998488706</v>
      </c>
      <c r="AA282" s="74"/>
    </row>
    <row r="283">
      <c r="B283" s="41"/>
      <c r="E283" s="41"/>
      <c r="F283" s="41"/>
      <c r="G283" s="41"/>
      <c r="Z283" s="38">
        <f t="shared" si="25"/>
        <v>0.003472609787</v>
      </c>
      <c r="AA283" s="74"/>
    </row>
    <row r="284">
      <c r="B284" s="41"/>
      <c r="E284" s="41"/>
      <c r="F284" s="41"/>
      <c r="G284" s="41"/>
      <c r="Z284" s="38">
        <f t="shared" si="25"/>
        <v>0.4663333343</v>
      </c>
      <c r="AA284" s="74"/>
    </row>
    <row r="285">
      <c r="B285" s="41"/>
      <c r="E285" s="41"/>
      <c r="F285" s="41"/>
      <c r="G285" s="41"/>
      <c r="Z285" s="38">
        <f t="shared" si="25"/>
        <v>0.956471164</v>
      </c>
      <c r="AA285" s="74"/>
    </row>
    <row r="286">
      <c r="B286" s="41"/>
      <c r="E286" s="41"/>
      <c r="F286" s="41"/>
      <c r="G286" s="41"/>
      <c r="Z286" s="38">
        <f t="shared" si="25"/>
        <v>0.6345304784</v>
      </c>
      <c r="AA286" s="74"/>
    </row>
    <row r="287">
      <c r="B287" s="41"/>
      <c r="E287" s="41"/>
      <c r="F287" s="41"/>
      <c r="G287" s="41"/>
      <c r="Z287" s="38">
        <f t="shared" si="25"/>
        <v>0.04311389951</v>
      </c>
      <c r="AA287" s="74"/>
    </row>
    <row r="288">
      <c r="B288" s="41"/>
      <c r="E288" s="41"/>
      <c r="F288" s="41"/>
      <c r="G288" s="41"/>
      <c r="Z288" s="38">
        <f t="shared" si="25"/>
        <v>0.7739340825</v>
      </c>
      <c r="AA288" s="74"/>
    </row>
    <row r="289">
      <c r="B289" s="41"/>
      <c r="E289" s="41"/>
      <c r="F289" s="41"/>
      <c r="G289" s="41"/>
      <c r="Z289" s="38">
        <f t="shared" si="25"/>
        <v>0.7155923417</v>
      </c>
      <c r="AA289" s="74"/>
    </row>
    <row r="290">
      <c r="B290" s="41"/>
      <c r="E290" s="41"/>
      <c r="F290" s="41"/>
      <c r="G290" s="41"/>
      <c r="Z290" s="38">
        <f t="shared" si="25"/>
        <v>0.6205493206</v>
      </c>
      <c r="AA290" s="74"/>
    </row>
    <row r="291">
      <c r="B291" s="41"/>
      <c r="E291" s="41"/>
      <c r="F291" s="41"/>
      <c r="G291" s="41"/>
      <c r="Z291" s="38">
        <f t="shared" si="25"/>
        <v>0.6856558859</v>
      </c>
      <c r="AA291" s="74"/>
    </row>
    <row r="292">
      <c r="B292" s="41"/>
      <c r="E292" s="41"/>
      <c r="F292" s="41"/>
      <c r="G292" s="41"/>
      <c r="Z292" s="38">
        <f t="shared" si="25"/>
        <v>0.5243364351</v>
      </c>
      <c r="AA292" s="74"/>
    </row>
    <row r="293">
      <c r="B293" s="41"/>
      <c r="E293" s="41"/>
      <c r="F293" s="41"/>
      <c r="G293" s="41"/>
      <c r="Z293" s="38">
        <f t="shared" si="25"/>
        <v>0.2507758239</v>
      </c>
      <c r="AA293" s="74"/>
    </row>
    <row r="294">
      <c r="B294" s="41"/>
      <c r="E294" s="41"/>
      <c r="F294" s="41"/>
      <c r="G294" s="41"/>
      <c r="Z294" s="38">
        <f t="shared" si="25"/>
        <v>0.4873654822</v>
      </c>
      <c r="AA294" s="74"/>
    </row>
    <row r="295">
      <c r="B295" s="41"/>
      <c r="E295" s="41"/>
      <c r="F295" s="41"/>
      <c r="G295" s="41"/>
      <c r="Z295" s="38">
        <f t="shared" si="25"/>
        <v>0.08381265365</v>
      </c>
      <c r="AA295" s="74"/>
    </row>
    <row r="296">
      <c r="B296" s="41"/>
      <c r="E296" s="41"/>
      <c r="F296" s="41"/>
      <c r="G296" s="41"/>
      <c r="Z296" s="38">
        <f t="shared" si="25"/>
        <v>0.9061051718</v>
      </c>
      <c r="AA296" s="74"/>
    </row>
    <row r="297">
      <c r="B297" s="41"/>
      <c r="E297" s="41"/>
      <c r="F297" s="41"/>
      <c r="G297" s="41"/>
      <c r="Z297" s="38">
        <f t="shared" si="25"/>
        <v>0.7590259327</v>
      </c>
      <c r="AA297" s="74"/>
    </row>
    <row r="298">
      <c r="B298" s="41"/>
      <c r="E298" s="41"/>
      <c r="F298" s="41"/>
      <c r="G298" s="41"/>
      <c r="Z298" s="38">
        <f t="shared" si="25"/>
        <v>0.6358719194</v>
      </c>
      <c r="AA298" s="74"/>
    </row>
    <row r="299">
      <c r="B299" s="41"/>
      <c r="E299" s="41"/>
      <c r="F299" s="41"/>
      <c r="G299" s="41"/>
      <c r="Z299" s="38">
        <f t="shared" si="25"/>
        <v>0.5537652883</v>
      </c>
      <c r="AA299" s="74"/>
    </row>
    <row r="300">
      <c r="B300" s="41"/>
      <c r="E300" s="41"/>
      <c r="F300" s="41"/>
      <c r="G300" s="41"/>
      <c r="Z300" s="38">
        <f t="shared" si="25"/>
        <v>0.2141426969</v>
      </c>
      <c r="AA300" s="74"/>
    </row>
    <row r="301">
      <c r="B301" s="41"/>
      <c r="E301" s="41"/>
      <c r="F301" s="41"/>
      <c r="G301" s="41"/>
      <c r="Z301" s="38">
        <f t="shared" si="25"/>
        <v>0.8407736318</v>
      </c>
      <c r="AA301" s="74"/>
    </row>
    <row r="302">
      <c r="B302" s="41"/>
      <c r="E302" s="41"/>
      <c r="F302" s="41"/>
      <c r="G302" s="41"/>
      <c r="Z302" s="38">
        <f t="shared" si="25"/>
        <v>0.03425764619</v>
      </c>
      <c r="AA302" s="74"/>
    </row>
    <row r="303">
      <c r="B303" s="41"/>
      <c r="E303" s="41"/>
      <c r="F303" s="41"/>
      <c r="G303" s="41"/>
      <c r="Z303" s="38">
        <f t="shared" si="25"/>
        <v>0.9881037252</v>
      </c>
      <c r="AA303" s="74"/>
    </row>
    <row r="304">
      <c r="B304" s="41"/>
      <c r="E304" s="41"/>
      <c r="F304" s="41"/>
      <c r="G304" s="41"/>
      <c r="Z304" s="38">
        <f t="shared" si="25"/>
        <v>0.7772014257</v>
      </c>
      <c r="AA304" s="74"/>
    </row>
    <row r="305">
      <c r="B305" s="41"/>
      <c r="E305" s="41"/>
      <c r="F305" s="41"/>
      <c r="G305" s="41"/>
      <c r="Z305" s="38">
        <f t="shared" si="25"/>
        <v>0.2577035963</v>
      </c>
      <c r="AA305" s="74"/>
    </row>
    <row r="306">
      <c r="B306" s="41"/>
      <c r="E306" s="41"/>
      <c r="F306" s="41"/>
      <c r="G306" s="41"/>
      <c r="Z306" s="38">
        <f t="shared" si="25"/>
        <v>0.2649758671</v>
      </c>
      <c r="AA306" s="74"/>
    </row>
    <row r="307">
      <c r="B307" s="41"/>
      <c r="E307" s="41"/>
      <c r="F307" s="41"/>
      <c r="G307" s="41"/>
      <c r="Z307" s="38">
        <f t="shared" si="25"/>
        <v>0.9633991963</v>
      </c>
      <c r="AA307" s="74"/>
    </row>
    <row r="308">
      <c r="B308" s="41"/>
      <c r="E308" s="41"/>
      <c r="F308" s="41"/>
      <c r="G308" s="41"/>
      <c r="Z308" s="38">
        <f t="shared" si="25"/>
        <v>0.07600582913</v>
      </c>
      <c r="AA308" s="74"/>
    </row>
    <row r="309">
      <c r="B309" s="41"/>
      <c r="E309" s="41"/>
      <c r="F309" s="41"/>
      <c r="G309" s="41"/>
      <c r="Z309" s="38">
        <f t="shared" si="25"/>
        <v>0.6660500611</v>
      </c>
      <c r="AA309" s="74"/>
    </row>
    <row r="310">
      <c r="B310" s="41"/>
      <c r="E310" s="41"/>
      <c r="F310" s="41"/>
      <c r="G310" s="41"/>
      <c r="Z310" s="38">
        <f t="shared" si="25"/>
        <v>0.195625827</v>
      </c>
      <c r="AA310" s="74"/>
    </row>
    <row r="311">
      <c r="B311" s="41"/>
      <c r="E311" s="41"/>
      <c r="F311" s="41"/>
      <c r="G311" s="41"/>
      <c r="Z311" s="38">
        <f t="shared" si="25"/>
        <v>0.5779602868</v>
      </c>
      <c r="AA311" s="74"/>
    </row>
    <row r="312">
      <c r="B312" s="41"/>
      <c r="E312" s="41"/>
      <c r="F312" s="41"/>
      <c r="G312" s="41"/>
      <c r="Z312" s="38">
        <f t="shared" si="25"/>
        <v>0.8006726155</v>
      </c>
      <c r="AA312" s="74"/>
    </row>
    <row r="313">
      <c r="B313" s="41"/>
      <c r="E313" s="41"/>
      <c r="F313" s="41"/>
      <c r="G313" s="41"/>
      <c r="Z313" s="38">
        <f t="shared" si="25"/>
        <v>0.5781993999</v>
      </c>
      <c r="AA313" s="74"/>
    </row>
    <row r="314">
      <c r="B314" s="41"/>
      <c r="E314" s="41"/>
      <c r="F314" s="41"/>
      <c r="G314" s="41"/>
      <c r="Z314" s="38">
        <f t="shared" si="25"/>
        <v>0.08737775532</v>
      </c>
      <c r="AA314" s="74"/>
    </row>
    <row r="315">
      <c r="B315" s="41"/>
      <c r="E315" s="41"/>
      <c r="F315" s="41"/>
      <c r="G315" s="41"/>
      <c r="Z315" s="38">
        <f t="shared" si="25"/>
        <v>0.3414584507</v>
      </c>
      <c r="AA315" s="74"/>
    </row>
    <row r="316">
      <c r="B316" s="41"/>
      <c r="E316" s="41"/>
      <c r="F316" s="41"/>
      <c r="G316" s="41"/>
      <c r="Z316" s="38">
        <f t="shared" si="25"/>
        <v>0.1400611558</v>
      </c>
      <c r="AA316" s="74"/>
    </row>
    <row r="317">
      <c r="B317" s="41"/>
      <c r="E317" s="41"/>
      <c r="F317" s="41"/>
      <c r="G317" s="41"/>
      <c r="Z317" s="38">
        <f t="shared" si="25"/>
        <v>0.4196955188</v>
      </c>
      <c r="AA317" s="74"/>
    </row>
    <row r="318">
      <c r="B318" s="41"/>
      <c r="E318" s="41"/>
      <c r="F318" s="41"/>
      <c r="G318" s="41"/>
      <c r="Z318" s="38">
        <f t="shared" si="25"/>
        <v>0.9516398642</v>
      </c>
      <c r="AA318" s="74"/>
    </row>
    <row r="319">
      <c r="B319" s="41"/>
      <c r="E319" s="41"/>
      <c r="F319" s="41"/>
      <c r="G319" s="41"/>
      <c r="Z319" s="38">
        <f t="shared" si="25"/>
        <v>0.630491401</v>
      </c>
      <c r="AA319" s="74"/>
    </row>
    <row r="320">
      <c r="B320" s="41"/>
      <c r="E320" s="41"/>
      <c r="F320" s="41"/>
      <c r="G320" s="41"/>
      <c r="Z320" s="38">
        <f t="shared" si="25"/>
        <v>0.2958834879</v>
      </c>
      <c r="AA320" s="74"/>
    </row>
    <row r="321">
      <c r="B321" s="41"/>
      <c r="E321" s="41"/>
      <c r="F321" s="41"/>
      <c r="G321" s="41"/>
      <c r="Z321" s="38">
        <f t="shared" si="25"/>
        <v>0.5692515975</v>
      </c>
      <c r="AA321" s="74"/>
    </row>
    <row r="322">
      <c r="B322" s="41"/>
      <c r="E322" s="41"/>
      <c r="F322" s="41"/>
      <c r="G322" s="41"/>
      <c r="Z322" s="38">
        <f t="shared" si="25"/>
        <v>0.6189878799</v>
      </c>
      <c r="AA322" s="74"/>
    </row>
    <row r="323">
      <c r="B323" s="41"/>
      <c r="E323" s="41"/>
      <c r="F323" s="41"/>
      <c r="G323" s="41"/>
      <c r="Z323" s="38">
        <f t="shared" si="25"/>
        <v>0.3227859938</v>
      </c>
      <c r="AA323" s="74"/>
    </row>
    <row r="324">
      <c r="B324" s="41"/>
      <c r="E324" s="41"/>
      <c r="F324" s="41"/>
      <c r="G324" s="41"/>
      <c r="Z324" s="38">
        <f t="shared" si="25"/>
        <v>0.07084656657</v>
      </c>
      <c r="AA324" s="74"/>
    </row>
    <row r="325">
      <c r="B325" s="41"/>
      <c r="E325" s="41"/>
      <c r="F325" s="41"/>
      <c r="G325" s="41"/>
      <c r="Z325" s="38">
        <f t="shared" si="25"/>
        <v>0.6961298974</v>
      </c>
      <c r="AA325" s="74"/>
    </row>
    <row r="326">
      <c r="B326" s="41"/>
      <c r="E326" s="41"/>
      <c r="F326" s="41"/>
      <c r="G326" s="41"/>
      <c r="Z326" s="38">
        <f t="shared" si="25"/>
        <v>0.2939465118</v>
      </c>
      <c r="AA326" s="74"/>
    </row>
    <row r="327">
      <c r="B327" s="41"/>
      <c r="E327" s="41"/>
      <c r="F327" s="41"/>
      <c r="G327" s="41"/>
      <c r="Z327" s="38">
        <f t="shared" si="25"/>
        <v>0.2276248011</v>
      </c>
      <c r="AA327" s="74"/>
    </row>
    <row r="328">
      <c r="B328" s="41"/>
      <c r="E328" s="41"/>
      <c r="F328" s="41"/>
      <c r="G328" s="41"/>
      <c r="Z328" s="38">
        <f t="shared" si="25"/>
        <v>0.392796865</v>
      </c>
      <c r="AA328" s="74"/>
    </row>
    <row r="329">
      <c r="B329" s="41"/>
      <c r="E329" s="41"/>
      <c r="F329" s="41"/>
      <c r="G329" s="41"/>
      <c r="Z329" s="38">
        <f t="shared" si="25"/>
        <v>0.5422591002</v>
      </c>
      <c r="AA329" s="74"/>
    </row>
    <row r="330">
      <c r="B330" s="41"/>
      <c r="E330" s="41"/>
      <c r="F330" s="41"/>
      <c r="G330" s="41"/>
      <c r="Z330" s="38">
        <f t="shared" si="25"/>
        <v>0.3350337397</v>
      </c>
      <c r="AA330" s="74"/>
    </row>
    <row r="331">
      <c r="B331" s="41"/>
      <c r="E331" s="41"/>
      <c r="F331" s="41"/>
      <c r="G331" s="41"/>
      <c r="Z331" s="38">
        <f t="shared" si="25"/>
        <v>0.8412132098</v>
      </c>
      <c r="AA331" s="74"/>
    </row>
    <row r="332">
      <c r="B332" s="41"/>
      <c r="E332" s="41"/>
      <c r="F332" s="41"/>
      <c r="G332" s="41"/>
      <c r="Z332" s="38">
        <f t="shared" si="25"/>
        <v>0.8057806165</v>
      </c>
      <c r="AA332" s="74"/>
    </row>
    <row r="333">
      <c r="B333" s="41"/>
      <c r="E333" s="41"/>
      <c r="F333" s="41"/>
      <c r="G333" s="41"/>
      <c r="Z333" s="38">
        <f t="shared" si="25"/>
        <v>0.5357162039</v>
      </c>
      <c r="AA333" s="74"/>
    </row>
    <row r="334">
      <c r="B334" s="41"/>
      <c r="E334" s="41"/>
      <c r="F334" s="41"/>
      <c r="G334" s="41"/>
      <c r="Z334" s="38">
        <f t="shared" si="25"/>
        <v>0.6215483233</v>
      </c>
      <c r="AA334" s="74"/>
    </row>
    <row r="335">
      <c r="B335" s="41"/>
      <c r="E335" s="41"/>
      <c r="F335" s="41"/>
      <c r="G335" s="41"/>
      <c r="Z335" s="38">
        <f t="shared" si="25"/>
        <v>0.7730871579</v>
      </c>
      <c r="AA335" s="74"/>
    </row>
    <row r="336">
      <c r="B336" s="41"/>
      <c r="E336" s="41"/>
      <c r="F336" s="41"/>
      <c r="G336" s="41"/>
      <c r="Z336" s="38">
        <f t="shared" si="25"/>
        <v>0.2841299343</v>
      </c>
      <c r="AA336" s="74"/>
    </row>
    <row r="337">
      <c r="B337" s="41"/>
      <c r="E337" s="41"/>
      <c r="F337" s="41"/>
      <c r="G337" s="41"/>
      <c r="Z337" s="38">
        <f t="shared" si="25"/>
        <v>0.2677080278</v>
      </c>
      <c r="AA337" s="74"/>
    </row>
    <row r="338">
      <c r="B338" s="41"/>
      <c r="E338" s="41"/>
      <c r="F338" s="41"/>
      <c r="G338" s="41"/>
      <c r="Z338" s="38">
        <f t="shared" si="25"/>
        <v>0.1469018469</v>
      </c>
      <c r="AA338" s="74"/>
    </row>
    <row r="339">
      <c r="B339" s="41"/>
      <c r="E339" s="41"/>
      <c r="F339" s="41"/>
      <c r="G339" s="41"/>
      <c r="Z339" s="38">
        <f t="shared" si="25"/>
        <v>0.9132941486</v>
      </c>
      <c r="AA339" s="74"/>
    </row>
    <row r="340">
      <c r="B340" s="41"/>
      <c r="E340" s="41"/>
      <c r="F340" s="41"/>
      <c r="G340" s="41"/>
      <c r="Z340" s="38">
        <f t="shared" si="25"/>
        <v>0.2071296736</v>
      </c>
      <c r="AA340" s="74"/>
    </row>
    <row r="341">
      <c r="B341" s="41"/>
      <c r="E341" s="41"/>
      <c r="F341" s="41"/>
      <c r="G341" s="41"/>
      <c r="Z341" s="38">
        <f t="shared" si="25"/>
        <v>0.9169452917</v>
      </c>
      <c r="AA341" s="74"/>
    </row>
    <row r="342">
      <c r="B342" s="41"/>
      <c r="E342" s="41"/>
      <c r="F342" s="41"/>
      <c r="G342" s="41"/>
      <c r="Z342" s="38">
        <f t="shared" si="25"/>
        <v>0.4128663922</v>
      </c>
      <c r="AA342" s="74"/>
    </row>
    <row r="343">
      <c r="B343" s="41"/>
      <c r="E343" s="41"/>
      <c r="F343" s="41"/>
      <c r="G343" s="41"/>
      <c r="Z343" s="38">
        <f t="shared" si="25"/>
        <v>0.03996273285</v>
      </c>
      <c r="AA343" s="74"/>
    </row>
    <row r="344">
      <c r="B344" s="41"/>
      <c r="E344" s="41"/>
      <c r="F344" s="41"/>
      <c r="G344" s="41"/>
      <c r="Z344" s="38">
        <f t="shared" si="25"/>
        <v>0.969514902</v>
      </c>
      <c r="AA344" s="74"/>
    </row>
    <row r="345">
      <c r="B345" s="41"/>
      <c r="E345" s="41"/>
      <c r="F345" s="41"/>
      <c r="G345" s="41"/>
      <c r="Z345" s="38">
        <f t="shared" si="25"/>
        <v>0.1633096699</v>
      </c>
      <c r="AA345" s="74"/>
    </row>
    <row r="346">
      <c r="B346" s="41"/>
      <c r="E346" s="41"/>
      <c r="F346" s="41"/>
      <c r="G346" s="41"/>
      <c r="Z346" s="38">
        <f t="shared" si="25"/>
        <v>0.789929512</v>
      </c>
      <c r="AA346" s="74"/>
    </row>
    <row r="347">
      <c r="B347" s="41"/>
      <c r="E347" s="41"/>
      <c r="F347" s="41"/>
      <c r="G347" s="41"/>
      <c r="Z347" s="38">
        <f t="shared" si="25"/>
        <v>0.1030092222</v>
      </c>
      <c r="AA347" s="74"/>
    </row>
    <row r="348">
      <c r="B348" s="41"/>
      <c r="E348" s="41"/>
      <c r="F348" s="41"/>
      <c r="G348" s="41"/>
      <c r="Z348" s="38">
        <f t="shared" si="25"/>
        <v>0.4969950195</v>
      </c>
      <c r="AA348" s="74"/>
    </row>
    <row r="349">
      <c r="B349" s="41"/>
      <c r="E349" s="41"/>
      <c r="F349" s="41"/>
      <c r="G349" s="41"/>
      <c r="Z349" s="38">
        <f t="shared" si="25"/>
        <v>0.9969725175</v>
      </c>
      <c r="AA349" s="74"/>
    </row>
    <row r="350">
      <c r="B350" s="41"/>
      <c r="E350" s="41"/>
      <c r="F350" s="41"/>
      <c r="G350" s="41"/>
      <c r="Z350" s="38">
        <f t="shared" si="25"/>
        <v>0.2560186897</v>
      </c>
      <c r="AA350" s="74"/>
    </row>
    <row r="351">
      <c r="B351" s="41"/>
      <c r="E351" s="41"/>
      <c r="F351" s="41"/>
      <c r="G351" s="41"/>
      <c r="Z351" s="38">
        <f t="shared" si="25"/>
        <v>0.8621121723</v>
      </c>
      <c r="AA351" s="74"/>
    </row>
    <row r="352">
      <c r="B352" s="41"/>
      <c r="E352" s="41"/>
      <c r="F352" s="41"/>
      <c r="G352" s="41"/>
      <c r="Z352" s="38">
        <f t="shared" si="25"/>
        <v>0.8861951982</v>
      </c>
      <c r="AA352" s="74"/>
    </row>
    <row r="353">
      <c r="B353" s="41"/>
      <c r="E353" s="41"/>
      <c r="F353" s="41"/>
      <c r="G353" s="41"/>
      <c r="Z353" s="38">
        <f t="shared" si="25"/>
        <v>0.09963127507</v>
      </c>
      <c r="AA353" s="74"/>
    </row>
    <row r="354">
      <c r="B354" s="41"/>
      <c r="E354" s="41"/>
      <c r="F354" s="41"/>
      <c r="G354" s="41"/>
      <c r="Z354" s="38">
        <f t="shared" si="25"/>
        <v>0.82917732</v>
      </c>
      <c r="AA354" s="74"/>
    </row>
    <row r="355">
      <c r="B355" s="41"/>
      <c r="E355" s="41"/>
      <c r="F355" s="41"/>
      <c r="G355" s="41"/>
      <c r="Z355" s="38">
        <f t="shared" si="25"/>
        <v>0.9057191758</v>
      </c>
      <c r="AA355" s="74"/>
    </row>
    <row r="356">
      <c r="B356" s="41"/>
      <c r="E356" s="41"/>
      <c r="F356" s="41"/>
      <c r="G356" s="41"/>
      <c r="Z356" s="38">
        <f t="shared" si="25"/>
        <v>0.4948511264</v>
      </c>
      <c r="AA356" s="74"/>
    </row>
    <row r="357">
      <c r="B357" s="41"/>
      <c r="E357" s="41"/>
      <c r="F357" s="41"/>
      <c r="G357" s="41"/>
      <c r="Z357" s="38">
        <f t="shared" si="25"/>
        <v>0.1512878032</v>
      </c>
      <c r="AA357" s="74"/>
    </row>
    <row r="358">
      <c r="B358" s="41"/>
      <c r="E358" s="41"/>
      <c r="F358" s="41"/>
      <c r="G358" s="41"/>
      <c r="Z358" s="38">
        <f t="shared" si="25"/>
        <v>0.5693447897</v>
      </c>
      <c r="AA358" s="74"/>
    </row>
    <row r="359">
      <c r="B359" s="41"/>
      <c r="E359" s="41"/>
      <c r="F359" s="41"/>
      <c r="G359" s="41"/>
      <c r="Z359" s="38">
        <f t="shared" si="25"/>
        <v>0.3327320988</v>
      </c>
      <c r="AA359" s="74"/>
    </row>
    <row r="360">
      <c r="B360" s="41"/>
      <c r="E360" s="41"/>
      <c r="F360" s="41"/>
      <c r="G360" s="41"/>
      <c r="Z360" s="38">
        <f t="shared" si="25"/>
        <v>0.07078883233</v>
      </c>
      <c r="AA360" s="74"/>
    </row>
    <row r="361">
      <c r="B361" s="41"/>
      <c r="E361" s="41"/>
      <c r="F361" s="41"/>
      <c r="G361" s="41"/>
      <c r="Z361" s="38">
        <f t="shared" si="25"/>
        <v>0.4990005424</v>
      </c>
      <c r="AA361" s="74"/>
    </row>
    <row r="362">
      <c r="B362" s="41"/>
      <c r="E362" s="41"/>
      <c r="F362" s="41"/>
      <c r="G362" s="41"/>
      <c r="Z362" s="38">
        <f t="shared" si="25"/>
        <v>0.240213952</v>
      </c>
      <c r="AA362" s="74"/>
    </row>
    <row r="363">
      <c r="B363" s="41"/>
      <c r="E363" s="41"/>
      <c r="F363" s="41"/>
      <c r="G363" s="41"/>
      <c r="Z363" s="38">
        <f t="shared" si="25"/>
        <v>0.5396508693</v>
      </c>
      <c r="AA363" s="74"/>
    </row>
    <row r="364">
      <c r="B364" s="41"/>
      <c r="E364" s="41"/>
      <c r="F364" s="41"/>
      <c r="G364" s="41"/>
      <c r="Z364" s="38">
        <f t="shared" si="25"/>
        <v>0.9271664393</v>
      </c>
      <c r="AA364" s="74"/>
    </row>
    <row r="365">
      <c r="B365" s="41"/>
      <c r="E365" s="41"/>
      <c r="F365" s="41"/>
      <c r="G365" s="41"/>
      <c r="Z365" s="38">
        <f t="shared" si="25"/>
        <v>0.1133000544</v>
      </c>
      <c r="AA365" s="74"/>
    </row>
    <row r="366">
      <c r="B366" s="41"/>
      <c r="E366" s="41"/>
      <c r="F366" s="41"/>
      <c r="G366" s="41"/>
      <c r="Z366" s="38">
        <f t="shared" si="25"/>
        <v>0.5942084913</v>
      </c>
      <c r="AA366" s="74"/>
    </row>
    <row r="367">
      <c r="B367" s="41"/>
      <c r="E367" s="41"/>
      <c r="F367" s="41"/>
      <c r="G367" s="41"/>
      <c r="Z367" s="38">
        <f t="shared" si="25"/>
        <v>0.6233374395</v>
      </c>
      <c r="AA367" s="74"/>
    </row>
    <row r="368">
      <c r="B368" s="41"/>
      <c r="E368" s="41"/>
      <c r="F368" s="41"/>
      <c r="G368" s="41"/>
      <c r="Z368" s="38">
        <f t="shared" si="25"/>
        <v>0.7466495739</v>
      </c>
      <c r="AA368" s="74"/>
    </row>
    <row r="369">
      <c r="B369" s="41"/>
      <c r="E369" s="41"/>
      <c r="F369" s="41"/>
      <c r="G369" s="41"/>
      <c r="Z369" s="38">
        <f t="shared" si="25"/>
        <v>0.6534655238</v>
      </c>
      <c r="AA369" s="74"/>
    </row>
    <row r="370">
      <c r="B370" s="41"/>
      <c r="E370" s="41"/>
      <c r="F370" s="41"/>
      <c r="G370" s="41"/>
      <c r="Z370" s="38">
        <f t="shared" si="25"/>
        <v>0.7719444797</v>
      </c>
      <c r="AA370" s="74"/>
    </row>
    <row r="371">
      <c r="B371" s="41"/>
      <c r="E371" s="41"/>
      <c r="F371" s="41"/>
      <c r="G371" s="41"/>
      <c r="Z371" s="38">
        <f t="shared" si="25"/>
        <v>0.8831960832</v>
      </c>
      <c r="AA371" s="74"/>
    </row>
    <row r="372">
      <c r="B372" s="41"/>
      <c r="E372" s="41"/>
      <c r="F372" s="41"/>
      <c r="G372" s="41"/>
      <c r="Z372" s="38">
        <f t="shared" si="25"/>
        <v>0.3286382215</v>
      </c>
      <c r="AA372" s="74"/>
    </row>
    <row r="373">
      <c r="B373" s="41"/>
      <c r="E373" s="41"/>
      <c r="F373" s="41"/>
      <c r="G373" s="41"/>
      <c r="Z373" s="38">
        <f t="shared" si="25"/>
        <v>0.7646176153</v>
      </c>
      <c r="AA373" s="74"/>
    </row>
    <row r="374">
      <c r="B374" s="41"/>
      <c r="E374" s="41"/>
      <c r="F374" s="41"/>
      <c r="G374" s="41"/>
      <c r="Z374" s="38">
        <f t="shared" si="25"/>
        <v>0.4921094806</v>
      </c>
      <c r="AA374" s="74"/>
    </row>
    <row r="375">
      <c r="B375" s="41"/>
      <c r="E375" s="41"/>
      <c r="F375" s="41"/>
      <c r="G375" s="41"/>
      <c r="Z375" s="38">
        <f t="shared" si="25"/>
        <v>0.7864469454</v>
      </c>
      <c r="AA375" s="74"/>
    </row>
    <row r="376">
      <c r="B376" s="41"/>
      <c r="E376" s="41"/>
      <c r="F376" s="41"/>
      <c r="G376" s="41"/>
      <c r="Z376" s="38">
        <f t="shared" si="25"/>
        <v>0.4813577569</v>
      </c>
      <c r="AA376" s="74"/>
    </row>
    <row r="377">
      <c r="B377" s="41"/>
      <c r="E377" s="41"/>
      <c r="F377" s="41"/>
      <c r="G377" s="41"/>
      <c r="Z377" s="38">
        <f t="shared" si="25"/>
        <v>0.4375907298</v>
      </c>
      <c r="AA377" s="74"/>
    </row>
    <row r="378">
      <c r="B378" s="41"/>
      <c r="E378" s="41"/>
      <c r="F378" s="41"/>
      <c r="G378" s="41"/>
      <c r="Z378" s="38">
        <f t="shared" si="25"/>
        <v>0.548513333</v>
      </c>
      <c r="AA378" s="74"/>
    </row>
    <row r="379">
      <c r="B379" s="41"/>
      <c r="E379" s="41"/>
      <c r="F379" s="41"/>
      <c r="G379" s="41"/>
      <c r="Z379" s="38">
        <f t="shared" si="25"/>
        <v>0.5463045192</v>
      </c>
      <c r="AA379" s="74"/>
    </row>
    <row r="380">
      <c r="B380" s="41"/>
      <c r="E380" s="41"/>
      <c r="F380" s="41"/>
      <c r="G380" s="41"/>
      <c r="Z380" s="38">
        <f t="shared" si="25"/>
        <v>0.3045719662</v>
      </c>
      <c r="AA380" s="74"/>
    </row>
    <row r="381">
      <c r="B381" s="41"/>
      <c r="E381" s="41"/>
      <c r="F381" s="41"/>
      <c r="G381" s="41"/>
      <c r="Z381" s="38">
        <f t="shared" si="25"/>
        <v>0.3768056135</v>
      </c>
      <c r="AA381" s="74"/>
    </row>
    <row r="382">
      <c r="B382" s="41"/>
      <c r="E382" s="41"/>
      <c r="F382" s="41"/>
      <c r="G382" s="41"/>
      <c r="Z382" s="38">
        <f t="shared" si="25"/>
        <v>0.6281354582</v>
      </c>
      <c r="AA382" s="74"/>
    </row>
    <row r="383">
      <c r="B383" s="41"/>
      <c r="E383" s="41"/>
      <c r="F383" s="41"/>
      <c r="G383" s="41"/>
      <c r="Z383" s="38">
        <f t="shared" si="25"/>
        <v>0.1552539852</v>
      </c>
      <c r="AA383" s="74"/>
    </row>
    <row r="384">
      <c r="B384" s="41"/>
      <c r="E384" s="41"/>
      <c r="F384" s="41"/>
      <c r="G384" s="41"/>
      <c r="Z384" s="38">
        <f t="shared" si="25"/>
        <v>0.3088716597</v>
      </c>
      <c r="AA384" s="74"/>
    </row>
    <row r="385">
      <c r="B385" s="41"/>
      <c r="E385" s="41"/>
      <c r="F385" s="41"/>
      <c r="G385" s="41"/>
      <c r="Z385" s="38">
        <f t="shared" si="25"/>
        <v>0.84187111</v>
      </c>
      <c r="AA385" s="74"/>
    </row>
    <row r="386">
      <c r="B386" s="41"/>
      <c r="E386" s="41"/>
      <c r="F386" s="41"/>
      <c r="G386" s="41"/>
      <c r="Z386" s="38">
        <f t="shared" si="25"/>
        <v>0.617313103</v>
      </c>
      <c r="AA386" s="74"/>
    </row>
    <row r="387">
      <c r="B387" s="41"/>
      <c r="E387" s="41"/>
      <c r="F387" s="41"/>
      <c r="G387" s="41"/>
      <c r="Z387" s="38">
        <f t="shared" si="25"/>
        <v>0.314252304</v>
      </c>
      <c r="AA387" s="74"/>
    </row>
    <row r="388">
      <c r="B388" s="41"/>
      <c r="E388" s="41"/>
      <c r="F388" s="41"/>
      <c r="G388" s="41"/>
      <c r="Z388" s="38">
        <f t="shared" si="25"/>
        <v>0.1739374764</v>
      </c>
      <c r="AA388" s="74"/>
    </row>
    <row r="389">
      <c r="B389" s="41"/>
      <c r="E389" s="41"/>
      <c r="F389" s="41"/>
      <c r="G389" s="41"/>
      <c r="Z389" s="38">
        <f t="shared" si="25"/>
        <v>0.3554016463</v>
      </c>
      <c r="AA389" s="74"/>
    </row>
    <row r="390">
      <c r="B390" s="41"/>
      <c r="E390" s="41"/>
      <c r="F390" s="41"/>
      <c r="G390" s="41"/>
      <c r="Z390" s="38">
        <f t="shared" si="25"/>
        <v>0.3727857033</v>
      </c>
      <c r="AA390" s="74"/>
    </row>
    <row r="391">
      <c r="B391" s="41"/>
      <c r="E391" s="41"/>
      <c r="F391" s="41"/>
      <c r="G391" s="41"/>
      <c r="Z391" s="38">
        <f t="shared" si="25"/>
        <v>0.2035631038</v>
      </c>
      <c r="AA391" s="74"/>
    </row>
    <row r="392">
      <c r="B392" s="41"/>
      <c r="E392" s="41"/>
      <c r="F392" s="41"/>
      <c r="G392" s="41"/>
      <c r="Z392" s="38">
        <f t="shared" si="25"/>
        <v>0.4608707737</v>
      </c>
      <c r="AA392" s="74"/>
    </row>
    <row r="393">
      <c r="B393" s="41"/>
      <c r="E393" s="41"/>
      <c r="F393" s="41"/>
      <c r="G393" s="41"/>
      <c r="Z393" s="38">
        <f t="shared" si="25"/>
        <v>0.002544767576</v>
      </c>
      <c r="AA393" s="74"/>
    </row>
    <row r="394">
      <c r="B394" s="41"/>
      <c r="E394" s="41"/>
      <c r="F394" s="41"/>
      <c r="G394" s="41"/>
      <c r="Z394" s="38">
        <f t="shared" si="25"/>
        <v>0.4001308678</v>
      </c>
      <c r="AA394" s="74"/>
    </row>
    <row r="395">
      <c r="B395" s="41"/>
      <c r="E395" s="41"/>
      <c r="F395" s="41"/>
      <c r="G395" s="41"/>
      <c r="Z395" s="38">
        <f t="shared" si="25"/>
        <v>0.4520672366</v>
      </c>
      <c r="AA395" s="74"/>
    </row>
    <row r="396">
      <c r="B396" s="41"/>
      <c r="E396" s="41"/>
      <c r="F396" s="41"/>
      <c r="G396" s="41"/>
      <c r="Z396" s="38">
        <f t="shared" si="25"/>
        <v>0.2626321964</v>
      </c>
      <c r="AA396" s="74"/>
    </row>
    <row r="397">
      <c r="B397" s="41"/>
      <c r="E397" s="41"/>
      <c r="F397" s="41"/>
      <c r="G397" s="41"/>
      <c r="Z397" s="38">
        <f t="shared" si="25"/>
        <v>0.7869710249</v>
      </c>
      <c r="AA397" s="74"/>
    </row>
    <row r="398">
      <c r="B398" s="41"/>
      <c r="E398" s="41"/>
      <c r="F398" s="41"/>
      <c r="G398" s="41"/>
      <c r="Z398" s="38">
        <f t="shared" si="25"/>
        <v>0.004197510143</v>
      </c>
      <c r="AA398" s="74"/>
    </row>
    <row r="399">
      <c r="B399" s="41"/>
      <c r="E399" s="41"/>
      <c r="F399" s="41"/>
      <c r="G399" s="41"/>
      <c r="Z399" s="38">
        <f t="shared" si="25"/>
        <v>0.9792742267</v>
      </c>
      <c r="AA399" s="74"/>
    </row>
    <row r="400">
      <c r="B400" s="41"/>
      <c r="E400" s="41"/>
      <c r="F400" s="41"/>
      <c r="G400" s="41"/>
      <c r="Z400" s="38">
        <f t="shared" si="25"/>
        <v>0.6018221589</v>
      </c>
      <c r="AA400" s="74"/>
    </row>
    <row r="401">
      <c r="B401" s="41"/>
      <c r="E401" s="41"/>
      <c r="F401" s="41"/>
      <c r="G401" s="41"/>
      <c r="Z401" s="38">
        <f t="shared" si="25"/>
        <v>0.6535860573</v>
      </c>
      <c r="AA401" s="74"/>
    </row>
    <row r="402">
      <c r="B402" s="41"/>
      <c r="E402" s="41"/>
      <c r="F402" s="41"/>
      <c r="G402" s="41"/>
      <c r="Z402" s="38">
        <f t="shared" si="25"/>
        <v>0.2544625241</v>
      </c>
      <c r="AA402" s="74"/>
    </row>
    <row r="403">
      <c r="B403" s="41"/>
      <c r="E403" s="41"/>
      <c r="F403" s="41"/>
      <c r="G403" s="41"/>
      <c r="Z403" s="38">
        <f t="shared" si="25"/>
        <v>0.6078919601</v>
      </c>
      <c r="AA403" s="74"/>
    </row>
    <row r="404">
      <c r="B404" s="41"/>
      <c r="E404" s="41"/>
      <c r="F404" s="41"/>
      <c r="G404" s="41"/>
      <c r="Z404" s="38">
        <f t="shared" si="25"/>
        <v>0.3664834884</v>
      </c>
      <c r="AA404" s="74"/>
    </row>
    <row r="405">
      <c r="B405" s="41"/>
      <c r="E405" s="41"/>
      <c r="F405" s="41"/>
      <c r="G405" s="41"/>
      <c r="Z405" s="38">
        <f t="shared" si="25"/>
        <v>0.3399828723</v>
      </c>
      <c r="AA405" s="74"/>
    </row>
    <row r="406">
      <c r="B406" s="41"/>
      <c r="E406" s="41"/>
      <c r="F406" s="41"/>
      <c r="G406" s="41"/>
      <c r="Z406" s="38">
        <f t="shared" si="25"/>
        <v>0.5428067108</v>
      </c>
      <c r="AA406" s="74"/>
    </row>
    <row r="407">
      <c r="B407" s="41"/>
      <c r="E407" s="41"/>
      <c r="F407" s="41"/>
      <c r="G407" s="41"/>
      <c r="Z407" s="38">
        <f t="shared" si="25"/>
        <v>0.4746952487</v>
      </c>
      <c r="AA407" s="74"/>
    </row>
    <row r="408">
      <c r="B408" s="41"/>
      <c r="E408" s="41"/>
      <c r="F408" s="41"/>
      <c r="G408" s="41"/>
      <c r="Z408" s="38">
        <f t="shared" si="25"/>
        <v>0.7123013261</v>
      </c>
      <c r="AA408" s="74"/>
    </row>
    <row r="409">
      <c r="B409" s="41"/>
      <c r="E409" s="41"/>
      <c r="F409" s="41"/>
      <c r="G409" s="41"/>
      <c r="Z409" s="38">
        <f t="shared" si="25"/>
        <v>0.1766598886</v>
      </c>
      <c r="AA409" s="74"/>
    </row>
    <row r="410">
      <c r="B410" s="41"/>
      <c r="E410" s="41"/>
      <c r="F410" s="41"/>
      <c r="G410" s="41"/>
      <c r="Z410" s="38">
        <f t="shared" si="25"/>
        <v>0.6020273253</v>
      </c>
      <c r="AA410" s="74"/>
    </row>
    <row r="411">
      <c r="B411" s="41"/>
      <c r="E411" s="41"/>
      <c r="F411" s="41"/>
      <c r="G411" s="41"/>
      <c r="Z411" s="38">
        <f t="shared" si="25"/>
        <v>0.303566498</v>
      </c>
      <c r="AA411" s="74"/>
    </row>
    <row r="412">
      <c r="B412" s="41"/>
      <c r="E412" s="41"/>
      <c r="F412" s="41"/>
      <c r="G412" s="41"/>
      <c r="Z412" s="38">
        <f t="shared" si="25"/>
        <v>0.1535208325</v>
      </c>
      <c r="AA412" s="74"/>
    </row>
    <row r="413">
      <c r="B413" s="41"/>
      <c r="E413" s="41"/>
      <c r="F413" s="41"/>
      <c r="G413" s="41"/>
      <c r="Z413" s="38">
        <f t="shared" si="25"/>
        <v>0.3202881497</v>
      </c>
      <c r="AA413" s="74"/>
    </row>
    <row r="414">
      <c r="B414" s="41"/>
      <c r="E414" s="41"/>
      <c r="F414" s="41"/>
      <c r="G414" s="41"/>
      <c r="Z414" s="38">
        <f t="shared" si="25"/>
        <v>0.6004735947</v>
      </c>
      <c r="AA414" s="74"/>
    </row>
    <row r="415">
      <c r="B415" s="41"/>
      <c r="E415" s="41"/>
      <c r="F415" s="41"/>
      <c r="G415" s="41"/>
      <c r="Z415" s="38">
        <f t="shared" si="25"/>
        <v>0.5469646558</v>
      </c>
      <c r="AA415" s="74"/>
    </row>
    <row r="416">
      <c r="B416" s="41"/>
      <c r="E416" s="41"/>
      <c r="F416" s="41"/>
      <c r="G416" s="41"/>
      <c r="Z416" s="38">
        <f t="shared" si="25"/>
        <v>0.01509865792</v>
      </c>
      <c r="AA416" s="74"/>
    </row>
    <row r="417">
      <c r="B417" s="41"/>
      <c r="E417" s="41"/>
      <c r="F417" s="41"/>
      <c r="G417" s="41"/>
      <c r="Z417" s="38">
        <f t="shared" si="25"/>
        <v>0.6748189058</v>
      </c>
      <c r="AA417" s="74"/>
    </row>
    <row r="418">
      <c r="B418" s="41"/>
      <c r="E418" s="41"/>
      <c r="F418" s="41"/>
      <c r="G418" s="41"/>
      <c r="Z418" s="38">
        <f t="shared" si="25"/>
        <v>0.3315129543</v>
      </c>
      <c r="AA418" s="74"/>
    </row>
    <row r="419">
      <c r="B419" s="41"/>
      <c r="E419" s="41"/>
      <c r="F419" s="41"/>
      <c r="G419" s="41"/>
      <c r="Z419" s="38">
        <f t="shared" si="25"/>
        <v>0.2507112114</v>
      </c>
      <c r="AA419" s="74"/>
    </row>
    <row r="420">
      <c r="B420" s="41"/>
      <c r="E420" s="41"/>
      <c r="F420" s="41"/>
      <c r="G420" s="41"/>
      <c r="Z420" s="38">
        <f t="shared" si="25"/>
        <v>0.5250492634</v>
      </c>
      <c r="AA420" s="74"/>
    </row>
    <row r="421">
      <c r="B421" s="41"/>
      <c r="E421" s="41"/>
      <c r="F421" s="41"/>
      <c r="G421" s="41"/>
      <c r="Z421" s="38">
        <f t="shared" si="25"/>
        <v>0.9319810492</v>
      </c>
      <c r="AA421" s="74"/>
    </row>
    <row r="422">
      <c r="B422" s="41"/>
      <c r="E422" s="41"/>
      <c r="F422" s="41"/>
      <c r="G422" s="41"/>
      <c r="Z422" s="38">
        <f t="shared" si="25"/>
        <v>0.576105268</v>
      </c>
      <c r="AA422" s="74"/>
    </row>
    <row r="423">
      <c r="B423" s="41"/>
      <c r="E423" s="41"/>
      <c r="F423" s="41"/>
      <c r="G423" s="41"/>
      <c r="Z423" s="38">
        <f t="shared" si="25"/>
        <v>0.2518651932</v>
      </c>
      <c r="AA423" s="74"/>
    </row>
    <row r="424">
      <c r="B424" s="41"/>
      <c r="E424" s="41"/>
      <c r="F424" s="41"/>
      <c r="G424" s="41"/>
      <c r="Z424" s="38">
        <f t="shared" si="25"/>
        <v>0.588642726</v>
      </c>
      <c r="AA424" s="74"/>
    </row>
    <row r="425">
      <c r="B425" s="41"/>
      <c r="E425" s="41"/>
      <c r="F425" s="41"/>
      <c r="G425" s="41"/>
      <c r="Z425" s="38">
        <f t="shared" si="25"/>
        <v>0.7457244786</v>
      </c>
      <c r="AA425" s="74"/>
    </row>
    <row r="426">
      <c r="B426" s="41"/>
      <c r="E426" s="41"/>
      <c r="F426" s="41"/>
      <c r="G426" s="41"/>
      <c r="Z426" s="38">
        <f t="shared" si="25"/>
        <v>0.4325830845</v>
      </c>
      <c r="AA426" s="74"/>
    </row>
    <row r="427">
      <c r="B427" s="41"/>
      <c r="E427" s="41"/>
      <c r="F427" s="41"/>
      <c r="G427" s="41"/>
      <c r="Z427" s="38">
        <f t="shared" si="25"/>
        <v>0.9805914442</v>
      </c>
      <c r="AA427" s="74"/>
    </row>
    <row r="428">
      <c r="B428" s="41"/>
      <c r="E428" s="41"/>
      <c r="F428" s="41"/>
      <c r="G428" s="41"/>
      <c r="Z428" s="38">
        <f t="shared" si="25"/>
        <v>0.2050555055</v>
      </c>
      <c r="AA428" s="74"/>
    </row>
    <row r="429">
      <c r="B429" s="41"/>
      <c r="E429" s="41"/>
      <c r="F429" s="41"/>
      <c r="G429" s="41"/>
      <c r="Z429" s="38">
        <f t="shared" si="25"/>
        <v>0.04442502828</v>
      </c>
      <c r="AA429" s="74"/>
    </row>
    <row r="430">
      <c r="B430" s="41"/>
      <c r="E430" s="41"/>
      <c r="F430" s="41"/>
      <c r="G430" s="41"/>
      <c r="Z430" s="38">
        <f t="shared" si="25"/>
        <v>0.7798060677</v>
      </c>
      <c r="AA430" s="74"/>
    </row>
    <row r="431">
      <c r="B431" s="41"/>
      <c r="E431" s="41"/>
      <c r="F431" s="41"/>
      <c r="G431" s="41"/>
      <c r="Z431" s="38">
        <f t="shared" si="25"/>
        <v>0.7043098067</v>
      </c>
      <c r="AA431" s="74"/>
    </row>
    <row r="432">
      <c r="B432" s="41"/>
      <c r="E432" s="41"/>
      <c r="F432" s="41"/>
      <c r="G432" s="41"/>
      <c r="Z432" s="38">
        <f t="shared" si="25"/>
        <v>0.5622718669</v>
      </c>
      <c r="AA432" s="74"/>
    </row>
    <row r="433">
      <c r="B433" s="41"/>
      <c r="E433" s="41"/>
      <c r="F433" s="41"/>
      <c r="G433" s="41"/>
      <c r="Z433" s="38">
        <f t="shared" si="25"/>
        <v>0.8801728259</v>
      </c>
      <c r="AA433" s="74"/>
    </row>
    <row r="434">
      <c r="B434" s="41"/>
      <c r="E434" s="41"/>
      <c r="F434" s="41"/>
      <c r="G434" s="41"/>
      <c r="Z434" s="38">
        <f t="shared" si="25"/>
        <v>0.06817822728</v>
      </c>
      <c r="AA434" s="74"/>
    </row>
    <row r="435">
      <c r="B435" s="41"/>
      <c r="E435" s="41"/>
      <c r="F435" s="41"/>
      <c r="G435" s="41"/>
      <c r="Z435" s="38">
        <f t="shared" si="25"/>
        <v>0.5260451891</v>
      </c>
      <c r="AA435" s="74"/>
    </row>
    <row r="436">
      <c r="B436" s="41"/>
      <c r="E436" s="41"/>
      <c r="F436" s="41"/>
      <c r="G436" s="41"/>
      <c r="Z436" s="38">
        <f t="shared" si="25"/>
        <v>0.07747766676</v>
      </c>
      <c r="AA436" s="74"/>
    </row>
    <row r="437">
      <c r="B437" s="41"/>
      <c r="E437" s="41"/>
      <c r="F437" s="41"/>
      <c r="G437" s="41"/>
      <c r="Z437" s="38">
        <f t="shared" si="25"/>
        <v>0.01622451378</v>
      </c>
      <c r="AA437" s="74"/>
    </row>
    <row r="438">
      <c r="B438" s="41"/>
      <c r="E438" s="41"/>
      <c r="F438" s="41"/>
      <c r="G438" s="41"/>
      <c r="Z438" s="38">
        <f t="shared" si="25"/>
        <v>0.3175867094</v>
      </c>
      <c r="AA438" s="74"/>
    </row>
    <row r="439">
      <c r="B439" s="41"/>
      <c r="E439" s="41"/>
      <c r="F439" s="41"/>
      <c r="G439" s="41"/>
      <c r="Z439" s="38">
        <f t="shared" si="25"/>
        <v>0.8287814265</v>
      </c>
      <c r="AA439" s="74"/>
    </row>
    <row r="440">
      <c r="B440" s="41"/>
      <c r="E440" s="41"/>
      <c r="F440" s="41"/>
      <c r="G440" s="41"/>
      <c r="Z440" s="38">
        <f t="shared" si="25"/>
        <v>0.0378849791</v>
      </c>
      <c r="AA440" s="74"/>
    </row>
    <row r="441">
      <c r="B441" s="41"/>
      <c r="E441" s="41"/>
      <c r="F441" s="41"/>
      <c r="G441" s="41"/>
      <c r="Z441" s="38">
        <f t="shared" si="25"/>
        <v>0.661707747</v>
      </c>
      <c r="AA441" s="74"/>
    </row>
    <row r="442">
      <c r="B442" s="41"/>
      <c r="E442" s="41"/>
      <c r="F442" s="41"/>
      <c r="G442" s="41"/>
      <c r="Z442" s="38">
        <f t="shared" si="25"/>
        <v>0.5421413349</v>
      </c>
      <c r="AA442" s="74"/>
    </row>
    <row r="443">
      <c r="B443" s="41"/>
      <c r="E443" s="41"/>
      <c r="F443" s="41"/>
      <c r="G443" s="41"/>
      <c r="Z443" s="38">
        <f t="shared" si="25"/>
        <v>0.1437550942</v>
      </c>
      <c r="AA443" s="74"/>
    </row>
    <row r="444">
      <c r="B444" s="41"/>
      <c r="E444" s="41"/>
      <c r="F444" s="41"/>
      <c r="G444" s="41"/>
      <c r="Z444" s="38">
        <f t="shared" si="25"/>
        <v>0.04087001938</v>
      </c>
      <c r="AA444" s="74"/>
    </row>
    <row r="445">
      <c r="B445" s="41"/>
      <c r="E445" s="41"/>
      <c r="F445" s="41"/>
      <c r="G445" s="41"/>
      <c r="Z445" s="38">
        <f t="shared" si="25"/>
        <v>0.3769236187</v>
      </c>
      <c r="AA445" s="74"/>
    </row>
    <row r="446">
      <c r="B446" s="41"/>
      <c r="E446" s="41"/>
      <c r="F446" s="41"/>
      <c r="G446" s="41"/>
      <c r="Z446" s="38">
        <f t="shared" si="25"/>
        <v>0.8186642222</v>
      </c>
      <c r="AA446" s="74"/>
    </row>
    <row r="447">
      <c r="B447" s="41"/>
      <c r="E447" s="41"/>
      <c r="F447" s="41"/>
      <c r="G447" s="41"/>
      <c r="Z447" s="38">
        <f t="shared" si="25"/>
        <v>0.6130073667</v>
      </c>
      <c r="AA447" s="74"/>
    </row>
    <row r="448">
      <c r="B448" s="41"/>
      <c r="E448" s="41"/>
      <c r="F448" s="41"/>
      <c r="G448" s="41"/>
      <c r="Z448" s="38">
        <f t="shared" si="25"/>
        <v>0.1325031204</v>
      </c>
      <c r="AA448" s="74"/>
    </row>
    <row r="449">
      <c r="B449" s="41"/>
      <c r="E449" s="41"/>
      <c r="F449" s="41"/>
      <c r="G449" s="41"/>
      <c r="Z449" s="38">
        <f t="shared" si="25"/>
        <v>0.1931008323</v>
      </c>
      <c r="AA449" s="74"/>
    </row>
    <row r="450">
      <c r="B450" s="41"/>
      <c r="E450" s="41"/>
      <c r="F450" s="41"/>
      <c r="G450" s="41"/>
      <c r="Z450" s="38">
        <f t="shared" si="25"/>
        <v>0.8691994561</v>
      </c>
      <c r="AA450" s="74"/>
    </row>
    <row r="451">
      <c r="B451" s="41"/>
      <c r="E451" s="41"/>
      <c r="F451" s="41"/>
      <c r="G451" s="41"/>
      <c r="Z451" s="38">
        <f t="shared" si="25"/>
        <v>0.3151458057</v>
      </c>
      <c r="AA451" s="74"/>
    </row>
    <row r="452">
      <c r="B452" s="41"/>
      <c r="E452" s="41"/>
      <c r="F452" s="41"/>
      <c r="G452" s="41"/>
      <c r="Z452" s="38">
        <f t="shared" si="25"/>
        <v>0.3999941663</v>
      </c>
      <c r="AA452" s="74"/>
    </row>
    <row r="453">
      <c r="B453" s="41"/>
      <c r="E453" s="41"/>
      <c r="F453" s="41"/>
      <c r="G453" s="41"/>
      <c r="Z453" s="38">
        <f t="shared" si="25"/>
        <v>0.4172133686</v>
      </c>
      <c r="AA453" s="74"/>
    </row>
    <row r="454">
      <c r="B454" s="41"/>
      <c r="E454" s="41"/>
      <c r="F454" s="41"/>
      <c r="G454" s="41"/>
      <c r="Z454" s="38">
        <f t="shared" si="25"/>
        <v>0.3373829706</v>
      </c>
      <c r="AA454" s="74"/>
    </row>
    <row r="455">
      <c r="B455" s="41"/>
      <c r="E455" s="41"/>
      <c r="F455" s="41"/>
      <c r="G455" s="41"/>
      <c r="Z455" s="38">
        <f t="shared" si="25"/>
        <v>0.728149978</v>
      </c>
      <c r="AA455" s="74"/>
    </row>
    <row r="456">
      <c r="B456" s="41"/>
      <c r="E456" s="41"/>
      <c r="F456" s="41"/>
      <c r="G456" s="41"/>
      <c r="Z456" s="38">
        <f t="shared" si="25"/>
        <v>0.7862728444</v>
      </c>
      <c r="AA456" s="74"/>
    </row>
    <row r="457">
      <c r="B457" s="41"/>
      <c r="E457" s="41"/>
      <c r="F457" s="41"/>
      <c r="G457" s="41"/>
      <c r="Z457" s="38">
        <f t="shared" si="25"/>
        <v>0.425480738</v>
      </c>
      <c r="AA457" s="74"/>
    </row>
    <row r="458">
      <c r="B458" s="41"/>
      <c r="E458" s="41"/>
      <c r="F458" s="41"/>
      <c r="G458" s="41"/>
      <c r="Z458" s="38">
        <f t="shared" si="25"/>
        <v>0.9043324597</v>
      </c>
      <c r="AA458" s="74"/>
    </row>
    <row r="459">
      <c r="B459" s="41"/>
      <c r="E459" s="41"/>
      <c r="F459" s="41"/>
      <c r="G459" s="41"/>
      <c r="Z459" s="38">
        <f t="shared" si="25"/>
        <v>0.5141881106</v>
      </c>
      <c r="AA459" s="74"/>
    </row>
    <row r="460">
      <c r="B460" s="41"/>
      <c r="E460" s="41"/>
      <c r="F460" s="41"/>
      <c r="G460" s="41"/>
      <c r="Z460" s="38">
        <f t="shared" si="25"/>
        <v>0.06386754966</v>
      </c>
      <c r="AA460" s="74"/>
    </row>
    <row r="461">
      <c r="B461" s="41"/>
      <c r="E461" s="41"/>
      <c r="F461" s="41"/>
      <c r="G461" s="41"/>
      <c r="Z461" s="38">
        <f t="shared" si="25"/>
        <v>0.9884282963</v>
      </c>
      <c r="AA461" s="74"/>
    </row>
    <row r="462">
      <c r="B462" s="41"/>
      <c r="E462" s="41"/>
      <c r="F462" s="41"/>
      <c r="G462" s="41"/>
      <c r="Z462" s="38">
        <f t="shared" si="25"/>
        <v>0.01178897291</v>
      </c>
      <c r="AA462" s="74"/>
    </row>
    <row r="463">
      <c r="B463" s="41"/>
      <c r="E463" s="41"/>
      <c r="F463" s="41"/>
      <c r="G463" s="41"/>
      <c r="Z463" s="38">
        <f t="shared" si="25"/>
        <v>0.6287946006</v>
      </c>
      <c r="AA463" s="74"/>
    </row>
    <row r="464">
      <c r="B464" s="41"/>
      <c r="E464" s="41"/>
      <c r="F464" s="41"/>
      <c r="G464" s="41"/>
      <c r="Z464" s="38">
        <f t="shared" si="25"/>
        <v>0.2304429235</v>
      </c>
      <c r="AA464" s="74"/>
    </row>
    <row r="465">
      <c r="B465" s="41"/>
      <c r="E465" s="41"/>
      <c r="F465" s="41"/>
      <c r="G465" s="41"/>
      <c r="Z465" s="38">
        <f t="shared" si="25"/>
        <v>0.3158924916</v>
      </c>
      <c r="AA465" s="74"/>
    </row>
    <row r="466">
      <c r="B466" s="41"/>
      <c r="E466" s="41"/>
      <c r="F466" s="41"/>
      <c r="G466" s="41"/>
      <c r="Z466" s="38">
        <f t="shared" si="25"/>
        <v>0.2385602791</v>
      </c>
      <c r="AA466" s="74"/>
    </row>
    <row r="467">
      <c r="B467" s="41"/>
      <c r="E467" s="41"/>
      <c r="F467" s="41"/>
      <c r="G467" s="41"/>
      <c r="Z467" s="38">
        <f t="shared" si="25"/>
        <v>0.4803910448</v>
      </c>
      <c r="AA467" s="74"/>
    </row>
    <row r="468">
      <c r="B468" s="41"/>
      <c r="E468" s="41"/>
      <c r="F468" s="41"/>
      <c r="G468" s="41"/>
      <c r="Z468" s="38">
        <f t="shared" si="25"/>
        <v>0.06980085987</v>
      </c>
      <c r="AA468" s="74"/>
    </row>
    <row r="469">
      <c r="B469" s="41"/>
      <c r="E469" s="41"/>
      <c r="F469" s="41"/>
      <c r="G469" s="41"/>
      <c r="Z469" s="38">
        <f t="shared" si="25"/>
        <v>0.06211387973</v>
      </c>
      <c r="AA469" s="74"/>
    </row>
    <row r="470">
      <c r="B470" s="41"/>
      <c r="E470" s="41"/>
      <c r="F470" s="41"/>
      <c r="G470" s="41"/>
      <c r="Z470" s="38">
        <f t="shared" si="25"/>
        <v>0.3108880021</v>
      </c>
      <c r="AA470" s="74"/>
    </row>
    <row r="471">
      <c r="B471" s="41"/>
      <c r="E471" s="41"/>
      <c r="F471" s="41"/>
      <c r="G471" s="41"/>
      <c r="Z471" s="38">
        <f t="shared" si="25"/>
        <v>0.4960162408</v>
      </c>
      <c r="AA471" s="74"/>
    </row>
    <row r="472">
      <c r="B472" s="41"/>
      <c r="E472" s="41"/>
      <c r="F472" s="41"/>
      <c r="G472" s="41"/>
      <c r="Z472" s="38">
        <f t="shared" si="25"/>
        <v>0.2598451513</v>
      </c>
      <c r="AA472" s="74"/>
    </row>
    <row r="473">
      <c r="B473" s="41"/>
      <c r="E473" s="41"/>
      <c r="F473" s="41"/>
      <c r="G473" s="41"/>
      <c r="Z473" s="38">
        <f t="shared" si="25"/>
        <v>0.9890684535</v>
      </c>
      <c r="AA473" s="74"/>
    </row>
    <row r="474">
      <c r="B474" s="41"/>
      <c r="E474" s="41"/>
      <c r="F474" s="41"/>
      <c r="G474" s="41"/>
      <c r="Z474" s="38">
        <f t="shared" si="25"/>
        <v>0.3181798342</v>
      </c>
      <c r="AA474" s="74"/>
    </row>
    <row r="475">
      <c r="B475" s="41"/>
      <c r="E475" s="41"/>
      <c r="F475" s="41"/>
      <c r="G475" s="41"/>
      <c r="Z475" s="38">
        <f t="shared" si="25"/>
        <v>0.9852634227</v>
      </c>
      <c r="AA475" s="74"/>
    </row>
    <row r="476">
      <c r="B476" s="41"/>
      <c r="E476" s="41"/>
      <c r="F476" s="41"/>
      <c r="G476" s="41"/>
      <c r="Z476" s="38">
        <f t="shared" si="25"/>
        <v>0.2029553835</v>
      </c>
      <c r="AA476" s="74"/>
    </row>
    <row r="477">
      <c r="B477" s="41"/>
      <c r="E477" s="41"/>
      <c r="F477" s="41"/>
      <c r="G477" s="41"/>
      <c r="Z477" s="38">
        <f t="shared" si="25"/>
        <v>0.8504460469</v>
      </c>
      <c r="AA477" s="74"/>
    </row>
    <row r="478">
      <c r="B478" s="41"/>
      <c r="E478" s="41"/>
      <c r="F478" s="41"/>
      <c r="G478" s="41"/>
      <c r="Z478" s="38">
        <f t="shared" si="25"/>
        <v>0.952619031</v>
      </c>
      <c r="AA478" s="74"/>
    </row>
    <row r="479">
      <c r="B479" s="41"/>
      <c r="E479" s="41"/>
      <c r="F479" s="41"/>
      <c r="G479" s="41"/>
      <c r="Z479" s="38">
        <f t="shared" si="25"/>
        <v>0.6368059937</v>
      </c>
      <c r="AA479" s="74"/>
    </row>
    <row r="480">
      <c r="B480" s="41"/>
      <c r="E480" s="41"/>
      <c r="F480" s="41"/>
      <c r="G480" s="41"/>
      <c r="Z480" s="38">
        <f t="shared" si="25"/>
        <v>0.7044110417</v>
      </c>
      <c r="AA480" s="74"/>
    </row>
    <row r="481">
      <c r="B481" s="41"/>
      <c r="E481" s="41"/>
      <c r="F481" s="41"/>
      <c r="G481" s="41"/>
      <c r="Z481" s="38">
        <f t="shared" si="25"/>
        <v>0.3291916837</v>
      </c>
      <c r="AA481" s="74"/>
    </row>
    <row r="482">
      <c r="B482" s="41"/>
      <c r="E482" s="41"/>
      <c r="F482" s="41"/>
      <c r="G482" s="41"/>
      <c r="Z482" s="38">
        <f t="shared" si="25"/>
        <v>0.494483048</v>
      </c>
      <c r="AA482" s="74"/>
    </row>
    <row r="483">
      <c r="B483" s="41"/>
      <c r="E483" s="41"/>
      <c r="F483" s="41"/>
      <c r="G483" s="41"/>
      <c r="Z483" s="38">
        <f t="shared" si="25"/>
        <v>0.3305254856</v>
      </c>
      <c r="AA483" s="74"/>
    </row>
    <row r="484">
      <c r="B484" s="41"/>
      <c r="E484" s="41"/>
      <c r="F484" s="41"/>
      <c r="G484" s="41"/>
      <c r="Z484" s="38">
        <f t="shared" si="25"/>
        <v>0.7309516918</v>
      </c>
      <c r="AA484" s="74"/>
    </row>
    <row r="485">
      <c r="B485" s="41"/>
      <c r="E485" s="41"/>
      <c r="F485" s="41"/>
      <c r="G485" s="41"/>
      <c r="Z485" s="38">
        <f t="shared" si="25"/>
        <v>0.5382840503</v>
      </c>
      <c r="AA485" s="74"/>
    </row>
    <row r="486">
      <c r="B486" s="41"/>
      <c r="E486" s="41"/>
      <c r="F486" s="41"/>
      <c r="G486" s="41"/>
      <c r="Z486" s="38">
        <f t="shared" si="25"/>
        <v>0.8245744837</v>
      </c>
      <c r="AA486" s="74"/>
    </row>
    <row r="487">
      <c r="B487" s="41"/>
      <c r="E487" s="41"/>
      <c r="F487" s="41"/>
      <c r="G487" s="41"/>
      <c r="Z487" s="38">
        <f t="shared" si="25"/>
        <v>0.2031385545</v>
      </c>
      <c r="AA487" s="74"/>
    </row>
    <row r="488">
      <c r="B488" s="41"/>
      <c r="E488" s="41"/>
      <c r="F488" s="41"/>
      <c r="G488" s="41"/>
      <c r="Z488" s="38">
        <f t="shared" si="25"/>
        <v>0.7442552912</v>
      </c>
      <c r="AA488" s="74"/>
    </row>
    <row r="489">
      <c r="B489" s="41"/>
      <c r="E489" s="41"/>
      <c r="F489" s="41"/>
      <c r="G489" s="41"/>
      <c r="Z489" s="38">
        <f t="shared" si="25"/>
        <v>0.6774333754</v>
      </c>
      <c r="AA489" s="74"/>
    </row>
    <row r="490">
      <c r="B490" s="41"/>
      <c r="E490" s="41"/>
      <c r="F490" s="41"/>
      <c r="G490" s="41"/>
      <c r="Z490" s="38">
        <f t="shared" si="25"/>
        <v>0.9609867774</v>
      </c>
      <c r="AA490" s="74"/>
    </row>
    <row r="491">
      <c r="B491" s="41"/>
      <c r="E491" s="41"/>
      <c r="F491" s="41"/>
      <c r="G491" s="41"/>
      <c r="Z491" s="38">
        <f t="shared" si="25"/>
        <v>0.06635259382</v>
      </c>
      <c r="AA491" s="74"/>
    </row>
    <row r="492">
      <c r="B492" s="41"/>
      <c r="E492" s="41"/>
      <c r="F492" s="41"/>
      <c r="G492" s="41"/>
      <c r="Z492" s="38">
        <f t="shared" si="25"/>
        <v>0.5230607622</v>
      </c>
      <c r="AA492" s="74"/>
    </row>
    <row r="493">
      <c r="B493" s="41"/>
      <c r="E493" s="41"/>
      <c r="F493" s="41"/>
      <c r="G493" s="41"/>
      <c r="Z493" s="38">
        <f t="shared" si="25"/>
        <v>0.9276376906</v>
      </c>
      <c r="AA493" s="74"/>
    </row>
    <row r="494">
      <c r="B494" s="41"/>
      <c r="E494" s="41"/>
      <c r="F494" s="41"/>
      <c r="G494" s="41"/>
      <c r="Z494" s="38">
        <f t="shared" si="25"/>
        <v>0.4894980267</v>
      </c>
      <c r="AA494" s="74"/>
    </row>
    <row r="495">
      <c r="B495" s="41"/>
      <c r="E495" s="41"/>
      <c r="F495" s="41"/>
      <c r="G495" s="41"/>
      <c r="Z495" s="38">
        <f t="shared" si="25"/>
        <v>0.3439622376</v>
      </c>
      <c r="AA495" s="74"/>
    </row>
    <row r="496">
      <c r="B496" s="41"/>
      <c r="E496" s="41"/>
      <c r="F496" s="41"/>
      <c r="G496" s="41"/>
      <c r="Z496" s="38">
        <f t="shared" si="25"/>
        <v>0.9628575003</v>
      </c>
      <c r="AA496" s="74"/>
    </row>
    <row r="497">
      <c r="B497" s="41"/>
      <c r="E497" s="41"/>
      <c r="F497" s="41"/>
      <c r="G497" s="41"/>
      <c r="Z497" s="38">
        <f t="shared" si="25"/>
        <v>0.5610455901</v>
      </c>
      <c r="AA497" s="74"/>
    </row>
    <row r="498">
      <c r="B498" s="41"/>
      <c r="E498" s="41"/>
      <c r="F498" s="41"/>
      <c r="G498" s="41"/>
      <c r="Z498" s="38">
        <f t="shared" si="25"/>
        <v>0.7852065156</v>
      </c>
      <c r="AA498" s="74"/>
    </row>
    <row r="499">
      <c r="B499" s="41"/>
      <c r="E499" s="41"/>
      <c r="F499" s="41"/>
      <c r="G499" s="41"/>
      <c r="Z499" s="38">
        <f t="shared" si="25"/>
        <v>0.6679319049</v>
      </c>
      <c r="AA499" s="74"/>
    </row>
    <row r="500">
      <c r="B500" s="41"/>
      <c r="E500" s="41"/>
      <c r="F500" s="41"/>
      <c r="G500" s="41"/>
      <c r="Z500" s="38">
        <f t="shared" si="25"/>
        <v>0.07350895378</v>
      </c>
      <c r="AA500" s="74"/>
    </row>
    <row r="501">
      <c r="B501" s="41"/>
      <c r="E501" s="41"/>
      <c r="F501" s="41"/>
      <c r="G501" s="41"/>
      <c r="Z501" s="38">
        <f t="shared" si="25"/>
        <v>0.5453305705</v>
      </c>
      <c r="AA501" s="74"/>
    </row>
    <row r="502">
      <c r="B502" s="41"/>
      <c r="E502" s="41"/>
      <c r="F502" s="41"/>
      <c r="G502" s="41"/>
      <c r="Z502" s="38">
        <f t="shared" si="25"/>
        <v>0.1075916693</v>
      </c>
      <c r="AA502" s="74"/>
    </row>
    <row r="503">
      <c r="B503" s="41"/>
      <c r="E503" s="41"/>
      <c r="F503" s="41"/>
      <c r="G503" s="41"/>
      <c r="Z503" s="38">
        <f t="shared" si="25"/>
        <v>0.1533925076</v>
      </c>
      <c r="AA503" s="74"/>
    </row>
    <row r="504">
      <c r="B504" s="41"/>
      <c r="E504" s="41"/>
      <c r="F504" s="41"/>
      <c r="G504" s="41"/>
      <c r="Z504" s="38">
        <f t="shared" si="25"/>
        <v>0.2828731307</v>
      </c>
      <c r="AA504" s="74"/>
    </row>
    <row r="505">
      <c r="B505" s="41"/>
      <c r="E505" s="41"/>
      <c r="F505" s="41"/>
      <c r="G505" s="41"/>
      <c r="Z505" s="38">
        <f t="shared" si="25"/>
        <v>0.6297900992</v>
      </c>
      <c r="AA505" s="74"/>
    </row>
    <row r="506">
      <c r="B506" s="41"/>
      <c r="E506" s="41"/>
      <c r="F506" s="41"/>
      <c r="G506" s="41"/>
      <c r="Z506" s="38">
        <f t="shared" si="25"/>
        <v>0.4920046496</v>
      </c>
      <c r="AA506" s="74"/>
    </row>
    <row r="507">
      <c r="B507" s="41"/>
      <c r="E507" s="41"/>
      <c r="F507" s="41"/>
      <c r="G507" s="41"/>
      <c r="Z507" s="38">
        <f t="shared" si="25"/>
        <v>0.1586130028</v>
      </c>
      <c r="AA507" s="74"/>
    </row>
    <row r="508">
      <c r="B508" s="41"/>
      <c r="E508" s="41"/>
      <c r="F508" s="41"/>
      <c r="G508" s="41"/>
      <c r="Z508" s="38">
        <f t="shared" si="25"/>
        <v>0.1984279685</v>
      </c>
      <c r="AA508" s="74"/>
    </row>
    <row r="509">
      <c r="B509" s="41"/>
      <c r="E509" s="41"/>
      <c r="F509" s="41"/>
      <c r="G509" s="41"/>
      <c r="Z509" s="38">
        <f t="shared" si="25"/>
        <v>0.01464030692</v>
      </c>
      <c r="AA509" s="74"/>
    </row>
    <row r="510">
      <c r="B510" s="41"/>
      <c r="E510" s="41"/>
      <c r="F510" s="41"/>
      <c r="G510" s="41"/>
      <c r="Z510" s="38">
        <f t="shared" si="25"/>
        <v>0.8576631069</v>
      </c>
      <c r="AA510" s="74"/>
    </row>
    <row r="511">
      <c r="B511" s="41"/>
      <c r="E511" s="41"/>
      <c r="F511" s="41"/>
      <c r="G511" s="41"/>
      <c r="Z511" s="38">
        <f t="shared" si="25"/>
        <v>0.02839036044</v>
      </c>
      <c r="AA511" s="74"/>
    </row>
    <row r="512">
      <c r="B512" s="41"/>
      <c r="E512" s="41"/>
      <c r="F512" s="41"/>
      <c r="G512" s="41"/>
      <c r="Z512" s="38">
        <f t="shared" si="25"/>
        <v>0.1791052043</v>
      </c>
      <c r="AA512" s="74"/>
    </row>
    <row r="513">
      <c r="B513" s="41"/>
      <c r="E513" s="41"/>
      <c r="F513" s="41"/>
      <c r="G513" s="41"/>
      <c r="Z513" s="38">
        <f t="shared" si="25"/>
        <v>0.2254852132</v>
      </c>
      <c r="AA513" s="74"/>
    </row>
    <row r="514">
      <c r="B514" s="41"/>
      <c r="E514" s="41"/>
      <c r="F514" s="41"/>
      <c r="G514" s="41"/>
      <c r="Z514" s="38">
        <f t="shared" si="25"/>
        <v>0.9055446733</v>
      </c>
      <c r="AA514" s="74"/>
    </row>
    <row r="515">
      <c r="B515" s="41"/>
      <c r="E515" s="41"/>
      <c r="F515" s="41"/>
      <c r="G515" s="41"/>
      <c r="Z515" s="38">
        <f t="shared" si="25"/>
        <v>0.9179343965</v>
      </c>
      <c r="AA515" s="74"/>
    </row>
    <row r="516">
      <c r="B516" s="41"/>
      <c r="E516" s="41"/>
      <c r="F516" s="41"/>
      <c r="G516" s="41"/>
      <c r="Z516" s="38">
        <f t="shared" si="25"/>
        <v>0.4259810334</v>
      </c>
      <c r="AA516" s="74"/>
    </row>
    <row r="517">
      <c r="B517" s="41"/>
      <c r="E517" s="41"/>
      <c r="F517" s="41"/>
      <c r="G517" s="41"/>
      <c r="Z517" s="38">
        <f t="shared" si="25"/>
        <v>0.7416969283</v>
      </c>
      <c r="AA517" s="74"/>
    </row>
    <row r="518">
      <c r="B518" s="41"/>
      <c r="E518" s="41"/>
      <c r="F518" s="41"/>
      <c r="G518" s="41"/>
      <c r="Z518" s="38">
        <f t="shared" si="25"/>
        <v>0.1891445912</v>
      </c>
      <c r="AA518" s="74"/>
    </row>
    <row r="519">
      <c r="B519" s="41"/>
      <c r="E519" s="41"/>
      <c r="F519" s="41"/>
      <c r="G519" s="41"/>
      <c r="Z519" s="38">
        <f t="shared" si="25"/>
        <v>0.2992068658</v>
      </c>
      <c r="AA519" s="74"/>
    </row>
    <row r="520">
      <c r="B520" s="41"/>
      <c r="E520" s="41"/>
      <c r="F520" s="41"/>
      <c r="G520" s="41"/>
      <c r="Z520" s="38">
        <f t="shared" si="25"/>
        <v>0.8131679502</v>
      </c>
      <c r="AA520" s="74"/>
    </row>
    <row r="521">
      <c r="B521" s="41"/>
      <c r="E521" s="41"/>
      <c r="F521" s="41"/>
      <c r="G521" s="41"/>
      <c r="Z521" s="38">
        <f t="shared" si="25"/>
        <v>0.260451309</v>
      </c>
      <c r="AA521" s="74"/>
    </row>
    <row r="522">
      <c r="B522" s="41"/>
      <c r="E522" s="41"/>
      <c r="F522" s="41"/>
      <c r="G522" s="41"/>
      <c r="Z522" s="38">
        <f t="shared" si="25"/>
        <v>0.2068825515</v>
      </c>
      <c r="AA522" s="74"/>
    </row>
    <row r="523">
      <c r="B523" s="41"/>
      <c r="E523" s="41"/>
      <c r="F523" s="41"/>
      <c r="G523" s="41"/>
      <c r="Z523" s="38">
        <f t="shared" si="25"/>
        <v>0.1628064564</v>
      </c>
      <c r="AA523" s="74"/>
    </row>
    <row r="524">
      <c r="B524" s="41"/>
      <c r="E524" s="41"/>
      <c r="F524" s="41"/>
      <c r="G524" s="41"/>
      <c r="Z524" s="38">
        <f t="shared" si="25"/>
        <v>0.3491967386</v>
      </c>
      <c r="AA524" s="74"/>
    </row>
    <row r="525">
      <c r="B525" s="41"/>
      <c r="E525" s="41"/>
      <c r="F525" s="41"/>
      <c r="G525" s="41"/>
      <c r="Z525" s="38">
        <f t="shared" si="25"/>
        <v>0.2174210923</v>
      </c>
      <c r="AA525" s="74"/>
    </row>
    <row r="526">
      <c r="B526" s="41"/>
      <c r="E526" s="41"/>
      <c r="F526" s="41"/>
      <c r="G526" s="41"/>
      <c r="Z526" s="38">
        <f t="shared" si="25"/>
        <v>0.4870147333</v>
      </c>
      <c r="AA526" s="74"/>
    </row>
    <row r="527">
      <c r="B527" s="41"/>
      <c r="E527" s="41"/>
      <c r="F527" s="41"/>
      <c r="G527" s="41"/>
      <c r="Z527" s="38">
        <f t="shared" si="25"/>
        <v>0.2458750806</v>
      </c>
      <c r="AA527" s="74"/>
    </row>
    <row r="528">
      <c r="B528" s="41"/>
      <c r="E528" s="41"/>
      <c r="F528" s="41"/>
      <c r="G528" s="41"/>
      <c r="Z528" s="38">
        <f t="shared" si="25"/>
        <v>0.9843734665</v>
      </c>
      <c r="AA528" s="74"/>
    </row>
    <row r="529">
      <c r="B529" s="41"/>
      <c r="E529" s="41"/>
      <c r="F529" s="41"/>
      <c r="G529" s="41"/>
      <c r="Z529" s="38">
        <f t="shared" si="25"/>
        <v>0.3306367485</v>
      </c>
      <c r="AA529" s="74"/>
    </row>
    <row r="530">
      <c r="B530" s="41"/>
      <c r="E530" s="41"/>
      <c r="F530" s="41"/>
      <c r="G530" s="41"/>
      <c r="Z530" s="38">
        <f t="shared" si="25"/>
        <v>0.4142267762</v>
      </c>
      <c r="AA530" s="74"/>
    </row>
    <row r="531">
      <c r="B531" s="41"/>
      <c r="E531" s="41"/>
      <c r="F531" s="41"/>
      <c r="G531" s="41"/>
      <c r="Z531" s="38">
        <f t="shared" si="25"/>
        <v>0.8401325233</v>
      </c>
      <c r="AA531" s="74"/>
    </row>
    <row r="532">
      <c r="B532" s="41"/>
      <c r="E532" s="41"/>
      <c r="F532" s="41"/>
      <c r="G532" s="41"/>
      <c r="Z532" s="38">
        <f t="shared" si="25"/>
        <v>0.4610414184</v>
      </c>
      <c r="AA532" s="74"/>
    </row>
    <row r="533">
      <c r="B533" s="41"/>
      <c r="E533" s="41"/>
      <c r="F533" s="41"/>
      <c r="G533" s="41"/>
      <c r="Z533" s="38">
        <f t="shared" si="25"/>
        <v>0.4857827627</v>
      </c>
      <c r="AA533" s="74"/>
    </row>
    <row r="534">
      <c r="B534" s="41"/>
      <c r="E534" s="41"/>
      <c r="F534" s="41"/>
      <c r="G534" s="41"/>
      <c r="Z534" s="38">
        <f t="shared" si="25"/>
        <v>0.9816543642</v>
      </c>
      <c r="AA534" s="74"/>
    </row>
    <row r="535">
      <c r="B535" s="41"/>
      <c r="E535" s="41"/>
      <c r="F535" s="41"/>
      <c r="G535" s="41"/>
      <c r="Z535" s="38">
        <f t="shared" si="25"/>
        <v>0.8640305336</v>
      </c>
      <c r="AA535" s="74"/>
    </row>
    <row r="536">
      <c r="B536" s="41"/>
      <c r="E536" s="41"/>
      <c r="F536" s="41"/>
      <c r="G536" s="41"/>
      <c r="Z536" s="38">
        <f t="shared" si="25"/>
        <v>0.04137287834</v>
      </c>
      <c r="AA536" s="74"/>
    </row>
    <row r="537">
      <c r="B537" s="41"/>
      <c r="E537" s="41"/>
      <c r="F537" s="41"/>
      <c r="G537" s="41"/>
      <c r="Z537" s="38">
        <f t="shared" si="25"/>
        <v>0.2392049814</v>
      </c>
      <c r="AA537" s="74"/>
    </row>
    <row r="538">
      <c r="B538" s="41"/>
      <c r="E538" s="41"/>
      <c r="F538" s="41"/>
      <c r="G538" s="41"/>
      <c r="Z538" s="38">
        <f t="shared" si="25"/>
        <v>0.7428978111</v>
      </c>
      <c r="AA538" s="74"/>
    </row>
    <row r="539">
      <c r="B539" s="41"/>
      <c r="E539" s="41"/>
      <c r="F539" s="41"/>
      <c r="G539" s="41"/>
      <c r="Z539" s="38">
        <f t="shared" si="25"/>
        <v>0.9191491364</v>
      </c>
      <c r="AA539" s="74"/>
    </row>
    <row r="540">
      <c r="B540" s="41"/>
      <c r="E540" s="41"/>
      <c r="F540" s="41"/>
      <c r="G540" s="41"/>
      <c r="Z540" s="38">
        <f t="shared" si="25"/>
        <v>0.2412618297</v>
      </c>
      <c r="AA540" s="74"/>
    </row>
    <row r="541">
      <c r="B541" s="41"/>
      <c r="E541" s="41"/>
      <c r="F541" s="41"/>
      <c r="G541" s="41"/>
      <c r="Z541" s="38">
        <f t="shared" si="25"/>
        <v>0.5791623005</v>
      </c>
      <c r="AA541" s="74"/>
    </row>
    <row r="542">
      <c r="B542" s="41"/>
      <c r="E542" s="41"/>
      <c r="F542" s="41"/>
      <c r="G542" s="41"/>
      <c r="Z542" s="38">
        <f t="shared" si="25"/>
        <v>0.9856676739</v>
      </c>
      <c r="AA542" s="74"/>
    </row>
    <row r="543">
      <c r="B543" s="41"/>
      <c r="E543" s="41"/>
      <c r="F543" s="41"/>
      <c r="G543" s="41"/>
      <c r="Z543" s="38">
        <f t="shared" si="25"/>
        <v>0.9933415876</v>
      </c>
      <c r="AA543" s="74"/>
    </row>
    <row r="544">
      <c r="B544" s="41"/>
      <c r="E544" s="41"/>
      <c r="F544" s="41"/>
      <c r="G544" s="41"/>
      <c r="Z544" s="38">
        <f t="shared" si="25"/>
        <v>0.1490830517</v>
      </c>
      <c r="AA544" s="74"/>
    </row>
    <row r="545">
      <c r="B545" s="41"/>
      <c r="E545" s="41"/>
      <c r="F545" s="41"/>
      <c r="G545" s="41"/>
      <c r="Z545" s="38">
        <f t="shared" si="25"/>
        <v>0.3563645331</v>
      </c>
      <c r="AA545" s="74"/>
    </row>
    <row r="546">
      <c r="B546" s="41"/>
      <c r="E546" s="41"/>
      <c r="F546" s="41"/>
      <c r="G546" s="41"/>
      <c r="Z546" s="38">
        <f t="shared" si="25"/>
        <v>0.5520187565</v>
      </c>
      <c r="AA546" s="74"/>
    </row>
    <row r="547">
      <c r="B547" s="41"/>
      <c r="E547" s="41"/>
      <c r="F547" s="41"/>
      <c r="G547" s="41"/>
      <c r="Z547" s="38">
        <f t="shared" si="25"/>
        <v>0.321766809</v>
      </c>
      <c r="AA547" s="74"/>
    </row>
    <row r="548">
      <c r="B548" s="41"/>
      <c r="E548" s="41"/>
      <c r="F548" s="41"/>
      <c r="G548" s="41"/>
      <c r="Z548" s="38">
        <f t="shared" si="25"/>
        <v>0.5145288886</v>
      </c>
      <c r="AA548" s="74"/>
    </row>
    <row r="549">
      <c r="B549" s="41"/>
      <c r="E549" s="41"/>
      <c r="F549" s="41"/>
      <c r="G549" s="41"/>
      <c r="Z549" s="38">
        <f t="shared" si="25"/>
        <v>0.9715945567</v>
      </c>
      <c r="AA549" s="74"/>
    </row>
    <row r="550">
      <c r="B550" s="41"/>
      <c r="E550" s="41"/>
      <c r="F550" s="41"/>
      <c r="G550" s="41"/>
      <c r="Z550" s="38">
        <f t="shared" si="25"/>
        <v>0.7896999549</v>
      </c>
      <c r="AA550" s="74"/>
    </row>
    <row r="551">
      <c r="B551" s="41"/>
      <c r="E551" s="41"/>
      <c r="F551" s="41"/>
      <c r="G551" s="41"/>
      <c r="Z551" s="38">
        <f t="shared" si="25"/>
        <v>0.6718309316</v>
      </c>
      <c r="AA551" s="74"/>
    </row>
    <row r="552">
      <c r="B552" s="41"/>
      <c r="E552" s="41"/>
      <c r="F552" s="41"/>
      <c r="G552" s="41"/>
      <c r="Z552" s="38">
        <f t="shared" si="25"/>
        <v>0.5554303377</v>
      </c>
      <c r="AA552" s="74"/>
    </row>
    <row r="553">
      <c r="B553" s="41"/>
      <c r="E553" s="41"/>
      <c r="F553" s="41"/>
      <c r="G553" s="41"/>
      <c r="Z553" s="38">
        <f t="shared" si="25"/>
        <v>0.4912227822</v>
      </c>
      <c r="AA553" s="74"/>
    </row>
    <row r="554">
      <c r="B554" s="41"/>
      <c r="E554" s="41"/>
      <c r="F554" s="41"/>
      <c r="G554" s="41"/>
      <c r="Z554" s="38">
        <f t="shared" si="25"/>
        <v>0.834968042</v>
      </c>
      <c r="AA554" s="74"/>
    </row>
    <row r="555">
      <c r="B555" s="41"/>
      <c r="E555" s="41"/>
      <c r="F555" s="41"/>
      <c r="G555" s="41"/>
      <c r="Z555" s="38">
        <f t="shared" si="25"/>
        <v>0.9791925919</v>
      </c>
      <c r="AA555" s="74"/>
    </row>
    <row r="556">
      <c r="B556" s="41"/>
      <c r="E556" s="41"/>
      <c r="F556" s="41"/>
      <c r="G556" s="41"/>
      <c r="Z556" s="38">
        <f t="shared" si="25"/>
        <v>0.349413988</v>
      </c>
      <c r="AA556" s="74"/>
    </row>
    <row r="557">
      <c r="B557" s="41"/>
      <c r="E557" s="41"/>
      <c r="F557" s="41"/>
      <c r="G557" s="41"/>
      <c r="Z557" s="38">
        <f t="shared" si="25"/>
        <v>0.3506776155</v>
      </c>
      <c r="AA557" s="74"/>
    </row>
    <row r="558">
      <c r="B558" s="41"/>
      <c r="E558" s="41"/>
      <c r="F558" s="41"/>
      <c r="G558" s="41"/>
      <c r="Z558" s="38">
        <f t="shared" si="25"/>
        <v>0.7992832531</v>
      </c>
      <c r="AA558" s="74"/>
    </row>
    <row r="559">
      <c r="B559" s="41"/>
      <c r="E559" s="41"/>
      <c r="F559" s="41"/>
      <c r="G559" s="41"/>
      <c r="Z559" s="38">
        <f t="shared" si="25"/>
        <v>0.8293693981</v>
      </c>
      <c r="AA559" s="74"/>
    </row>
    <row r="560">
      <c r="B560" s="41"/>
      <c r="E560" s="41"/>
      <c r="F560" s="41"/>
      <c r="G560" s="41"/>
      <c r="Z560" s="38">
        <f t="shared" si="25"/>
        <v>0.7524422643</v>
      </c>
      <c r="AA560" s="74"/>
    </row>
    <row r="561">
      <c r="B561" s="41"/>
      <c r="E561" s="41"/>
      <c r="F561" s="41"/>
      <c r="G561" s="41"/>
      <c r="Z561" s="38">
        <f t="shared" si="25"/>
        <v>0.2014450416</v>
      </c>
      <c r="AA561" s="74"/>
    </row>
    <row r="562">
      <c r="B562" s="41"/>
      <c r="E562" s="41"/>
      <c r="F562" s="41"/>
      <c r="G562" s="41"/>
      <c r="Z562" s="38">
        <f t="shared" si="25"/>
        <v>0.4606257193</v>
      </c>
      <c r="AA562" s="74"/>
    </row>
    <row r="563">
      <c r="B563" s="41"/>
      <c r="E563" s="41"/>
      <c r="F563" s="41"/>
      <c r="G563" s="41"/>
      <c r="Z563" s="38">
        <f t="shared" si="25"/>
        <v>0.753115485</v>
      </c>
      <c r="AA563" s="74"/>
    </row>
    <row r="564">
      <c r="B564" s="41"/>
      <c r="E564" s="41"/>
      <c r="F564" s="41"/>
      <c r="G564" s="41"/>
      <c r="Z564" s="38">
        <f t="shared" si="25"/>
        <v>0.01772909737</v>
      </c>
      <c r="AA564" s="74"/>
    </row>
    <row r="565">
      <c r="B565" s="41"/>
      <c r="E565" s="41"/>
      <c r="F565" s="41"/>
      <c r="G565" s="41"/>
      <c r="Z565" s="38">
        <f t="shared" si="25"/>
        <v>0.2589274387</v>
      </c>
      <c r="AA565" s="74"/>
    </row>
    <row r="566">
      <c r="B566" s="41"/>
      <c r="E566" s="41"/>
      <c r="F566" s="41"/>
      <c r="G566" s="41"/>
      <c r="Z566" s="38">
        <f t="shared" si="25"/>
        <v>0.7447409905</v>
      </c>
      <c r="AA566" s="74"/>
    </row>
    <row r="567">
      <c r="B567" s="41"/>
      <c r="E567" s="41"/>
      <c r="F567" s="41"/>
      <c r="G567" s="41"/>
      <c r="Z567" s="38">
        <f t="shared" si="25"/>
        <v>0.6836234382</v>
      </c>
      <c r="AA567" s="74"/>
    </row>
    <row r="568">
      <c r="B568" s="41"/>
      <c r="E568" s="41"/>
      <c r="F568" s="41"/>
      <c r="G568" s="41"/>
      <c r="Z568" s="38">
        <f t="shared" si="25"/>
        <v>0.6762188816</v>
      </c>
      <c r="AA568" s="74"/>
    </row>
    <row r="569">
      <c r="B569" s="41"/>
      <c r="E569" s="41"/>
      <c r="F569" s="41"/>
      <c r="G569" s="41"/>
      <c r="Z569" s="38">
        <f t="shared" si="25"/>
        <v>0.7164998565</v>
      </c>
      <c r="AA569" s="74"/>
    </row>
    <row r="570">
      <c r="B570" s="41"/>
      <c r="E570" s="41"/>
      <c r="F570" s="41"/>
      <c r="G570" s="41"/>
      <c r="Z570" s="38">
        <f t="shared" si="25"/>
        <v>0.6224443325</v>
      </c>
      <c r="AA570" s="74"/>
    </row>
    <row r="571">
      <c r="B571" s="41"/>
      <c r="E571" s="41"/>
      <c r="F571" s="41"/>
      <c r="G571" s="41"/>
      <c r="Z571" s="38">
        <f t="shared" si="25"/>
        <v>0.2097361994</v>
      </c>
      <c r="AA571" s="74"/>
    </row>
    <row r="572">
      <c r="B572" s="41"/>
      <c r="E572" s="41"/>
      <c r="F572" s="41"/>
      <c r="G572" s="41"/>
      <c r="Z572" s="38">
        <f t="shared" si="25"/>
        <v>0.7837619066</v>
      </c>
      <c r="AA572" s="74"/>
    </row>
    <row r="573">
      <c r="B573" s="41"/>
      <c r="E573" s="41"/>
      <c r="F573" s="41"/>
      <c r="G573" s="41"/>
      <c r="Z573" s="38">
        <f t="shared" si="25"/>
        <v>0.4053594722</v>
      </c>
      <c r="AA573" s="74"/>
    </row>
    <row r="574">
      <c r="B574" s="41"/>
      <c r="E574" s="41"/>
      <c r="F574" s="41"/>
      <c r="G574" s="41"/>
      <c r="Z574" s="38">
        <f t="shared" si="25"/>
        <v>0.04618294501</v>
      </c>
      <c r="AA574" s="74"/>
    </row>
    <row r="575">
      <c r="B575" s="41"/>
      <c r="E575" s="41"/>
      <c r="F575" s="41"/>
      <c r="G575" s="41"/>
      <c r="Z575" s="38">
        <f t="shared" si="25"/>
        <v>0.4517374893</v>
      </c>
      <c r="AA575" s="74"/>
    </row>
    <row r="576">
      <c r="B576" s="41"/>
      <c r="E576" s="41"/>
      <c r="F576" s="41"/>
      <c r="G576" s="41"/>
      <c r="Z576" s="38">
        <f t="shared" si="25"/>
        <v>0.3403144612</v>
      </c>
      <c r="AA576" s="74"/>
    </row>
    <row r="577">
      <c r="B577" s="41"/>
      <c r="E577" s="41"/>
      <c r="F577" s="41"/>
      <c r="G577" s="41"/>
      <c r="Z577" s="38">
        <f t="shared" si="25"/>
        <v>0.9002722784</v>
      </c>
      <c r="AA577" s="74"/>
    </row>
    <row r="578">
      <c r="B578" s="41"/>
      <c r="E578" s="41"/>
      <c r="F578" s="41"/>
      <c r="G578" s="41"/>
      <c r="Z578" s="38">
        <f t="shared" si="25"/>
        <v>0.2023758721</v>
      </c>
      <c r="AA578" s="74"/>
    </row>
    <row r="579">
      <c r="B579" s="41"/>
      <c r="E579" s="41"/>
      <c r="F579" s="41"/>
      <c r="G579" s="41"/>
      <c r="Z579" s="38">
        <f t="shared" si="25"/>
        <v>0.4849223978</v>
      </c>
      <c r="AA579" s="74"/>
    </row>
    <row r="580">
      <c r="B580" s="41"/>
      <c r="E580" s="41"/>
      <c r="F580" s="41"/>
      <c r="G580" s="41"/>
      <c r="Z580" s="38">
        <f t="shared" si="25"/>
        <v>0.5429372068</v>
      </c>
      <c r="AA580" s="74"/>
    </row>
    <row r="581">
      <c r="B581" s="41"/>
      <c r="E581" s="41"/>
      <c r="F581" s="41"/>
      <c r="G581" s="41"/>
      <c r="Z581" s="38">
        <f t="shared" si="25"/>
        <v>0.6980784421</v>
      </c>
      <c r="AA581" s="74"/>
    </row>
    <row r="582">
      <c r="B582" s="41"/>
      <c r="E582" s="41"/>
      <c r="F582" s="41"/>
      <c r="G582" s="41"/>
      <c r="Z582" s="38">
        <f t="shared" si="25"/>
        <v>0.6656219135</v>
      </c>
      <c r="AA582" s="74"/>
    </row>
    <row r="583">
      <c r="B583" s="41"/>
      <c r="E583" s="41"/>
      <c r="F583" s="41"/>
      <c r="G583" s="41"/>
      <c r="Z583" s="38">
        <f t="shared" si="25"/>
        <v>0.2410322611</v>
      </c>
      <c r="AA583" s="74"/>
    </row>
    <row r="584">
      <c r="B584" s="41"/>
      <c r="E584" s="41"/>
      <c r="F584" s="41"/>
      <c r="G584" s="41"/>
      <c r="Z584" s="38">
        <f t="shared" si="25"/>
        <v>0.5470612948</v>
      </c>
      <c r="AA584" s="74"/>
    </row>
    <row r="585">
      <c r="B585" s="41"/>
      <c r="E585" s="41"/>
      <c r="F585" s="41"/>
      <c r="G585" s="41"/>
      <c r="Z585" s="38">
        <f t="shared" si="25"/>
        <v>0.928825707</v>
      </c>
      <c r="AA585" s="74"/>
    </row>
    <row r="586">
      <c r="B586" s="41"/>
      <c r="E586" s="41"/>
      <c r="F586" s="41"/>
      <c r="G586" s="41"/>
      <c r="Z586" s="38">
        <f t="shared" si="25"/>
        <v>0.006685767855</v>
      </c>
      <c r="AA586" s="74"/>
    </row>
    <row r="587">
      <c r="B587" s="41"/>
      <c r="E587" s="41"/>
      <c r="F587" s="41"/>
      <c r="G587" s="41"/>
      <c r="Z587" s="38">
        <f t="shared" si="25"/>
        <v>0.728770668</v>
      </c>
      <c r="AA587" s="74"/>
    </row>
    <row r="588">
      <c r="B588" s="41"/>
      <c r="E588" s="41"/>
      <c r="F588" s="41"/>
      <c r="G588" s="41"/>
      <c r="Z588" s="38">
        <f t="shared" si="25"/>
        <v>0.5794357785</v>
      </c>
      <c r="AA588" s="74"/>
    </row>
    <row r="589">
      <c r="B589" s="41"/>
      <c r="E589" s="41"/>
      <c r="F589" s="41"/>
      <c r="G589" s="41"/>
      <c r="Z589" s="38">
        <f t="shared" si="25"/>
        <v>0.2986579895</v>
      </c>
      <c r="AA589" s="74"/>
    </row>
    <row r="590">
      <c r="B590" s="41"/>
      <c r="E590" s="41"/>
      <c r="F590" s="41"/>
      <c r="G590" s="41"/>
      <c r="Z590" s="38">
        <f t="shared" si="25"/>
        <v>0.02824309138</v>
      </c>
      <c r="AA590" s="74"/>
    </row>
    <row r="591">
      <c r="B591" s="41"/>
      <c r="E591" s="41"/>
      <c r="F591" s="41"/>
      <c r="G591" s="41"/>
      <c r="Z591" s="38">
        <f t="shared" si="25"/>
        <v>0.2320007473</v>
      </c>
      <c r="AA591" s="74"/>
    </row>
    <row r="592">
      <c r="B592" s="41"/>
      <c r="E592" s="41"/>
      <c r="F592" s="41"/>
      <c r="G592" s="41"/>
      <c r="Z592" s="38">
        <f t="shared" si="25"/>
        <v>0.571366639</v>
      </c>
      <c r="AA592" s="74"/>
    </row>
    <row r="593">
      <c r="B593" s="41"/>
      <c r="E593" s="41"/>
      <c r="F593" s="41"/>
      <c r="G593" s="41"/>
      <c r="Z593" s="38">
        <f t="shared" si="25"/>
        <v>0.6090942923</v>
      </c>
      <c r="AA593" s="74"/>
    </row>
    <row r="594">
      <c r="B594" s="41"/>
      <c r="E594" s="41"/>
      <c r="F594" s="41"/>
      <c r="G594" s="41"/>
      <c r="Z594" s="38">
        <f t="shared" si="25"/>
        <v>0.08068556695</v>
      </c>
      <c r="AA594" s="74"/>
    </row>
    <row r="595">
      <c r="B595" s="41"/>
      <c r="E595" s="41"/>
      <c r="F595" s="41"/>
      <c r="G595" s="41"/>
      <c r="Z595" s="38">
        <f t="shared" si="25"/>
        <v>0.8678563817</v>
      </c>
      <c r="AA595" s="74"/>
    </row>
    <row r="596">
      <c r="B596" s="41"/>
      <c r="E596" s="41"/>
      <c r="F596" s="41"/>
      <c r="G596" s="41"/>
      <c r="Z596" s="38">
        <f t="shared" si="25"/>
        <v>0.9623020168</v>
      </c>
      <c r="AA596" s="74"/>
    </row>
    <row r="597">
      <c r="B597" s="41"/>
      <c r="E597" s="41"/>
      <c r="F597" s="41"/>
      <c r="G597" s="41"/>
      <c r="Z597" s="38">
        <f t="shared" si="25"/>
        <v>0.2490907848</v>
      </c>
      <c r="AA597" s="74"/>
    </row>
    <row r="598">
      <c r="B598" s="41"/>
      <c r="E598" s="41"/>
      <c r="F598" s="41"/>
      <c r="G598" s="41"/>
      <c r="Z598" s="38">
        <f t="shared" si="25"/>
        <v>0.8448574891</v>
      </c>
      <c r="AA598" s="74"/>
    </row>
    <row r="599">
      <c r="B599" s="41"/>
      <c r="E599" s="41"/>
      <c r="F599" s="41"/>
      <c r="G599" s="41"/>
      <c r="Z599" s="38">
        <f t="shared" si="25"/>
        <v>0.5168824483</v>
      </c>
      <c r="AA599" s="74"/>
    </row>
    <row r="600">
      <c r="B600" s="41"/>
      <c r="E600" s="41"/>
      <c r="F600" s="41"/>
      <c r="G600" s="41"/>
      <c r="Z600" s="38">
        <f t="shared" si="25"/>
        <v>0.9615138629</v>
      </c>
      <c r="AA600" s="74"/>
    </row>
    <row r="601">
      <c r="B601" s="41"/>
      <c r="E601" s="41"/>
      <c r="F601" s="41"/>
      <c r="G601" s="41"/>
      <c r="Z601" s="38">
        <f t="shared" si="25"/>
        <v>0.5142864054</v>
      </c>
      <c r="AA601" s="74"/>
    </row>
    <row r="602">
      <c r="B602" s="41"/>
      <c r="E602" s="41"/>
      <c r="F602" s="41"/>
      <c r="G602" s="41"/>
      <c r="Z602" s="38">
        <f t="shared" si="25"/>
        <v>0.5594150833</v>
      </c>
      <c r="AA602" s="74"/>
    </row>
    <row r="603">
      <c r="B603" s="41"/>
      <c r="E603" s="41"/>
      <c r="F603" s="41"/>
      <c r="G603" s="41"/>
      <c r="Z603" s="38">
        <f t="shared" si="25"/>
        <v>0.6734529531</v>
      </c>
      <c r="AA603" s="74"/>
    </row>
    <row r="604">
      <c r="B604" s="41"/>
      <c r="E604" s="41"/>
      <c r="F604" s="41"/>
      <c r="G604" s="41"/>
      <c r="Z604" s="38">
        <f t="shared" si="25"/>
        <v>0.3495717503</v>
      </c>
      <c r="AA604" s="74"/>
    </row>
    <row r="605">
      <c r="B605" s="41"/>
      <c r="E605" s="41"/>
      <c r="F605" s="41"/>
      <c r="G605" s="41"/>
      <c r="Z605" s="38">
        <f t="shared" si="25"/>
        <v>0.4720909102</v>
      </c>
      <c r="AA605" s="74"/>
    </row>
    <row r="606">
      <c r="B606" s="41"/>
      <c r="E606" s="41"/>
      <c r="F606" s="41"/>
      <c r="G606" s="41"/>
      <c r="Z606" s="38">
        <f t="shared" si="25"/>
        <v>0.917570932</v>
      </c>
      <c r="AA606" s="74"/>
    </row>
    <row r="607">
      <c r="B607" s="41"/>
      <c r="E607" s="41"/>
      <c r="F607" s="41"/>
      <c r="G607" s="41"/>
      <c r="Z607" s="38">
        <f t="shared" si="25"/>
        <v>0.2070976909</v>
      </c>
      <c r="AA607" s="74"/>
    </row>
    <row r="608">
      <c r="B608" s="41"/>
      <c r="E608" s="41"/>
      <c r="F608" s="41"/>
      <c r="G608" s="41"/>
      <c r="Z608" s="38">
        <f t="shared" si="25"/>
        <v>0.8514995055</v>
      </c>
      <c r="AA608" s="74"/>
    </row>
    <row r="609">
      <c r="B609" s="41"/>
      <c r="E609" s="41"/>
      <c r="F609" s="41"/>
      <c r="G609" s="41"/>
      <c r="Z609" s="38">
        <f t="shared" si="25"/>
        <v>0.3617810582</v>
      </c>
      <c r="AA609" s="74"/>
    </row>
    <row r="610">
      <c r="B610" s="41"/>
      <c r="E610" s="41"/>
      <c r="F610" s="41"/>
      <c r="G610" s="41"/>
      <c r="Z610" s="38">
        <f t="shared" si="25"/>
        <v>0.7613056556</v>
      </c>
      <c r="AA610" s="74"/>
    </row>
    <row r="611">
      <c r="B611" s="41"/>
      <c r="E611" s="41"/>
      <c r="F611" s="41"/>
      <c r="G611" s="41"/>
      <c r="Z611" s="38">
        <f t="shared" si="25"/>
        <v>0.3740015226</v>
      </c>
      <c r="AA611" s="74"/>
    </row>
    <row r="612">
      <c r="B612" s="41"/>
      <c r="E612" s="41"/>
      <c r="F612" s="41"/>
      <c r="G612" s="41"/>
      <c r="Z612" s="38">
        <f t="shared" si="25"/>
        <v>0.2199510884</v>
      </c>
      <c r="AA612" s="74"/>
    </row>
    <row r="613">
      <c r="B613" s="41"/>
      <c r="E613" s="41"/>
      <c r="F613" s="41"/>
      <c r="G613" s="41"/>
      <c r="Z613" s="38">
        <f t="shared" si="25"/>
        <v>0.1955295172</v>
      </c>
      <c r="AA613" s="74"/>
    </row>
    <row r="614">
      <c r="B614" s="41"/>
      <c r="E614" s="41"/>
      <c r="F614" s="41"/>
      <c r="G614" s="41"/>
      <c r="Z614" s="38">
        <f t="shared" si="25"/>
        <v>0.2606993158</v>
      </c>
      <c r="AA614" s="74"/>
    </row>
    <row r="615">
      <c r="B615" s="41"/>
      <c r="E615" s="41"/>
      <c r="F615" s="41"/>
      <c r="G615" s="41"/>
      <c r="Z615" s="38">
        <f t="shared" si="25"/>
        <v>0.6728231052</v>
      </c>
      <c r="AA615" s="74"/>
    </row>
    <row r="616">
      <c r="B616" s="41"/>
      <c r="E616" s="41"/>
      <c r="F616" s="41"/>
      <c r="G616" s="41"/>
      <c r="Z616" s="38">
        <f t="shared" si="25"/>
        <v>0.4294369651</v>
      </c>
      <c r="AA616" s="74"/>
    </row>
    <row r="617">
      <c r="B617" s="41"/>
      <c r="E617" s="41"/>
      <c r="F617" s="41"/>
      <c r="G617" s="41"/>
      <c r="Z617" s="38">
        <f t="shared" si="25"/>
        <v>0.309298042</v>
      </c>
      <c r="AA617" s="74"/>
    </row>
    <row r="618">
      <c r="B618" s="41"/>
      <c r="E618" s="41"/>
      <c r="F618" s="41"/>
      <c r="G618" s="41"/>
      <c r="Z618" s="38">
        <f t="shared" si="25"/>
        <v>0.4818555902</v>
      </c>
      <c r="AA618" s="74"/>
    </row>
    <row r="619">
      <c r="B619" s="41"/>
      <c r="E619" s="41"/>
      <c r="F619" s="41"/>
      <c r="G619" s="41"/>
      <c r="Z619" s="38">
        <f t="shared" si="25"/>
        <v>0.3001123495</v>
      </c>
      <c r="AA619" s="74"/>
    </row>
    <row r="620">
      <c r="B620" s="41"/>
      <c r="E620" s="41"/>
      <c r="F620" s="41"/>
      <c r="G620" s="41"/>
      <c r="Z620" s="38">
        <f t="shared" si="25"/>
        <v>0.8015779405</v>
      </c>
      <c r="AA620" s="74"/>
    </row>
    <row r="621">
      <c r="B621" s="41"/>
      <c r="E621" s="41"/>
      <c r="F621" s="41"/>
      <c r="G621" s="41"/>
      <c r="Z621" s="38">
        <f t="shared" si="25"/>
        <v>0.1017848699</v>
      </c>
      <c r="AA621" s="74"/>
    </row>
    <row r="622">
      <c r="B622" s="41"/>
      <c r="E622" s="41"/>
      <c r="F622" s="41"/>
      <c r="G622" s="41"/>
      <c r="Z622" s="38">
        <f t="shared" si="25"/>
        <v>0.1189619398</v>
      </c>
      <c r="AA622" s="74"/>
    </row>
    <row r="623">
      <c r="B623" s="41"/>
      <c r="E623" s="41"/>
      <c r="F623" s="41"/>
      <c r="G623" s="41"/>
      <c r="Z623" s="38">
        <f t="shared" si="25"/>
        <v>0.0279892732</v>
      </c>
      <c r="AA623" s="74"/>
    </row>
    <row r="624">
      <c r="B624" s="41"/>
      <c r="E624" s="41"/>
      <c r="F624" s="41"/>
      <c r="G624" s="41"/>
      <c r="Z624" s="38">
        <f t="shared" si="25"/>
        <v>0.4565585214</v>
      </c>
      <c r="AA624" s="74"/>
    </row>
    <row r="625">
      <c r="B625" s="41"/>
      <c r="E625" s="41"/>
      <c r="F625" s="41"/>
      <c r="G625" s="41"/>
      <c r="Z625" s="38">
        <f t="shared" si="25"/>
        <v>0.09512345011</v>
      </c>
      <c r="AA625" s="74"/>
    </row>
    <row r="626">
      <c r="B626" s="41"/>
      <c r="E626" s="41"/>
      <c r="F626" s="41"/>
      <c r="G626" s="41"/>
      <c r="Z626" s="38">
        <f t="shared" si="25"/>
        <v>0.694349048</v>
      </c>
      <c r="AA626" s="74"/>
    </row>
    <row r="627">
      <c r="B627" s="41"/>
      <c r="E627" s="41"/>
      <c r="F627" s="41"/>
      <c r="G627" s="41"/>
      <c r="Z627" s="38">
        <f t="shared" si="25"/>
        <v>0.3003791555</v>
      </c>
      <c r="AA627" s="74"/>
    </row>
    <row r="628">
      <c r="B628" s="41"/>
      <c r="E628" s="41"/>
      <c r="F628" s="41"/>
      <c r="G628" s="41"/>
      <c r="Z628" s="38">
        <f t="shared" si="25"/>
        <v>0.2173972717</v>
      </c>
      <c r="AA628" s="74"/>
    </row>
    <row r="629">
      <c r="B629" s="41"/>
      <c r="E629" s="41"/>
      <c r="F629" s="41"/>
      <c r="G629" s="41"/>
      <c r="Z629" s="38">
        <f t="shared" si="25"/>
        <v>0.7527884283</v>
      </c>
      <c r="AA629" s="74"/>
    </row>
    <row r="630">
      <c r="B630" s="41"/>
      <c r="E630" s="41"/>
      <c r="F630" s="41"/>
      <c r="G630" s="41"/>
      <c r="Z630" s="38">
        <f t="shared" si="25"/>
        <v>0.7149837924</v>
      </c>
      <c r="AA630" s="74"/>
    </row>
    <row r="631">
      <c r="B631" s="41"/>
      <c r="E631" s="41"/>
      <c r="F631" s="41"/>
      <c r="G631" s="41"/>
      <c r="Z631" s="38">
        <f t="shared" si="25"/>
        <v>0.2239821233</v>
      </c>
      <c r="AA631" s="74"/>
    </row>
    <row r="632">
      <c r="B632" s="41"/>
      <c r="E632" s="41"/>
      <c r="F632" s="41"/>
      <c r="G632" s="41"/>
      <c r="Z632" s="38">
        <f t="shared" si="25"/>
        <v>0.9813467453</v>
      </c>
      <c r="AA632" s="74"/>
    </row>
    <row r="633">
      <c r="B633" s="41"/>
      <c r="E633" s="41"/>
      <c r="F633" s="41"/>
      <c r="G633" s="41"/>
      <c r="Z633" s="38">
        <f t="shared" si="25"/>
        <v>0.1981714188</v>
      </c>
      <c r="AA633" s="74"/>
    </row>
    <row r="634">
      <c r="B634" s="41"/>
      <c r="E634" s="41"/>
      <c r="F634" s="41"/>
      <c r="G634" s="41"/>
      <c r="Z634" s="38">
        <f t="shared" si="25"/>
        <v>0.1146495464</v>
      </c>
      <c r="AA634" s="74"/>
    </row>
    <row r="635">
      <c r="B635" s="41"/>
      <c r="E635" s="41"/>
      <c r="F635" s="41"/>
      <c r="G635" s="41"/>
      <c r="Z635" s="38">
        <f t="shared" si="25"/>
        <v>0.9162878436</v>
      </c>
      <c r="AA635" s="74"/>
    </row>
    <row r="636">
      <c r="B636" s="41"/>
      <c r="E636" s="41"/>
      <c r="F636" s="41"/>
      <c r="G636" s="41"/>
      <c r="Z636" s="38">
        <f t="shared" si="25"/>
        <v>0.616681404</v>
      </c>
      <c r="AA636" s="74"/>
    </row>
    <row r="637">
      <c r="B637" s="41"/>
      <c r="E637" s="41"/>
      <c r="F637" s="41"/>
      <c r="G637" s="41"/>
      <c r="Z637" s="38">
        <f t="shared" si="25"/>
        <v>0.09154785251</v>
      </c>
      <c r="AA637" s="74"/>
    </row>
    <row r="638">
      <c r="B638" s="41"/>
      <c r="E638" s="41"/>
      <c r="F638" s="41"/>
      <c r="G638" s="41"/>
      <c r="Z638" s="38">
        <f t="shared" si="25"/>
        <v>0.8081382588</v>
      </c>
      <c r="AA638" s="74"/>
    </row>
    <row r="639">
      <c r="B639" s="41"/>
      <c r="E639" s="41"/>
      <c r="F639" s="41"/>
      <c r="G639" s="41"/>
      <c r="Z639" s="38">
        <f t="shared" si="25"/>
        <v>0.3653291375</v>
      </c>
      <c r="AA639" s="74"/>
    </row>
    <row r="640">
      <c r="B640" s="41"/>
      <c r="E640" s="41"/>
      <c r="F640" s="41"/>
      <c r="G640" s="41"/>
      <c r="Z640" s="38">
        <f t="shared" si="25"/>
        <v>0.6433264114</v>
      </c>
      <c r="AA640" s="74"/>
    </row>
    <row r="641">
      <c r="B641" s="41"/>
      <c r="E641" s="41"/>
      <c r="F641" s="41"/>
      <c r="G641" s="41"/>
      <c r="Z641" s="38">
        <f t="shared" si="25"/>
        <v>0.4436636721</v>
      </c>
      <c r="AA641" s="74"/>
    </row>
    <row r="642">
      <c r="B642" s="41"/>
      <c r="E642" s="41"/>
      <c r="F642" s="41"/>
      <c r="G642" s="41"/>
      <c r="Z642" s="38">
        <f t="shared" si="25"/>
        <v>0.3370995685</v>
      </c>
      <c r="AA642" s="74"/>
    </row>
    <row r="643">
      <c r="B643" s="41"/>
      <c r="E643" s="41"/>
      <c r="F643" s="41"/>
      <c r="G643" s="41"/>
      <c r="Z643" s="38">
        <f t="shared" si="25"/>
        <v>0.5545005892</v>
      </c>
      <c r="AA643" s="74"/>
    </row>
    <row r="644">
      <c r="B644" s="41"/>
      <c r="E644" s="41"/>
      <c r="F644" s="41"/>
      <c r="G644" s="41"/>
      <c r="Z644" s="38">
        <f t="shared" si="25"/>
        <v>0.3122264954</v>
      </c>
      <c r="AA644" s="74"/>
    </row>
    <row r="645">
      <c r="B645" s="41"/>
      <c r="E645" s="41"/>
      <c r="F645" s="41"/>
      <c r="G645" s="41"/>
      <c r="Z645" s="38">
        <f t="shared" si="25"/>
        <v>0.07092823121</v>
      </c>
      <c r="AA645" s="74"/>
    </row>
    <row r="646">
      <c r="B646" s="41"/>
      <c r="E646" s="41"/>
      <c r="F646" s="41"/>
      <c r="G646" s="41"/>
      <c r="Z646" s="38">
        <f t="shared" si="25"/>
        <v>0.3967613126</v>
      </c>
      <c r="AA646" s="74"/>
    </row>
    <row r="647">
      <c r="B647" s="41"/>
      <c r="E647" s="41"/>
      <c r="F647" s="41"/>
      <c r="G647" s="41"/>
      <c r="Z647" s="38">
        <f t="shared" si="25"/>
        <v>0.110651758</v>
      </c>
      <c r="AA647" s="74"/>
    </row>
    <row r="648">
      <c r="B648" s="41"/>
      <c r="E648" s="41"/>
      <c r="F648" s="41"/>
      <c r="G648" s="41"/>
      <c r="Z648" s="38">
        <f t="shared" si="25"/>
        <v>0.2110484203</v>
      </c>
      <c r="AA648" s="74"/>
    </row>
    <row r="649">
      <c r="B649" s="41"/>
      <c r="E649" s="41"/>
      <c r="F649" s="41"/>
      <c r="G649" s="41"/>
      <c r="Z649" s="38">
        <f t="shared" si="25"/>
        <v>0.7302079949</v>
      </c>
      <c r="AA649" s="74"/>
    </row>
    <row r="650">
      <c r="B650" s="41"/>
      <c r="E650" s="41"/>
      <c r="F650" s="41"/>
      <c r="G650" s="41"/>
      <c r="Z650" s="38">
        <f t="shared" si="25"/>
        <v>0.498557382</v>
      </c>
      <c r="AA650" s="74"/>
    </row>
    <row r="651">
      <c r="B651" s="41"/>
      <c r="E651" s="41"/>
      <c r="F651" s="41"/>
      <c r="G651" s="41"/>
      <c r="Z651" s="38">
        <f t="shared" si="25"/>
        <v>0.1447967045</v>
      </c>
      <c r="AA651" s="74"/>
    </row>
    <row r="652">
      <c r="B652" s="41"/>
      <c r="E652" s="41"/>
      <c r="F652" s="41"/>
      <c r="G652" s="41"/>
      <c r="Z652" s="38">
        <f t="shared" si="25"/>
        <v>0.1927566453</v>
      </c>
      <c r="AA652" s="74"/>
    </row>
    <row r="653">
      <c r="B653" s="41"/>
      <c r="E653" s="41"/>
      <c r="F653" s="41"/>
      <c r="G653" s="41"/>
      <c r="Z653" s="38">
        <f t="shared" si="25"/>
        <v>0.7104730634</v>
      </c>
      <c r="AA653" s="74"/>
    </row>
    <row r="654">
      <c r="B654" s="41"/>
      <c r="E654" s="41"/>
      <c r="F654" s="41"/>
      <c r="G654" s="41"/>
      <c r="Z654" s="38">
        <f t="shared" si="25"/>
        <v>0.1457685662</v>
      </c>
      <c r="AA654" s="74"/>
    </row>
    <row r="655">
      <c r="B655" s="41"/>
      <c r="E655" s="41"/>
      <c r="F655" s="41"/>
      <c r="G655" s="41"/>
      <c r="Z655" s="38">
        <f t="shared" si="25"/>
        <v>0.272164995</v>
      </c>
      <c r="AA655" s="74"/>
    </row>
    <row r="656">
      <c r="B656" s="41"/>
      <c r="E656" s="41"/>
      <c r="F656" s="41"/>
      <c r="G656" s="41"/>
      <c r="Z656" s="38">
        <f t="shared" si="25"/>
        <v>0.2487968096</v>
      </c>
      <c r="AA656" s="74"/>
    </row>
    <row r="657">
      <c r="B657" s="41"/>
      <c r="E657" s="41"/>
      <c r="F657" s="41"/>
      <c r="G657" s="41"/>
      <c r="Z657" s="38">
        <f t="shared" si="25"/>
        <v>0.8040567795</v>
      </c>
      <c r="AA657" s="74"/>
    </row>
    <row r="658">
      <c r="B658" s="41"/>
      <c r="E658" s="41"/>
      <c r="F658" s="41"/>
      <c r="G658" s="41"/>
      <c r="Z658" s="38">
        <f t="shared" si="25"/>
        <v>0.6776020752</v>
      </c>
      <c r="AA658" s="74"/>
    </row>
    <row r="659">
      <c r="B659" s="41"/>
      <c r="E659" s="41"/>
      <c r="F659" s="41"/>
      <c r="G659" s="41"/>
      <c r="Z659" s="38">
        <f t="shared" si="25"/>
        <v>0.02195150532</v>
      </c>
      <c r="AA659" s="74"/>
    </row>
    <row r="660">
      <c r="B660" s="41"/>
      <c r="E660" s="41"/>
      <c r="F660" s="41"/>
      <c r="G660" s="41"/>
      <c r="Z660" s="38">
        <f t="shared" si="25"/>
        <v>0.9300667083</v>
      </c>
      <c r="AA660" s="74"/>
    </row>
    <row r="661">
      <c r="B661" s="41"/>
      <c r="E661" s="41"/>
      <c r="F661" s="41"/>
      <c r="G661" s="41"/>
      <c r="Z661" s="38">
        <f t="shared" si="25"/>
        <v>0.1320458576</v>
      </c>
      <c r="AA661" s="74"/>
    </row>
    <row r="662">
      <c r="B662" s="41"/>
      <c r="E662" s="41"/>
      <c r="F662" s="41"/>
      <c r="G662" s="41"/>
      <c r="Z662" s="38">
        <f t="shared" si="25"/>
        <v>0.3717065284</v>
      </c>
      <c r="AA662" s="74"/>
    </row>
    <row r="663">
      <c r="B663" s="41"/>
      <c r="E663" s="41"/>
      <c r="F663" s="41"/>
      <c r="G663" s="41"/>
      <c r="Z663" s="38">
        <f t="shared" si="25"/>
        <v>0.9770058219</v>
      </c>
      <c r="AA663" s="74"/>
    </row>
    <row r="664">
      <c r="B664" s="41"/>
      <c r="E664" s="41"/>
      <c r="F664" s="41"/>
      <c r="G664" s="41"/>
      <c r="Z664" s="38">
        <f t="shared" si="25"/>
        <v>0.05655032346</v>
      </c>
      <c r="AA664" s="74"/>
    </row>
    <row r="665">
      <c r="B665" s="41"/>
      <c r="E665" s="41"/>
      <c r="F665" s="41"/>
      <c r="G665" s="41"/>
      <c r="Z665" s="38">
        <f t="shared" si="25"/>
        <v>0.2563271211</v>
      </c>
      <c r="AA665" s="74"/>
    </row>
    <row r="666">
      <c r="B666" s="41"/>
      <c r="E666" s="41"/>
      <c r="F666" s="41"/>
      <c r="G666" s="41"/>
      <c r="Z666" s="38">
        <f t="shared" si="25"/>
        <v>0.485938653</v>
      </c>
      <c r="AA666" s="74"/>
    </row>
    <row r="667">
      <c r="B667" s="41"/>
      <c r="E667" s="41"/>
      <c r="F667" s="41"/>
      <c r="G667" s="41"/>
      <c r="Z667" s="38">
        <f t="shared" si="25"/>
        <v>0.01983436465</v>
      </c>
      <c r="AA667" s="74"/>
    </row>
    <row r="668">
      <c r="B668" s="41"/>
      <c r="E668" s="41"/>
      <c r="F668" s="41"/>
      <c r="G668" s="41"/>
      <c r="Z668" s="38">
        <f t="shared" si="25"/>
        <v>0.7504351679</v>
      </c>
      <c r="AA668" s="74"/>
    </row>
    <row r="669">
      <c r="B669" s="41"/>
      <c r="E669" s="41"/>
      <c r="F669" s="41"/>
      <c r="G669" s="41"/>
      <c r="Z669" s="38">
        <f t="shared" si="25"/>
        <v>0.375073855</v>
      </c>
      <c r="AA669" s="74"/>
    </row>
    <row r="670">
      <c r="B670" s="41"/>
      <c r="E670" s="41"/>
      <c r="F670" s="41"/>
      <c r="G670" s="41"/>
      <c r="Z670" s="38">
        <f t="shared" si="25"/>
        <v>0.6672689784</v>
      </c>
      <c r="AA670" s="74"/>
    </row>
    <row r="671">
      <c r="B671" s="41"/>
      <c r="E671" s="41"/>
      <c r="F671" s="41"/>
      <c r="G671" s="41"/>
      <c r="Z671" s="38">
        <f t="shared" si="25"/>
        <v>0.003671293482</v>
      </c>
      <c r="AA671" s="74"/>
    </row>
    <row r="672">
      <c r="B672" s="41"/>
      <c r="E672" s="41"/>
      <c r="F672" s="41"/>
      <c r="G672" s="41"/>
      <c r="Z672" s="38">
        <f t="shared" si="25"/>
        <v>0.2777292396</v>
      </c>
      <c r="AA672" s="74"/>
    </row>
    <row r="673">
      <c r="B673" s="41"/>
      <c r="E673" s="41"/>
      <c r="F673" s="41"/>
      <c r="G673" s="41"/>
      <c r="Z673" s="38">
        <f t="shared" si="25"/>
        <v>0.1689634796</v>
      </c>
      <c r="AA673" s="74"/>
    </row>
    <row r="674">
      <c r="B674" s="41"/>
      <c r="E674" s="41"/>
      <c r="F674" s="41"/>
      <c r="G674" s="41"/>
      <c r="Z674" s="38">
        <f t="shared" si="25"/>
        <v>0.5590337276</v>
      </c>
      <c r="AA674" s="74"/>
    </row>
    <row r="675">
      <c r="B675" s="41"/>
      <c r="E675" s="41"/>
      <c r="F675" s="41"/>
      <c r="G675" s="41"/>
      <c r="Z675" s="38">
        <f t="shared" si="25"/>
        <v>0.01600732312</v>
      </c>
      <c r="AA675" s="74"/>
    </row>
    <row r="676">
      <c r="B676" s="41"/>
      <c r="E676" s="41"/>
      <c r="F676" s="41"/>
      <c r="G676" s="41"/>
      <c r="Z676" s="38">
        <f t="shared" si="25"/>
        <v>0.7898381727</v>
      </c>
      <c r="AA676" s="74"/>
    </row>
    <row r="677">
      <c r="B677" s="41"/>
      <c r="E677" s="41"/>
      <c r="F677" s="41"/>
      <c r="G677" s="41"/>
      <c r="Z677" s="38">
        <f t="shared" si="25"/>
        <v>0.04217512083</v>
      </c>
      <c r="AA677" s="74"/>
    </row>
    <row r="678">
      <c r="B678" s="41"/>
      <c r="E678" s="41"/>
      <c r="F678" s="41"/>
      <c r="G678" s="41"/>
      <c r="Z678" s="38">
        <f t="shared" si="25"/>
        <v>0.4973101529</v>
      </c>
      <c r="AA678" s="74"/>
    </row>
    <row r="679">
      <c r="B679" s="41"/>
      <c r="E679" s="41"/>
      <c r="F679" s="41"/>
      <c r="G679" s="41"/>
      <c r="Z679" s="38">
        <f t="shared" si="25"/>
        <v>0.156847906</v>
      </c>
      <c r="AA679" s="74"/>
    </row>
    <row r="680">
      <c r="B680" s="41"/>
      <c r="E680" s="41"/>
      <c r="F680" s="41"/>
      <c r="G680" s="41"/>
      <c r="Z680" s="38">
        <f t="shared" si="25"/>
        <v>0.8192596155</v>
      </c>
      <c r="AA680" s="74"/>
    </row>
    <row r="681">
      <c r="B681" s="41"/>
      <c r="E681" s="41"/>
      <c r="F681" s="41"/>
      <c r="G681" s="41"/>
      <c r="Z681" s="38">
        <f t="shared" si="25"/>
        <v>0.08522440717</v>
      </c>
      <c r="AA681" s="74"/>
    </row>
    <row r="682">
      <c r="B682" s="41"/>
      <c r="E682" s="41"/>
      <c r="F682" s="41"/>
      <c r="G682" s="41"/>
      <c r="Z682" s="38">
        <f t="shared" si="25"/>
        <v>0.9030138202</v>
      </c>
      <c r="AA682" s="74"/>
    </row>
    <row r="683">
      <c r="B683" s="41"/>
      <c r="E683" s="41"/>
      <c r="F683" s="41"/>
      <c r="G683" s="41"/>
      <c r="Z683" s="38">
        <f t="shared" si="25"/>
        <v>0.4151054494</v>
      </c>
      <c r="AA683" s="74"/>
    </row>
    <row r="684">
      <c r="B684" s="41"/>
      <c r="E684" s="41"/>
      <c r="F684" s="41"/>
      <c r="G684" s="41"/>
      <c r="Z684" s="38">
        <f t="shared" si="25"/>
        <v>0.3024963049</v>
      </c>
      <c r="AA684" s="74"/>
    </row>
    <row r="685">
      <c r="B685" s="41"/>
      <c r="E685" s="41"/>
      <c r="F685" s="41"/>
      <c r="G685" s="41"/>
      <c r="Z685" s="38">
        <f t="shared" si="25"/>
        <v>0.0759500108</v>
      </c>
      <c r="AA685" s="74"/>
    </row>
    <row r="686">
      <c r="B686" s="41"/>
      <c r="E686" s="41"/>
      <c r="F686" s="41"/>
      <c r="G686" s="41"/>
      <c r="Z686" s="38">
        <f t="shared" si="25"/>
        <v>0.3483855142</v>
      </c>
      <c r="AA686" s="74"/>
    </row>
    <row r="687">
      <c r="B687" s="41"/>
      <c r="E687" s="41"/>
      <c r="F687" s="41"/>
      <c r="G687" s="41"/>
      <c r="Z687" s="38">
        <f t="shared" si="25"/>
        <v>0.7939131416</v>
      </c>
      <c r="AA687" s="74"/>
    </row>
    <row r="688">
      <c r="B688" s="41"/>
      <c r="E688" s="41"/>
      <c r="F688" s="41"/>
      <c r="G688" s="41"/>
      <c r="Z688" s="38">
        <f t="shared" si="25"/>
        <v>0.9784852146</v>
      </c>
      <c r="AA688" s="74"/>
    </row>
    <row r="689">
      <c r="B689" s="41"/>
      <c r="E689" s="41"/>
      <c r="F689" s="41"/>
      <c r="G689" s="41"/>
      <c r="Z689" s="38">
        <f t="shared" si="25"/>
        <v>0.230474276</v>
      </c>
      <c r="AA689" s="74"/>
    </row>
    <row r="690">
      <c r="B690" s="41"/>
      <c r="E690" s="41"/>
      <c r="F690" s="41"/>
      <c r="G690" s="41"/>
      <c r="Z690" s="38">
        <f t="shared" si="25"/>
        <v>0.3048566512</v>
      </c>
      <c r="AA690" s="74"/>
    </row>
    <row r="691">
      <c r="B691" s="41"/>
      <c r="E691" s="41"/>
      <c r="F691" s="41"/>
      <c r="G691" s="41"/>
      <c r="Z691" s="38">
        <f t="shared" si="25"/>
        <v>0.3092800591</v>
      </c>
      <c r="AA691" s="74"/>
    </row>
    <row r="692">
      <c r="B692" s="41"/>
      <c r="E692" s="41"/>
      <c r="F692" s="41"/>
      <c r="G692" s="41"/>
      <c r="Z692" s="38">
        <f t="shared" si="25"/>
        <v>0.2422849076</v>
      </c>
      <c r="AA692" s="74"/>
    </row>
    <row r="693">
      <c r="B693" s="41"/>
      <c r="E693" s="41"/>
      <c r="F693" s="41"/>
      <c r="G693" s="41"/>
      <c r="Z693" s="38">
        <f t="shared" si="25"/>
        <v>0.2177186224</v>
      </c>
      <c r="AA693" s="74"/>
    </row>
    <row r="694">
      <c r="B694" s="41"/>
      <c r="E694" s="41"/>
      <c r="F694" s="41"/>
      <c r="G694" s="41"/>
      <c r="Z694" s="38">
        <f t="shared" si="25"/>
        <v>0.2638518186</v>
      </c>
      <c r="AA694" s="74"/>
    </row>
    <row r="695">
      <c r="B695" s="41"/>
      <c r="E695" s="41"/>
      <c r="F695" s="41"/>
      <c r="G695" s="41"/>
      <c r="Z695" s="38">
        <f t="shared" si="25"/>
        <v>0.8663909189</v>
      </c>
      <c r="AA695" s="74"/>
    </row>
    <row r="696">
      <c r="B696" s="41"/>
      <c r="E696" s="41"/>
      <c r="F696" s="41"/>
      <c r="G696" s="41"/>
      <c r="Z696" s="38">
        <f t="shared" si="25"/>
        <v>0.9214591025</v>
      </c>
      <c r="AA696" s="74"/>
    </row>
    <row r="697">
      <c r="B697" s="41"/>
      <c r="E697" s="41"/>
      <c r="F697" s="41"/>
      <c r="G697" s="41"/>
      <c r="Z697" s="38">
        <f t="shared" si="25"/>
        <v>0.1590615273</v>
      </c>
      <c r="AA697" s="74"/>
    </row>
    <row r="698">
      <c r="B698" s="41"/>
      <c r="E698" s="41"/>
      <c r="F698" s="41"/>
      <c r="G698" s="41"/>
      <c r="Z698" s="38">
        <f t="shared" si="25"/>
        <v>0.262907592</v>
      </c>
      <c r="AA698" s="74"/>
    </row>
    <row r="699">
      <c r="B699" s="41"/>
      <c r="E699" s="41"/>
      <c r="F699" s="41"/>
      <c r="G699" s="41"/>
      <c r="Z699" s="38">
        <f t="shared" si="25"/>
        <v>0.3039862753</v>
      </c>
      <c r="AA699" s="74"/>
    </row>
    <row r="700">
      <c r="B700" s="41"/>
      <c r="E700" s="41"/>
      <c r="F700" s="41"/>
      <c r="G700" s="41"/>
      <c r="Z700" s="38">
        <f t="shared" si="25"/>
        <v>0.9865394419</v>
      </c>
      <c r="AA700" s="74"/>
    </row>
    <row r="701">
      <c r="B701" s="41"/>
      <c r="E701" s="41"/>
      <c r="F701" s="41"/>
      <c r="G701" s="41"/>
      <c r="Z701" s="38">
        <f t="shared" si="25"/>
        <v>0.9489852158</v>
      </c>
      <c r="AA701" s="74"/>
    </row>
    <row r="702">
      <c r="B702" s="41"/>
      <c r="E702" s="41"/>
      <c r="F702" s="41"/>
      <c r="G702" s="41"/>
      <c r="Z702" s="38">
        <f t="shared" si="25"/>
        <v>0.8465573941</v>
      </c>
      <c r="AA702" s="74"/>
    </row>
    <row r="703">
      <c r="B703" s="41"/>
      <c r="E703" s="41"/>
      <c r="F703" s="41"/>
      <c r="G703" s="41"/>
      <c r="Z703" s="38">
        <f t="shared" si="25"/>
        <v>0.08964150966</v>
      </c>
      <c r="AA703" s="74"/>
    </row>
    <row r="704">
      <c r="B704" s="41"/>
      <c r="E704" s="41"/>
      <c r="F704" s="41"/>
      <c r="G704" s="41"/>
      <c r="Z704" s="38">
        <f t="shared" si="25"/>
        <v>0.9071457466</v>
      </c>
      <c r="AA704" s="74"/>
    </row>
    <row r="705">
      <c r="B705" s="41"/>
      <c r="E705" s="41"/>
      <c r="F705" s="41"/>
      <c r="G705" s="41"/>
      <c r="Z705" s="38">
        <f t="shared" si="25"/>
        <v>0.2530646834</v>
      </c>
      <c r="AA705" s="74"/>
    </row>
    <row r="706">
      <c r="B706" s="41"/>
      <c r="E706" s="41"/>
      <c r="F706" s="41"/>
      <c r="G706" s="41"/>
      <c r="Z706" s="38">
        <f t="shared" si="25"/>
        <v>0.1447517222</v>
      </c>
      <c r="AA706" s="74"/>
    </row>
    <row r="707">
      <c r="B707" s="41"/>
      <c r="E707" s="41"/>
      <c r="F707" s="41"/>
      <c r="G707" s="41"/>
      <c r="Z707" s="38">
        <f t="shared" si="25"/>
        <v>0.2473961378</v>
      </c>
      <c r="AA707" s="74"/>
    </row>
    <row r="708">
      <c r="B708" s="41"/>
      <c r="E708" s="41"/>
      <c r="F708" s="41"/>
      <c r="G708" s="41"/>
      <c r="Z708" s="38">
        <f t="shared" si="25"/>
        <v>0.221787396</v>
      </c>
      <c r="AA708" s="74"/>
    </row>
    <row r="709">
      <c r="B709" s="41"/>
      <c r="E709" s="41"/>
      <c r="F709" s="41"/>
      <c r="G709" s="41"/>
      <c r="Z709" s="38">
        <f t="shared" si="25"/>
        <v>0.9664108779</v>
      </c>
      <c r="AA709" s="74"/>
    </row>
    <row r="710">
      <c r="B710" s="41"/>
      <c r="E710" s="41"/>
      <c r="F710" s="41"/>
      <c r="G710" s="41"/>
      <c r="Z710" s="38">
        <f t="shared" si="25"/>
        <v>0.06115410186</v>
      </c>
      <c r="AA710" s="74"/>
    </row>
    <row r="711">
      <c r="B711" s="41"/>
      <c r="E711" s="41"/>
      <c r="F711" s="41"/>
      <c r="G711" s="41"/>
      <c r="Z711" s="38">
        <f t="shared" si="25"/>
        <v>0.1040679214</v>
      </c>
      <c r="AA711" s="74"/>
    </row>
    <row r="712">
      <c r="B712" s="41"/>
      <c r="E712" s="41"/>
      <c r="F712" s="41"/>
      <c r="G712" s="41"/>
      <c r="Z712" s="38">
        <f t="shared" si="25"/>
        <v>0.9020651707</v>
      </c>
      <c r="AA712" s="74"/>
    </row>
    <row r="713">
      <c r="B713" s="41"/>
      <c r="E713" s="41"/>
      <c r="F713" s="41"/>
      <c r="G713" s="41"/>
      <c r="Z713" s="38">
        <f t="shared" si="25"/>
        <v>0.7486870837</v>
      </c>
      <c r="AA713" s="74"/>
    </row>
    <row r="714">
      <c r="B714" s="41"/>
      <c r="E714" s="41"/>
      <c r="F714" s="41"/>
      <c r="G714" s="41"/>
      <c r="Z714" s="38">
        <f t="shared" si="25"/>
        <v>0.5294733014</v>
      </c>
      <c r="AA714" s="74"/>
    </row>
    <row r="715">
      <c r="B715" s="41"/>
      <c r="E715" s="41"/>
      <c r="F715" s="41"/>
      <c r="G715" s="41"/>
      <c r="Z715" s="38">
        <f t="shared" si="25"/>
        <v>0.3517182882</v>
      </c>
      <c r="AA715" s="74"/>
    </row>
    <row r="716">
      <c r="B716" s="41"/>
      <c r="E716" s="41"/>
      <c r="F716" s="41"/>
      <c r="G716" s="41"/>
      <c r="Z716" s="38">
        <f t="shared" si="25"/>
        <v>0.2609372986</v>
      </c>
      <c r="AA716" s="74"/>
    </row>
    <row r="717">
      <c r="B717" s="41"/>
      <c r="E717" s="41"/>
      <c r="F717" s="41"/>
      <c r="G717" s="41"/>
      <c r="Z717" s="38">
        <f t="shared" si="25"/>
        <v>0.4910759</v>
      </c>
      <c r="AA717" s="74"/>
    </row>
    <row r="718">
      <c r="B718" s="41"/>
      <c r="E718" s="41"/>
      <c r="F718" s="41"/>
      <c r="G718" s="41"/>
      <c r="Z718" s="38">
        <f t="shared" si="25"/>
        <v>0.4180620157</v>
      </c>
      <c r="AA718" s="74"/>
    </row>
    <row r="719">
      <c r="B719" s="41"/>
      <c r="E719" s="41"/>
      <c r="F719" s="41"/>
      <c r="G719" s="41"/>
      <c r="Z719" s="38">
        <f t="shared" si="25"/>
        <v>0.7411194913</v>
      </c>
      <c r="AA719" s="74"/>
    </row>
    <row r="720">
      <c r="B720" s="41"/>
      <c r="E720" s="41"/>
      <c r="F720" s="41"/>
      <c r="G720" s="41"/>
      <c r="Z720" s="38">
        <f t="shared" si="25"/>
        <v>0.4799100052</v>
      </c>
      <c r="AA720" s="74"/>
    </row>
    <row r="721">
      <c r="B721" s="41"/>
      <c r="E721" s="41"/>
      <c r="F721" s="41"/>
      <c r="G721" s="41"/>
      <c r="Z721" s="38">
        <f t="shared" si="25"/>
        <v>0.2160819213</v>
      </c>
      <c r="AA721" s="74"/>
    </row>
    <row r="722">
      <c r="B722" s="41"/>
      <c r="E722" s="41"/>
      <c r="F722" s="41"/>
      <c r="G722" s="41"/>
      <c r="Z722" s="38">
        <f t="shared" si="25"/>
        <v>0.9413336428</v>
      </c>
      <c r="AA722" s="74"/>
    </row>
    <row r="723">
      <c r="B723" s="41"/>
      <c r="E723" s="41"/>
      <c r="F723" s="41"/>
      <c r="G723" s="41"/>
      <c r="Z723" s="38">
        <f t="shared" si="25"/>
        <v>0.4447057727</v>
      </c>
      <c r="AA723" s="74"/>
    </row>
    <row r="724">
      <c r="B724" s="41"/>
      <c r="E724" s="41"/>
      <c r="F724" s="41"/>
      <c r="G724" s="41"/>
      <c r="Z724" s="38">
        <f t="shared" si="25"/>
        <v>0.3114567699</v>
      </c>
      <c r="AA724" s="74"/>
    </row>
    <row r="725">
      <c r="B725" s="41"/>
      <c r="E725" s="41"/>
      <c r="F725" s="41"/>
      <c r="G725" s="41"/>
      <c r="Z725" s="38">
        <f t="shared" si="25"/>
        <v>0.9628127162</v>
      </c>
      <c r="AA725" s="74"/>
    </row>
    <row r="726">
      <c r="B726" s="41"/>
      <c r="E726" s="41"/>
      <c r="F726" s="41"/>
      <c r="G726" s="41"/>
      <c r="Z726" s="38">
        <f t="shared" si="25"/>
        <v>0.3711181538</v>
      </c>
      <c r="AA726" s="74"/>
    </row>
    <row r="727">
      <c r="B727" s="41"/>
      <c r="E727" s="41"/>
      <c r="F727" s="41"/>
      <c r="G727" s="41"/>
      <c r="Z727" s="38">
        <f t="shared" si="25"/>
        <v>0.7573741158</v>
      </c>
      <c r="AA727" s="74"/>
    </row>
    <row r="728">
      <c r="B728" s="41"/>
      <c r="E728" s="41"/>
      <c r="F728" s="41"/>
      <c r="G728" s="41"/>
      <c r="Z728" s="38">
        <f t="shared" si="25"/>
        <v>0.1506672003</v>
      </c>
      <c r="AA728" s="74"/>
    </row>
    <row r="729">
      <c r="B729" s="41"/>
      <c r="E729" s="41"/>
      <c r="F729" s="41"/>
      <c r="G729" s="41"/>
      <c r="Z729" s="38">
        <f t="shared" si="25"/>
        <v>0.6683887743</v>
      </c>
      <c r="AA729" s="74"/>
    </row>
    <row r="730">
      <c r="B730" s="41"/>
      <c r="E730" s="41"/>
      <c r="F730" s="41"/>
      <c r="G730" s="41"/>
      <c r="Z730" s="38">
        <f t="shared" si="25"/>
        <v>0.4318986528</v>
      </c>
      <c r="AA730" s="74"/>
    </row>
    <row r="731">
      <c r="B731" s="41"/>
      <c r="E731" s="41"/>
      <c r="F731" s="41"/>
      <c r="G731" s="41"/>
      <c r="Z731" s="38">
        <f t="shared" si="25"/>
        <v>0.33963303</v>
      </c>
      <c r="AA731" s="74"/>
    </row>
    <row r="732">
      <c r="B732" s="41"/>
      <c r="E732" s="41"/>
      <c r="F732" s="41"/>
      <c r="G732" s="41"/>
      <c r="Z732" s="38">
        <f t="shared" si="25"/>
        <v>0.4640705726</v>
      </c>
      <c r="AA732" s="74"/>
    </row>
    <row r="733">
      <c r="B733" s="41"/>
      <c r="E733" s="41"/>
      <c r="F733" s="41"/>
      <c r="G733" s="41"/>
      <c r="Z733" s="38">
        <f t="shared" si="25"/>
        <v>0.9203911649</v>
      </c>
      <c r="AA733" s="74"/>
    </row>
    <row r="734">
      <c r="B734" s="41"/>
      <c r="E734" s="41"/>
      <c r="F734" s="41"/>
      <c r="G734" s="41"/>
      <c r="Z734" s="38">
        <f t="shared" si="25"/>
        <v>0.01094080967</v>
      </c>
      <c r="AA734" s="74"/>
    </row>
    <row r="735">
      <c r="B735" s="41"/>
      <c r="E735" s="41"/>
      <c r="F735" s="41"/>
      <c r="G735" s="41"/>
      <c r="Z735" s="38">
        <f t="shared" si="25"/>
        <v>0.6499802451</v>
      </c>
      <c r="AA735" s="74"/>
    </row>
    <row r="736">
      <c r="B736" s="41"/>
      <c r="E736" s="41"/>
      <c r="F736" s="41"/>
      <c r="G736" s="41"/>
      <c r="Z736" s="38">
        <f t="shared" si="25"/>
        <v>0.5137752063</v>
      </c>
      <c r="AA736" s="74"/>
    </row>
    <row r="737">
      <c r="B737" s="41"/>
      <c r="E737" s="41"/>
      <c r="F737" s="41"/>
      <c r="G737" s="41"/>
      <c r="Z737" s="38">
        <f t="shared" si="25"/>
        <v>0.7257626468</v>
      </c>
      <c r="AA737" s="74"/>
    </row>
    <row r="738">
      <c r="B738" s="41"/>
      <c r="E738" s="41"/>
      <c r="F738" s="41"/>
      <c r="G738" s="41"/>
      <c r="Z738" s="38">
        <f t="shared" si="25"/>
        <v>0.7176473464</v>
      </c>
      <c r="AA738" s="74"/>
    </row>
    <row r="739">
      <c r="B739" s="41"/>
      <c r="E739" s="41"/>
      <c r="F739" s="41"/>
      <c r="G739" s="41"/>
      <c r="Z739" s="38">
        <f t="shared" si="25"/>
        <v>0.5620233567</v>
      </c>
      <c r="AA739" s="74"/>
    </row>
    <row r="740">
      <c r="B740" s="41"/>
      <c r="E740" s="41"/>
      <c r="F740" s="41"/>
      <c r="G740" s="41"/>
      <c r="Z740" s="38">
        <f t="shared" si="25"/>
        <v>0.4215098115</v>
      </c>
      <c r="AA740" s="74"/>
    </row>
    <row r="741">
      <c r="B741" s="41"/>
      <c r="E741" s="41"/>
      <c r="F741" s="41"/>
      <c r="G741" s="41"/>
      <c r="Z741" s="38">
        <f t="shared" si="25"/>
        <v>0.1183368385</v>
      </c>
      <c r="AA741" s="74"/>
    </row>
    <row r="742">
      <c r="B742" s="41"/>
      <c r="E742" s="41"/>
      <c r="F742" s="41"/>
      <c r="G742" s="41"/>
      <c r="Z742" s="38">
        <f t="shared" si="25"/>
        <v>0.3860401253</v>
      </c>
      <c r="AA742" s="74"/>
    </row>
    <row r="743">
      <c r="B743" s="41"/>
      <c r="E743" s="41"/>
      <c r="F743" s="41"/>
      <c r="G743" s="41"/>
      <c r="Z743" s="38">
        <f t="shared" si="25"/>
        <v>0.4167401897</v>
      </c>
      <c r="AA743" s="74"/>
    </row>
    <row r="744">
      <c r="B744" s="41"/>
      <c r="E744" s="41"/>
      <c r="F744" s="41"/>
      <c r="G744" s="41"/>
      <c r="Z744" s="38">
        <f t="shared" si="25"/>
        <v>0.8798480962</v>
      </c>
      <c r="AA744" s="74"/>
    </row>
    <row r="745">
      <c r="B745" s="41"/>
      <c r="E745" s="41"/>
      <c r="F745" s="41"/>
      <c r="G745" s="41"/>
      <c r="Z745" s="38">
        <f t="shared" si="25"/>
        <v>0.5101769912</v>
      </c>
      <c r="AA745" s="74"/>
    </row>
    <row r="746">
      <c r="B746" s="41"/>
      <c r="E746" s="41"/>
      <c r="F746" s="41"/>
      <c r="G746" s="41"/>
      <c r="Z746" s="38">
        <f t="shared" si="25"/>
        <v>0.8300926822</v>
      </c>
      <c r="AA746" s="74"/>
    </row>
    <row r="747">
      <c r="B747" s="41"/>
      <c r="E747" s="41"/>
      <c r="F747" s="41"/>
      <c r="G747" s="41"/>
      <c r="Z747" s="38">
        <f t="shared" si="25"/>
        <v>0.9214081947</v>
      </c>
      <c r="AA747" s="74"/>
    </row>
    <row r="748">
      <c r="B748" s="41"/>
      <c r="E748" s="41"/>
      <c r="F748" s="41"/>
      <c r="G748" s="41"/>
      <c r="Z748" s="38">
        <f t="shared" si="25"/>
        <v>0.236843806</v>
      </c>
      <c r="AA748" s="74"/>
    </row>
    <row r="749">
      <c r="B749" s="41"/>
      <c r="E749" s="41"/>
      <c r="F749" s="41"/>
      <c r="G749" s="41"/>
      <c r="Z749" s="38">
        <f t="shared" si="25"/>
        <v>0.1811641116</v>
      </c>
      <c r="AA749" s="74"/>
    </row>
    <row r="750">
      <c r="B750" s="41"/>
      <c r="E750" s="41"/>
      <c r="F750" s="41"/>
      <c r="G750" s="41"/>
      <c r="Z750" s="38">
        <f t="shared" si="25"/>
        <v>0.03370668302</v>
      </c>
      <c r="AA750" s="74"/>
    </row>
    <row r="751">
      <c r="B751" s="41"/>
      <c r="E751" s="41"/>
      <c r="F751" s="41"/>
      <c r="G751" s="41"/>
      <c r="Z751" s="38">
        <f t="shared" si="25"/>
        <v>0.3741156244</v>
      </c>
      <c r="AA751" s="74"/>
    </row>
    <row r="752">
      <c r="B752" s="41"/>
      <c r="E752" s="41"/>
      <c r="F752" s="41"/>
      <c r="G752" s="41"/>
      <c r="Z752" s="38">
        <f t="shared" si="25"/>
        <v>0.2554978752</v>
      </c>
      <c r="AA752" s="74"/>
    </row>
    <row r="753">
      <c r="B753" s="41"/>
      <c r="E753" s="41"/>
      <c r="F753" s="41"/>
      <c r="G753" s="41"/>
      <c r="Z753" s="38">
        <f t="shared" si="25"/>
        <v>0.1967820476</v>
      </c>
      <c r="AA753" s="74"/>
    </row>
    <row r="754">
      <c r="B754" s="41"/>
      <c r="E754" s="41"/>
      <c r="F754" s="41"/>
      <c r="G754" s="41"/>
      <c r="Z754" s="38">
        <f t="shared" si="25"/>
        <v>0.4854455594</v>
      </c>
      <c r="AA754" s="74"/>
    </row>
    <row r="755">
      <c r="B755" s="41"/>
      <c r="E755" s="41"/>
      <c r="F755" s="41"/>
      <c r="G755" s="41"/>
      <c r="Z755" s="38">
        <f t="shared" si="25"/>
        <v>0.666399244</v>
      </c>
      <c r="AA755" s="74"/>
    </row>
    <row r="756">
      <c r="B756" s="41"/>
      <c r="E756" s="41"/>
      <c r="F756" s="41"/>
      <c r="G756" s="41"/>
      <c r="Z756" s="38">
        <f t="shared" si="25"/>
        <v>0.5809255962</v>
      </c>
      <c r="AA756" s="74"/>
    </row>
    <row r="757">
      <c r="B757" s="41"/>
      <c r="E757" s="41"/>
      <c r="F757" s="41"/>
      <c r="G757" s="41"/>
      <c r="Z757" s="38">
        <f t="shared" si="25"/>
        <v>0.3458048291</v>
      </c>
      <c r="AA757" s="74"/>
    </row>
    <row r="758">
      <c r="B758" s="41"/>
      <c r="E758" s="41"/>
      <c r="F758" s="41"/>
      <c r="G758" s="41"/>
      <c r="Z758" s="38">
        <f t="shared" si="25"/>
        <v>0.5527091988</v>
      </c>
      <c r="AA758" s="74"/>
    </row>
    <row r="759">
      <c r="B759" s="41"/>
      <c r="E759" s="41"/>
      <c r="F759" s="41"/>
      <c r="G759" s="41"/>
      <c r="Z759" s="38">
        <f t="shared" si="25"/>
        <v>0.3964367997</v>
      </c>
      <c r="AA759" s="74"/>
    </row>
    <row r="760">
      <c r="B760" s="41"/>
      <c r="E760" s="41"/>
      <c r="F760" s="41"/>
      <c r="G760" s="41"/>
      <c r="Z760" s="38">
        <f t="shared" si="25"/>
        <v>0.8357860745</v>
      </c>
      <c r="AA760" s="74"/>
    </row>
    <row r="761">
      <c r="B761" s="41"/>
      <c r="E761" s="41"/>
      <c r="F761" s="41"/>
      <c r="G761" s="41"/>
      <c r="Z761" s="38">
        <f t="shared" si="25"/>
        <v>0.3975993509</v>
      </c>
      <c r="AA761" s="74"/>
    </row>
    <row r="762">
      <c r="B762" s="41"/>
      <c r="E762" s="41"/>
      <c r="F762" s="41"/>
      <c r="G762" s="41"/>
      <c r="Z762" s="38">
        <f t="shared" si="25"/>
        <v>0.6308539676</v>
      </c>
      <c r="AA762" s="74"/>
    </row>
    <row r="763">
      <c r="B763" s="41"/>
      <c r="E763" s="41"/>
      <c r="F763" s="41"/>
      <c r="G763" s="41"/>
      <c r="Z763" s="38">
        <f t="shared" si="25"/>
        <v>0.2113549887</v>
      </c>
      <c r="AA763" s="74"/>
    </row>
    <row r="764">
      <c r="B764" s="41"/>
      <c r="E764" s="41"/>
      <c r="F764" s="41"/>
      <c r="G764" s="41"/>
      <c r="Z764" s="38">
        <f t="shared" si="25"/>
        <v>0.3084825396</v>
      </c>
      <c r="AA764" s="74"/>
    </row>
    <row r="765">
      <c r="B765" s="41"/>
      <c r="E765" s="41"/>
      <c r="F765" s="41"/>
      <c r="G765" s="41"/>
      <c r="Z765" s="38">
        <f t="shared" si="25"/>
        <v>0.09301428211</v>
      </c>
      <c r="AA765" s="74"/>
    </row>
    <row r="766">
      <c r="B766" s="41"/>
      <c r="E766" s="41"/>
      <c r="F766" s="41"/>
      <c r="G766" s="41"/>
      <c r="Z766" s="38">
        <f t="shared" si="25"/>
        <v>0.2998324318</v>
      </c>
      <c r="AA766" s="74"/>
    </row>
    <row r="767">
      <c r="B767" s="41"/>
      <c r="E767" s="41"/>
      <c r="F767" s="41"/>
      <c r="G767" s="41"/>
      <c r="Z767" s="38">
        <f t="shared" si="25"/>
        <v>0.1895965459</v>
      </c>
      <c r="AA767" s="74"/>
    </row>
    <row r="768">
      <c r="B768" s="41"/>
      <c r="E768" s="41"/>
      <c r="F768" s="41"/>
      <c r="G768" s="41"/>
      <c r="Z768" s="38">
        <f t="shared" si="25"/>
        <v>0.3988362045</v>
      </c>
      <c r="AA768" s="74"/>
    </row>
    <row r="769">
      <c r="B769" s="41"/>
      <c r="E769" s="41"/>
      <c r="F769" s="41"/>
      <c r="G769" s="41"/>
      <c r="Z769" s="38">
        <f t="shared" si="25"/>
        <v>0.8033341839</v>
      </c>
      <c r="AA769" s="74"/>
    </row>
    <row r="770">
      <c r="B770" s="41"/>
      <c r="E770" s="41"/>
      <c r="F770" s="41"/>
      <c r="G770" s="41"/>
      <c r="Z770" s="38">
        <f t="shared" si="25"/>
        <v>0.8742476028</v>
      </c>
      <c r="AA770" s="74"/>
    </row>
    <row r="771">
      <c r="B771" s="41"/>
      <c r="E771" s="41"/>
      <c r="F771" s="41"/>
      <c r="G771" s="41"/>
      <c r="Z771" s="38">
        <f t="shared" si="25"/>
        <v>0.6729226475</v>
      </c>
      <c r="AA771" s="74"/>
    </row>
    <row r="772">
      <c r="B772" s="41"/>
      <c r="E772" s="41"/>
      <c r="F772" s="41"/>
      <c r="G772" s="41"/>
      <c r="Z772" s="38">
        <f t="shared" si="25"/>
        <v>0.3423831907</v>
      </c>
      <c r="AA772" s="74"/>
    </row>
    <row r="773">
      <c r="B773" s="41"/>
      <c r="E773" s="41"/>
      <c r="F773" s="41"/>
      <c r="G773" s="41"/>
      <c r="Z773" s="38">
        <f t="shared" si="25"/>
        <v>0.7185351924</v>
      </c>
      <c r="AA773" s="74"/>
    </row>
    <row r="774">
      <c r="B774" s="41"/>
      <c r="E774" s="41"/>
      <c r="F774" s="41"/>
      <c r="G774" s="41"/>
      <c r="Z774" s="38">
        <f t="shared" si="25"/>
        <v>0.5422867263</v>
      </c>
      <c r="AA774" s="74"/>
    </row>
    <row r="775">
      <c r="B775" s="41"/>
      <c r="E775" s="41"/>
      <c r="F775" s="41"/>
      <c r="G775" s="41"/>
      <c r="Z775" s="38">
        <f t="shared" si="25"/>
        <v>0.4625104102</v>
      </c>
      <c r="AA775" s="74"/>
    </row>
    <row r="776">
      <c r="B776" s="41"/>
      <c r="E776" s="41"/>
      <c r="F776" s="41"/>
      <c r="G776" s="41"/>
      <c r="Z776" s="38">
        <f t="shared" si="25"/>
        <v>0.2471377593</v>
      </c>
      <c r="AA776" s="74"/>
    </row>
    <row r="777">
      <c r="B777" s="41"/>
      <c r="E777" s="41"/>
      <c r="F777" s="41"/>
      <c r="G777" s="41"/>
      <c r="Z777" s="38">
        <f t="shared" si="25"/>
        <v>0.7590867292</v>
      </c>
      <c r="AA777" s="74"/>
    </row>
    <row r="778">
      <c r="B778" s="41"/>
      <c r="E778" s="41"/>
      <c r="F778" s="41"/>
      <c r="G778" s="41"/>
      <c r="Z778" s="38">
        <f t="shared" si="25"/>
        <v>0.7548200978</v>
      </c>
      <c r="AA778" s="74"/>
    </row>
    <row r="779">
      <c r="B779" s="41"/>
      <c r="E779" s="41"/>
      <c r="F779" s="41"/>
      <c r="G779" s="41"/>
      <c r="Z779" s="38">
        <f t="shared" si="25"/>
        <v>0.7047367593</v>
      </c>
      <c r="AA779" s="74"/>
    </row>
    <row r="780">
      <c r="B780" s="41"/>
      <c r="E780" s="41"/>
      <c r="F780" s="41"/>
      <c r="G780" s="41"/>
      <c r="Z780" s="38">
        <f t="shared" si="25"/>
        <v>0.1456116299</v>
      </c>
      <c r="AA780" s="74"/>
    </row>
    <row r="781">
      <c r="B781" s="41"/>
      <c r="E781" s="41"/>
      <c r="F781" s="41"/>
      <c r="G781" s="41"/>
      <c r="Z781" s="38">
        <f t="shared" si="25"/>
        <v>0.1448014884</v>
      </c>
      <c r="AA781" s="74"/>
    </row>
    <row r="782">
      <c r="B782" s="41"/>
      <c r="E782" s="41"/>
      <c r="F782" s="41"/>
      <c r="G782" s="41"/>
      <c r="Z782" s="38">
        <f t="shared" si="25"/>
        <v>0.6480205031</v>
      </c>
      <c r="AA782" s="74"/>
    </row>
    <row r="783">
      <c r="B783" s="41"/>
      <c r="E783" s="41"/>
      <c r="F783" s="41"/>
      <c r="G783" s="41"/>
      <c r="Z783" s="38">
        <f t="shared" si="25"/>
        <v>0.1096242558</v>
      </c>
      <c r="AA783" s="74"/>
    </row>
    <row r="784">
      <c r="B784" s="41"/>
      <c r="E784" s="41"/>
      <c r="F784" s="41"/>
      <c r="G784" s="41"/>
      <c r="Z784" s="38">
        <f t="shared" si="25"/>
        <v>0.5900737559</v>
      </c>
      <c r="AA784" s="74"/>
    </row>
    <row r="785">
      <c r="B785" s="41"/>
      <c r="E785" s="41"/>
      <c r="F785" s="41"/>
      <c r="G785" s="41"/>
      <c r="Z785" s="38">
        <f t="shared" si="25"/>
        <v>0.69974357</v>
      </c>
      <c r="AA785" s="74"/>
    </row>
    <row r="786">
      <c r="B786" s="41"/>
      <c r="E786" s="41"/>
      <c r="F786" s="41"/>
      <c r="G786" s="41"/>
      <c r="Z786" s="38">
        <f t="shared" si="25"/>
        <v>0.06117948486</v>
      </c>
      <c r="AA786" s="74"/>
    </row>
    <row r="787">
      <c r="B787" s="41"/>
      <c r="E787" s="41"/>
      <c r="F787" s="41"/>
      <c r="G787" s="41"/>
      <c r="Z787" s="38">
        <f t="shared" si="25"/>
        <v>0.3685559702</v>
      </c>
      <c r="AA787" s="74"/>
    </row>
    <row r="788">
      <c r="B788" s="41"/>
      <c r="E788" s="41"/>
      <c r="F788" s="41"/>
      <c r="G788" s="41"/>
      <c r="Z788" s="38">
        <f t="shared" si="25"/>
        <v>0.30048065</v>
      </c>
      <c r="AA788" s="74"/>
    </row>
    <row r="789">
      <c r="B789" s="41"/>
      <c r="E789" s="41"/>
      <c r="F789" s="41"/>
      <c r="G789" s="41"/>
      <c r="Z789" s="38">
        <f t="shared" si="25"/>
        <v>0.5239627521</v>
      </c>
      <c r="AA789" s="74"/>
    </row>
    <row r="790">
      <c r="B790" s="41"/>
      <c r="E790" s="41"/>
      <c r="F790" s="41"/>
      <c r="G790" s="41"/>
      <c r="Z790" s="38">
        <f t="shared" si="25"/>
        <v>0.1459666019</v>
      </c>
      <c r="AA790" s="74"/>
    </row>
    <row r="791">
      <c r="B791" s="41"/>
      <c r="E791" s="41"/>
      <c r="F791" s="41"/>
      <c r="G791" s="41"/>
      <c r="Z791" s="38">
        <f t="shared" si="25"/>
        <v>0.7677503009</v>
      </c>
      <c r="AA791" s="74"/>
    </row>
    <row r="792">
      <c r="B792" s="41"/>
      <c r="E792" s="41"/>
      <c r="F792" s="41"/>
      <c r="G792" s="41"/>
      <c r="Z792" s="38">
        <f t="shared" si="25"/>
        <v>0.512202387</v>
      </c>
      <c r="AA792" s="74"/>
    </row>
    <row r="793">
      <c r="B793" s="41"/>
      <c r="E793" s="41"/>
      <c r="F793" s="41"/>
      <c r="G793" s="41"/>
      <c r="Z793" s="38">
        <f t="shared" si="25"/>
        <v>0.6208304665</v>
      </c>
      <c r="AA793" s="74"/>
    </row>
    <row r="794">
      <c r="B794" s="41"/>
      <c r="E794" s="41"/>
      <c r="F794" s="41"/>
      <c r="G794" s="41"/>
      <c r="Z794" s="38">
        <f t="shared" si="25"/>
        <v>0.6541983913</v>
      </c>
      <c r="AA794" s="74"/>
    </row>
    <row r="795">
      <c r="B795" s="41"/>
      <c r="E795" s="41"/>
      <c r="F795" s="41"/>
      <c r="G795" s="41"/>
      <c r="Z795" s="38">
        <f t="shared" si="25"/>
        <v>0.03011880939</v>
      </c>
      <c r="AA795" s="74"/>
    </row>
    <row r="796">
      <c r="B796" s="41"/>
      <c r="E796" s="41"/>
      <c r="F796" s="41"/>
      <c r="G796" s="41"/>
      <c r="Z796" s="38">
        <f t="shared" si="25"/>
        <v>0.9646148993</v>
      </c>
      <c r="AA796" s="74"/>
    </row>
    <row r="797">
      <c r="B797" s="41"/>
      <c r="E797" s="41"/>
      <c r="F797" s="41"/>
      <c r="G797" s="41"/>
      <c r="Z797" s="38">
        <f t="shared" si="25"/>
        <v>0.4330107831</v>
      </c>
      <c r="AA797" s="74"/>
    </row>
    <row r="798">
      <c r="B798" s="41"/>
      <c r="E798" s="41"/>
      <c r="F798" s="41"/>
      <c r="G798" s="41"/>
      <c r="Z798" s="38">
        <f t="shared" si="25"/>
        <v>0.7382541281</v>
      </c>
      <c r="AA798" s="74"/>
    </row>
    <row r="799">
      <c r="B799" s="41"/>
      <c r="E799" s="41"/>
      <c r="F799" s="41"/>
      <c r="G799" s="41"/>
      <c r="Z799" s="38">
        <f t="shared" si="25"/>
        <v>0.3605131555</v>
      </c>
      <c r="AA799" s="74"/>
    </row>
    <row r="800">
      <c r="B800" s="41"/>
      <c r="E800" s="41"/>
      <c r="F800" s="41"/>
      <c r="G800" s="41"/>
      <c r="Z800" s="38">
        <f t="shared" si="25"/>
        <v>0.9218244378</v>
      </c>
      <c r="AA800" s="74"/>
    </row>
    <row r="801">
      <c r="B801" s="41"/>
      <c r="E801" s="41"/>
      <c r="F801" s="41"/>
      <c r="G801" s="41"/>
      <c r="Z801" s="38">
        <f t="shared" si="25"/>
        <v>0.01060794484</v>
      </c>
      <c r="AA801" s="74"/>
    </row>
    <row r="802">
      <c r="B802" s="41"/>
      <c r="E802" s="41"/>
      <c r="F802" s="41"/>
      <c r="G802" s="41"/>
      <c r="Z802" s="38">
        <f t="shared" si="25"/>
        <v>0.5015952782</v>
      </c>
      <c r="AA802" s="74"/>
    </row>
    <row r="803">
      <c r="B803" s="41"/>
      <c r="E803" s="41"/>
      <c r="F803" s="41"/>
      <c r="G803" s="41"/>
      <c r="Z803" s="38">
        <f t="shared" si="25"/>
        <v>0.5180002081</v>
      </c>
      <c r="AA803" s="74"/>
    </row>
    <row r="804">
      <c r="B804" s="41"/>
      <c r="E804" s="41"/>
      <c r="F804" s="41"/>
      <c r="G804" s="41"/>
      <c r="Z804" s="38">
        <f t="shared" si="25"/>
        <v>0.2232353226</v>
      </c>
      <c r="AA804" s="74"/>
    </row>
    <row r="805">
      <c r="B805" s="41"/>
      <c r="E805" s="41"/>
      <c r="F805" s="41"/>
      <c r="G805" s="41"/>
      <c r="Z805" s="38">
        <f t="shared" si="25"/>
        <v>0.711789345</v>
      </c>
      <c r="AA805" s="74"/>
    </row>
    <row r="806">
      <c r="B806" s="41"/>
      <c r="E806" s="41"/>
      <c r="F806" s="41"/>
      <c r="G806" s="41"/>
      <c r="Z806" s="38">
        <f t="shared" si="25"/>
        <v>0.5964168603</v>
      </c>
      <c r="AA806" s="74"/>
    </row>
    <row r="807">
      <c r="B807" s="41"/>
      <c r="E807" s="41"/>
      <c r="F807" s="41"/>
      <c r="G807" s="41"/>
      <c r="Z807" s="38">
        <f t="shared" si="25"/>
        <v>0.4936869007</v>
      </c>
      <c r="AA807" s="74"/>
    </row>
    <row r="808">
      <c r="B808" s="41"/>
      <c r="E808" s="41"/>
      <c r="F808" s="41"/>
      <c r="G808" s="41"/>
      <c r="Z808" s="38">
        <f t="shared" si="25"/>
        <v>0.1243675283</v>
      </c>
      <c r="AA808" s="74"/>
    </row>
    <row r="809">
      <c r="B809" s="41"/>
      <c r="E809" s="41"/>
      <c r="F809" s="41"/>
      <c r="G809" s="41"/>
      <c r="Z809" s="38">
        <f t="shared" si="25"/>
        <v>0.9191907359</v>
      </c>
      <c r="AA809" s="74"/>
    </row>
    <row r="810">
      <c r="B810" s="41"/>
      <c r="E810" s="41"/>
      <c r="F810" s="41"/>
      <c r="G810" s="41"/>
      <c r="Z810" s="38">
        <f t="shared" si="25"/>
        <v>0.8812778287</v>
      </c>
      <c r="AA810" s="74"/>
    </row>
    <row r="811">
      <c r="B811" s="41"/>
      <c r="E811" s="41"/>
      <c r="F811" s="41"/>
      <c r="G811" s="41"/>
      <c r="Z811" s="38">
        <f t="shared" si="25"/>
        <v>0.03374950868</v>
      </c>
      <c r="AA811" s="74"/>
    </row>
    <row r="812">
      <c r="B812" s="41"/>
      <c r="E812" s="41"/>
      <c r="F812" s="41"/>
      <c r="G812" s="41"/>
      <c r="Z812" s="38">
        <f t="shared" si="25"/>
        <v>0.6072760225</v>
      </c>
      <c r="AA812" s="74"/>
    </row>
    <row r="813">
      <c r="B813" s="41"/>
      <c r="E813" s="41"/>
      <c r="F813" s="41"/>
      <c r="G813" s="41"/>
      <c r="Z813" s="38">
        <f t="shared" si="25"/>
        <v>0.2446686842</v>
      </c>
      <c r="AA813" s="74"/>
    </row>
    <row r="814">
      <c r="B814" s="41"/>
      <c r="E814" s="41"/>
      <c r="F814" s="41"/>
      <c r="G814" s="41"/>
      <c r="Z814" s="38">
        <f t="shared" si="25"/>
        <v>0.5236294478</v>
      </c>
      <c r="AA814" s="74"/>
    </row>
    <row r="815">
      <c r="B815" s="41"/>
      <c r="E815" s="41"/>
      <c r="F815" s="41"/>
      <c r="G815" s="41"/>
      <c r="Z815" s="38">
        <f t="shared" si="25"/>
        <v>0.8147045699</v>
      </c>
      <c r="AA815" s="74"/>
    </row>
    <row r="816">
      <c r="B816" s="41"/>
      <c r="E816" s="41"/>
      <c r="F816" s="41"/>
      <c r="G816" s="41"/>
      <c r="Z816" s="38">
        <f t="shared" si="25"/>
        <v>0.9151186161</v>
      </c>
      <c r="AA816" s="74"/>
    </row>
    <row r="817">
      <c r="B817" s="41"/>
      <c r="E817" s="41"/>
      <c r="F817" s="41"/>
      <c r="G817" s="41"/>
      <c r="Z817" s="38">
        <f t="shared" si="25"/>
        <v>0.09047240291</v>
      </c>
      <c r="AA817" s="74"/>
    </row>
    <row r="818">
      <c r="B818" s="41"/>
      <c r="E818" s="41"/>
      <c r="F818" s="41"/>
      <c r="G818" s="41"/>
      <c r="Z818" s="38">
        <f t="shared" si="25"/>
        <v>0.9604797138</v>
      </c>
      <c r="AA818" s="74"/>
    </row>
    <row r="819">
      <c r="B819" s="41"/>
      <c r="E819" s="41"/>
      <c r="F819" s="41"/>
      <c r="G819" s="41"/>
      <c r="Z819" s="38">
        <f t="shared" si="25"/>
        <v>0.5515917134</v>
      </c>
      <c r="AA819" s="74"/>
    </row>
    <row r="820">
      <c r="B820" s="41"/>
      <c r="E820" s="41"/>
      <c r="F820" s="41"/>
      <c r="G820" s="41"/>
      <c r="Z820" s="38">
        <f t="shared" si="25"/>
        <v>0.2968651714</v>
      </c>
      <c r="AA820" s="74"/>
    </row>
    <row r="821">
      <c r="B821" s="41"/>
      <c r="E821" s="41"/>
      <c r="F821" s="41"/>
      <c r="G821" s="41"/>
      <c r="Z821" s="38">
        <f t="shared" si="25"/>
        <v>0.2366656079</v>
      </c>
      <c r="AA821" s="74"/>
    </row>
    <row r="822">
      <c r="B822" s="41"/>
      <c r="E822" s="41"/>
      <c r="F822" s="41"/>
      <c r="G822" s="41"/>
      <c r="Z822" s="38">
        <f t="shared" si="25"/>
        <v>0.8150027025</v>
      </c>
      <c r="AA822" s="74"/>
    </row>
    <row r="823">
      <c r="B823" s="41"/>
      <c r="E823" s="41"/>
      <c r="F823" s="41"/>
      <c r="G823" s="41"/>
      <c r="Z823" s="38">
        <f t="shared" si="25"/>
        <v>0.6996212745</v>
      </c>
      <c r="AA823" s="74"/>
    </row>
    <row r="824">
      <c r="B824" s="41"/>
      <c r="E824" s="41"/>
      <c r="F824" s="41"/>
      <c r="G824" s="41"/>
      <c r="Z824" s="38">
        <f t="shared" si="25"/>
        <v>0.3358357543</v>
      </c>
      <c r="AA824" s="74"/>
    </row>
    <row r="825">
      <c r="B825" s="41"/>
      <c r="E825" s="41"/>
      <c r="F825" s="41"/>
      <c r="G825" s="41"/>
      <c r="Z825" s="38">
        <f t="shared" si="25"/>
        <v>0.3326363635</v>
      </c>
      <c r="AA825" s="74"/>
    </row>
    <row r="826">
      <c r="B826" s="41"/>
      <c r="E826" s="41"/>
      <c r="F826" s="41"/>
      <c r="G826" s="41"/>
      <c r="Z826" s="38">
        <f t="shared" si="25"/>
        <v>0.2077222807</v>
      </c>
      <c r="AA826" s="74"/>
    </row>
    <row r="827">
      <c r="B827" s="41"/>
      <c r="E827" s="41"/>
      <c r="F827" s="41"/>
      <c r="G827" s="41"/>
      <c r="Z827" s="38">
        <f t="shared" si="25"/>
        <v>0.6959726811</v>
      </c>
      <c r="AA827" s="74"/>
    </row>
    <row r="828">
      <c r="B828" s="41"/>
      <c r="E828" s="41"/>
      <c r="F828" s="41"/>
      <c r="G828" s="41"/>
      <c r="Z828" s="38">
        <f t="shared" si="25"/>
        <v>0.7797005831</v>
      </c>
      <c r="AA828" s="74"/>
    </row>
    <row r="829">
      <c r="B829" s="41"/>
      <c r="E829" s="41"/>
      <c r="F829" s="41"/>
      <c r="G829" s="41"/>
      <c r="Z829" s="38">
        <f t="shared" si="25"/>
        <v>0.7847907952</v>
      </c>
      <c r="AA829" s="74"/>
    </row>
    <row r="830">
      <c r="B830" s="41"/>
      <c r="E830" s="41"/>
      <c r="F830" s="41"/>
      <c r="G830" s="41"/>
      <c r="Z830" s="38">
        <f t="shared" si="25"/>
        <v>0.8979692179</v>
      </c>
      <c r="AA830" s="74"/>
    </row>
    <row r="831">
      <c r="B831" s="41"/>
      <c r="E831" s="41"/>
      <c r="F831" s="41"/>
      <c r="G831" s="41"/>
      <c r="Z831" s="38">
        <f t="shared" si="25"/>
        <v>0.8808120304</v>
      </c>
      <c r="AA831" s="74"/>
    </row>
    <row r="832">
      <c r="B832" s="41"/>
      <c r="E832" s="41"/>
      <c r="F832" s="41"/>
      <c r="G832" s="41"/>
      <c r="Z832" s="38">
        <f t="shared" si="25"/>
        <v>0.489770591</v>
      </c>
      <c r="AA832" s="74"/>
    </row>
    <row r="833">
      <c r="B833" s="41"/>
      <c r="E833" s="41"/>
      <c r="F833" s="41"/>
      <c r="G833" s="41"/>
      <c r="Z833" s="38">
        <f t="shared" si="25"/>
        <v>0.5530346685</v>
      </c>
      <c r="AA833" s="74"/>
    </row>
    <row r="834">
      <c r="B834" s="41"/>
      <c r="E834" s="41"/>
      <c r="F834" s="41"/>
      <c r="G834" s="41"/>
      <c r="Z834" s="38">
        <f t="shared" si="25"/>
        <v>0.3446319546</v>
      </c>
      <c r="AA834" s="74"/>
    </row>
    <row r="835">
      <c r="B835" s="41"/>
      <c r="E835" s="41"/>
      <c r="F835" s="41"/>
      <c r="G835" s="41"/>
      <c r="Z835" s="38">
        <f t="shared" si="25"/>
        <v>0.3352301628</v>
      </c>
      <c r="AA835" s="74"/>
    </row>
    <row r="836">
      <c r="B836" s="41"/>
      <c r="E836" s="41"/>
      <c r="F836" s="41"/>
      <c r="G836" s="41"/>
      <c r="Z836" s="38">
        <f t="shared" si="25"/>
        <v>0.9838517609</v>
      </c>
      <c r="AA836" s="74"/>
    </row>
    <row r="837">
      <c r="B837" s="41"/>
      <c r="E837" s="41"/>
      <c r="F837" s="41"/>
      <c r="G837" s="41"/>
      <c r="Z837" s="38">
        <f t="shared" si="25"/>
        <v>0.7954042242</v>
      </c>
      <c r="AA837" s="74"/>
    </row>
    <row r="838">
      <c r="B838" s="41"/>
      <c r="E838" s="41"/>
      <c r="F838" s="41"/>
      <c r="G838" s="41"/>
      <c r="Z838" s="38">
        <f t="shared" si="25"/>
        <v>0.08479058503</v>
      </c>
      <c r="AA838" s="74"/>
    </row>
    <row r="839">
      <c r="B839" s="41"/>
      <c r="E839" s="41"/>
      <c r="F839" s="41"/>
      <c r="G839" s="41"/>
      <c r="Z839" s="38">
        <f t="shared" si="25"/>
        <v>0.8786859215</v>
      </c>
      <c r="AA839" s="74"/>
    </row>
    <row r="840">
      <c r="B840" s="41"/>
      <c r="E840" s="41"/>
      <c r="F840" s="41"/>
      <c r="G840" s="41"/>
      <c r="Z840" s="38">
        <f t="shared" si="25"/>
        <v>0.05963273173</v>
      </c>
      <c r="AA840" s="74"/>
    </row>
    <row r="841">
      <c r="B841" s="41"/>
      <c r="E841" s="41"/>
      <c r="F841" s="41"/>
      <c r="G841" s="41"/>
      <c r="Z841" s="38">
        <f t="shared" si="25"/>
        <v>0.1332156329</v>
      </c>
      <c r="AA841" s="74"/>
    </row>
    <row r="842">
      <c r="B842" s="41"/>
      <c r="E842" s="41"/>
      <c r="F842" s="41"/>
      <c r="G842" s="41"/>
      <c r="Z842" s="38">
        <f t="shared" si="25"/>
        <v>0.794645008</v>
      </c>
      <c r="AA842" s="74"/>
    </row>
    <row r="843">
      <c r="B843" s="41"/>
      <c r="E843" s="41"/>
      <c r="F843" s="41"/>
      <c r="G843" s="41"/>
      <c r="Z843" s="38">
        <f t="shared" si="25"/>
        <v>0.379671185</v>
      </c>
      <c r="AA843" s="74"/>
    </row>
    <row r="844">
      <c r="B844" s="41"/>
      <c r="E844" s="41"/>
      <c r="F844" s="41"/>
      <c r="G844" s="41"/>
      <c r="Z844" s="38">
        <f t="shared" si="25"/>
        <v>0.1545194854</v>
      </c>
      <c r="AA844" s="74"/>
    </row>
    <row r="845">
      <c r="B845" s="41"/>
      <c r="E845" s="41"/>
      <c r="F845" s="41"/>
      <c r="G845" s="41"/>
      <c r="Z845" s="38">
        <f t="shared" si="25"/>
        <v>0.548360411</v>
      </c>
      <c r="AA845" s="74"/>
    </row>
    <row r="846">
      <c r="B846" s="41"/>
      <c r="E846" s="41"/>
      <c r="F846" s="41"/>
      <c r="G846" s="41"/>
      <c r="Z846" s="38">
        <f t="shared" si="25"/>
        <v>0.01921743117</v>
      </c>
      <c r="AA846" s="74"/>
    </row>
    <row r="847">
      <c r="B847" s="41"/>
      <c r="E847" s="41"/>
      <c r="F847" s="41"/>
      <c r="G847" s="41"/>
      <c r="Z847" s="38">
        <f t="shared" si="25"/>
        <v>0.3506975599</v>
      </c>
      <c r="AA847" s="74"/>
    </row>
    <row r="848">
      <c r="B848" s="41"/>
      <c r="E848" s="41"/>
      <c r="F848" s="41"/>
      <c r="G848" s="41"/>
      <c r="Z848" s="38">
        <f t="shared" si="25"/>
        <v>0.4230272369</v>
      </c>
      <c r="AA848" s="74"/>
    </row>
    <row r="849">
      <c r="B849" s="41"/>
      <c r="E849" s="41"/>
      <c r="F849" s="41"/>
      <c r="G849" s="41"/>
      <c r="Z849" s="38">
        <f t="shared" si="25"/>
        <v>0.5698816856</v>
      </c>
      <c r="AA849" s="74"/>
    </row>
    <row r="850">
      <c r="B850" s="41"/>
      <c r="E850" s="41"/>
      <c r="F850" s="41"/>
      <c r="G850" s="41"/>
      <c r="Z850" s="38">
        <f t="shared" si="25"/>
        <v>0.8356307205</v>
      </c>
      <c r="AA850" s="74"/>
    </row>
    <row r="851">
      <c r="B851" s="41"/>
      <c r="E851" s="41"/>
      <c r="F851" s="41"/>
      <c r="G851" s="41"/>
      <c r="Z851" s="38">
        <f t="shared" si="25"/>
        <v>0.5223377812</v>
      </c>
      <c r="AA851" s="74"/>
    </row>
    <row r="852">
      <c r="B852" s="41"/>
      <c r="E852" s="41"/>
      <c r="F852" s="41"/>
      <c r="G852" s="41"/>
      <c r="Z852" s="38">
        <f t="shared" si="25"/>
        <v>0.9942840363</v>
      </c>
      <c r="AA852" s="74"/>
    </row>
    <row r="853">
      <c r="B853" s="41"/>
      <c r="E853" s="41"/>
      <c r="F853" s="41"/>
      <c r="G853" s="41"/>
      <c r="Z853" s="38">
        <f t="shared" si="25"/>
        <v>0.4587241885</v>
      </c>
      <c r="AA853" s="74"/>
    </row>
    <row r="854">
      <c r="B854" s="41"/>
      <c r="E854" s="41"/>
      <c r="F854" s="41"/>
      <c r="G854" s="41"/>
      <c r="Z854" s="38">
        <f t="shared" si="25"/>
        <v>0.6493335561</v>
      </c>
      <c r="AA854" s="74"/>
    </row>
    <row r="855">
      <c r="B855" s="41"/>
      <c r="E855" s="41"/>
      <c r="F855" s="41"/>
      <c r="G855" s="41"/>
      <c r="Z855" s="38">
        <f t="shared" si="25"/>
        <v>0.720936921</v>
      </c>
      <c r="AA855" s="74"/>
    </row>
    <row r="856">
      <c r="B856" s="41"/>
      <c r="E856" s="41"/>
      <c r="F856" s="41"/>
      <c r="G856" s="41"/>
      <c r="Z856" s="38">
        <f t="shared" si="25"/>
        <v>0.5098965742</v>
      </c>
      <c r="AA856" s="74"/>
    </row>
    <row r="857">
      <c r="B857" s="41"/>
      <c r="E857" s="41"/>
      <c r="F857" s="41"/>
      <c r="G857" s="41"/>
      <c r="Z857" s="38">
        <f t="shared" si="25"/>
        <v>0.557558603</v>
      </c>
      <c r="AA857" s="74"/>
    </row>
    <row r="858">
      <c r="B858" s="41"/>
      <c r="E858" s="41"/>
      <c r="F858" s="41"/>
      <c r="G858" s="41"/>
      <c r="Z858" s="38">
        <f t="shared" si="25"/>
        <v>0.9134642933</v>
      </c>
      <c r="AA858" s="74"/>
    </row>
    <row r="859">
      <c r="B859" s="41"/>
      <c r="E859" s="41"/>
      <c r="F859" s="41"/>
      <c r="G859" s="41"/>
      <c r="Z859" s="38">
        <f t="shared" si="25"/>
        <v>0.9107417237</v>
      </c>
      <c r="AA859" s="74"/>
    </row>
    <row r="860">
      <c r="B860" s="41"/>
      <c r="E860" s="41"/>
      <c r="F860" s="41"/>
      <c r="G860" s="41"/>
      <c r="Z860" s="38">
        <f t="shared" si="25"/>
        <v>0.8363735954</v>
      </c>
      <c r="AA860" s="74"/>
    </row>
    <row r="861">
      <c r="B861" s="41"/>
      <c r="E861" s="41"/>
      <c r="F861" s="41"/>
      <c r="G861" s="41"/>
      <c r="Z861" s="38">
        <f t="shared" si="25"/>
        <v>0.8368386819</v>
      </c>
      <c r="AA861" s="74"/>
    </row>
    <row r="862">
      <c r="B862" s="41"/>
      <c r="E862" s="41"/>
      <c r="F862" s="41"/>
      <c r="G862" s="41"/>
      <c r="Z862" s="38">
        <f t="shared" si="25"/>
        <v>0.8086154012</v>
      </c>
      <c r="AA862" s="74"/>
    </row>
    <row r="863">
      <c r="B863" s="41"/>
      <c r="E863" s="41"/>
      <c r="F863" s="41"/>
      <c r="G863" s="41"/>
      <c r="Z863" s="38">
        <f t="shared" si="25"/>
        <v>0.703579458</v>
      </c>
      <c r="AA863" s="74"/>
    </row>
    <row r="864">
      <c r="B864" s="41"/>
      <c r="E864" s="41"/>
      <c r="F864" s="41"/>
      <c r="G864" s="41"/>
      <c r="Z864" s="38">
        <f t="shared" si="25"/>
        <v>0.7964980383</v>
      </c>
      <c r="AA864" s="74"/>
    </row>
    <row r="865">
      <c r="B865" s="41"/>
      <c r="E865" s="41"/>
      <c r="F865" s="41"/>
      <c r="G865" s="41"/>
      <c r="Z865" s="38">
        <f t="shared" si="25"/>
        <v>0.9387574704</v>
      </c>
      <c r="AA865" s="74"/>
    </row>
    <row r="866">
      <c r="B866" s="41"/>
      <c r="E866" s="41"/>
      <c r="F866" s="41"/>
      <c r="G866" s="41"/>
      <c r="Z866" s="38">
        <f t="shared" si="25"/>
        <v>0.8235806819</v>
      </c>
      <c r="AA866" s="74"/>
    </row>
    <row r="867">
      <c r="B867" s="41"/>
      <c r="E867" s="41"/>
      <c r="F867" s="41"/>
      <c r="G867" s="41"/>
      <c r="Z867" s="38">
        <f t="shared" si="25"/>
        <v>0.9878498454</v>
      </c>
      <c r="AA867" s="74"/>
    </row>
    <row r="868">
      <c r="B868" s="41"/>
      <c r="E868" s="41"/>
      <c r="F868" s="41"/>
      <c r="G868" s="41"/>
      <c r="Z868" s="38">
        <f t="shared" si="25"/>
        <v>0.8704837239</v>
      </c>
      <c r="AA868" s="74"/>
    </row>
    <row r="869">
      <c r="B869" s="41"/>
      <c r="E869" s="41"/>
      <c r="F869" s="41"/>
      <c r="G869" s="41"/>
      <c r="Z869" s="38">
        <f t="shared" si="25"/>
        <v>0.6975265603</v>
      </c>
      <c r="AA869" s="74"/>
    </row>
    <row r="870">
      <c r="B870" s="41"/>
      <c r="E870" s="41"/>
      <c r="F870" s="41"/>
      <c r="G870" s="41"/>
      <c r="Z870" s="38">
        <f t="shared" si="25"/>
        <v>0.7372380284</v>
      </c>
      <c r="AA870" s="74"/>
    </row>
    <row r="871">
      <c r="B871" s="41"/>
      <c r="E871" s="41"/>
      <c r="F871" s="41"/>
      <c r="G871" s="41"/>
      <c r="Z871" s="38">
        <f t="shared" si="25"/>
        <v>0.5834770314</v>
      </c>
      <c r="AA871" s="74"/>
    </row>
    <row r="872">
      <c r="B872" s="41"/>
      <c r="E872" s="41"/>
      <c r="F872" s="41"/>
      <c r="G872" s="41"/>
      <c r="Z872" s="38">
        <f t="shared" si="25"/>
        <v>0.0804483543</v>
      </c>
      <c r="AA872" s="74"/>
    </row>
    <row r="873">
      <c r="B873" s="41"/>
      <c r="E873" s="41"/>
      <c r="F873" s="41"/>
      <c r="G873" s="41"/>
      <c r="Z873" s="38">
        <f t="shared" si="25"/>
        <v>0.1974104976</v>
      </c>
      <c r="AA873" s="74"/>
    </row>
    <row r="874">
      <c r="B874" s="41"/>
      <c r="E874" s="41"/>
      <c r="F874" s="41"/>
      <c r="G874" s="41"/>
      <c r="Z874" s="38">
        <f t="shared" si="25"/>
        <v>0.71754054</v>
      </c>
      <c r="AA874" s="74"/>
    </row>
    <row r="875">
      <c r="B875" s="41"/>
      <c r="E875" s="41"/>
      <c r="F875" s="41"/>
      <c r="G875" s="41"/>
      <c r="Z875" s="38">
        <f t="shared" si="25"/>
        <v>0.9906010584</v>
      </c>
      <c r="AA875" s="74"/>
    </row>
    <row r="876">
      <c r="B876" s="41"/>
      <c r="E876" s="41"/>
      <c r="F876" s="41"/>
      <c r="G876" s="41"/>
      <c r="Z876" s="38">
        <f t="shared" si="25"/>
        <v>0.6906795588</v>
      </c>
      <c r="AA876" s="74"/>
    </row>
    <row r="877">
      <c r="B877" s="41"/>
      <c r="E877" s="41"/>
      <c r="F877" s="41"/>
      <c r="G877" s="41"/>
      <c r="Z877" s="38">
        <f t="shared" si="25"/>
        <v>0.919205795</v>
      </c>
      <c r="AA877" s="74"/>
    </row>
    <row r="878">
      <c r="B878" s="41"/>
      <c r="E878" s="41"/>
      <c r="F878" s="41"/>
      <c r="G878" s="41"/>
      <c r="Z878" s="38">
        <f t="shared" si="25"/>
        <v>0.1256590459</v>
      </c>
      <c r="AA878" s="74"/>
    </row>
    <row r="879">
      <c r="B879" s="41"/>
      <c r="E879" s="41"/>
      <c r="F879" s="41"/>
      <c r="G879" s="41"/>
      <c r="Z879" s="38">
        <f t="shared" si="25"/>
        <v>0.367171207</v>
      </c>
      <c r="AA879" s="74"/>
    </row>
    <row r="880">
      <c r="B880" s="41"/>
      <c r="E880" s="41"/>
      <c r="F880" s="41"/>
      <c r="G880" s="41"/>
      <c r="Z880" s="38">
        <f t="shared" si="25"/>
        <v>0.9313661243</v>
      </c>
      <c r="AA880" s="74"/>
    </row>
    <row r="881">
      <c r="B881" s="41"/>
      <c r="E881" s="41"/>
      <c r="F881" s="41"/>
      <c r="G881" s="41"/>
      <c r="Z881" s="38">
        <f t="shared" si="25"/>
        <v>0.4213621308</v>
      </c>
      <c r="AA881" s="74"/>
    </row>
    <row r="882">
      <c r="B882" s="41"/>
      <c r="E882" s="41"/>
      <c r="F882" s="41"/>
      <c r="G882" s="41"/>
      <c r="Z882" s="38">
        <f t="shared" si="25"/>
        <v>0.1416398925</v>
      </c>
      <c r="AA882" s="74"/>
    </row>
    <row r="883">
      <c r="B883" s="41"/>
      <c r="E883" s="41"/>
      <c r="F883" s="41"/>
      <c r="G883" s="41"/>
      <c r="Z883" s="38">
        <f t="shared" si="25"/>
        <v>0.8442363694</v>
      </c>
      <c r="AA883" s="74"/>
    </row>
    <row r="884">
      <c r="B884" s="41"/>
      <c r="E884" s="41"/>
      <c r="F884" s="41"/>
      <c r="G884" s="41"/>
      <c r="Z884" s="38">
        <f t="shared" si="25"/>
        <v>0.6849116731</v>
      </c>
      <c r="AA884" s="74"/>
    </row>
    <row r="885">
      <c r="B885" s="41"/>
      <c r="E885" s="41"/>
      <c r="F885" s="41"/>
      <c r="G885" s="41"/>
      <c r="Z885" s="38">
        <f t="shared" si="25"/>
        <v>0.3037012519</v>
      </c>
      <c r="AA885" s="74"/>
    </row>
    <row r="886">
      <c r="B886" s="41"/>
      <c r="E886" s="41"/>
      <c r="F886" s="41"/>
      <c r="G886" s="41"/>
      <c r="Z886" s="38">
        <f t="shared" si="25"/>
        <v>0.5125115608</v>
      </c>
      <c r="AA886" s="74"/>
    </row>
    <row r="887">
      <c r="B887" s="41"/>
      <c r="E887" s="41"/>
      <c r="F887" s="41"/>
      <c r="G887" s="41"/>
      <c r="Z887" s="38">
        <f t="shared" si="25"/>
        <v>0.1676103899</v>
      </c>
      <c r="AA887" s="74"/>
    </row>
    <row r="888">
      <c r="B888" s="41"/>
      <c r="E888" s="41"/>
      <c r="F888" s="41"/>
      <c r="G888" s="41"/>
      <c r="Z888" s="38">
        <f t="shared" si="25"/>
        <v>0.9616439173</v>
      </c>
      <c r="AA888" s="74"/>
    </row>
    <row r="889">
      <c r="B889" s="41"/>
      <c r="E889" s="41"/>
      <c r="F889" s="41"/>
      <c r="G889" s="41"/>
      <c r="Z889" s="38">
        <f t="shared" si="25"/>
        <v>0.9096964153</v>
      </c>
      <c r="AA889" s="74"/>
    </row>
    <row r="890">
      <c r="B890" s="41"/>
      <c r="E890" s="41"/>
      <c r="F890" s="41"/>
      <c r="G890" s="41"/>
      <c r="Z890" s="38">
        <f t="shared" si="25"/>
        <v>0.5645942778</v>
      </c>
      <c r="AA890" s="74"/>
    </row>
    <row r="891">
      <c r="B891" s="41"/>
      <c r="E891" s="41"/>
      <c r="F891" s="41"/>
      <c r="G891" s="41"/>
      <c r="Z891" s="38">
        <f t="shared" si="25"/>
        <v>0.4407232129</v>
      </c>
      <c r="AA891" s="74"/>
    </row>
    <row r="892">
      <c r="B892" s="41"/>
      <c r="E892" s="41"/>
      <c r="F892" s="41"/>
      <c r="G892" s="41"/>
      <c r="Z892" s="38">
        <f t="shared" si="25"/>
        <v>0.0356769678</v>
      </c>
      <c r="AA892" s="74"/>
    </row>
    <row r="893">
      <c r="B893" s="41"/>
      <c r="E893" s="41"/>
      <c r="F893" s="41"/>
      <c r="G893" s="41"/>
      <c r="Z893" s="38">
        <f t="shared" si="25"/>
        <v>0.3375334296</v>
      </c>
      <c r="AA893" s="74"/>
    </row>
    <row r="894">
      <c r="B894" s="41"/>
      <c r="E894" s="41"/>
      <c r="F894" s="41"/>
      <c r="G894" s="41"/>
      <c r="Z894" s="38">
        <f t="shared" si="25"/>
        <v>0.1188374085</v>
      </c>
      <c r="AA894" s="74"/>
    </row>
    <row r="895">
      <c r="B895" s="41"/>
      <c r="E895" s="41"/>
      <c r="F895" s="41"/>
      <c r="G895" s="41"/>
      <c r="Z895" s="38">
        <f t="shared" si="25"/>
        <v>0.4358515356</v>
      </c>
      <c r="AA895" s="74"/>
    </row>
    <row r="896">
      <c r="B896" s="41"/>
      <c r="E896" s="41"/>
      <c r="F896" s="41"/>
      <c r="G896" s="41"/>
      <c r="Z896" s="38">
        <f t="shared" si="25"/>
        <v>0.3118807884</v>
      </c>
      <c r="AA896" s="74"/>
    </row>
    <row r="897">
      <c r="B897" s="41"/>
      <c r="E897" s="41"/>
      <c r="F897" s="41"/>
      <c r="G897" s="41"/>
      <c r="Z897" s="38">
        <f t="shared" si="25"/>
        <v>0.8506822376</v>
      </c>
      <c r="AA897" s="74"/>
    </row>
    <row r="898">
      <c r="B898" s="41"/>
      <c r="E898" s="41"/>
      <c r="F898" s="41"/>
      <c r="G898" s="41"/>
      <c r="Z898" s="38">
        <f t="shared" si="25"/>
        <v>0.1013288625</v>
      </c>
      <c r="AA898" s="74"/>
    </row>
    <row r="899">
      <c r="B899" s="41"/>
      <c r="E899" s="41"/>
      <c r="F899" s="41"/>
      <c r="G899" s="41"/>
      <c r="Z899" s="38">
        <f t="shared" si="25"/>
        <v>0.5395551285</v>
      </c>
      <c r="AA899" s="74"/>
    </row>
    <row r="900">
      <c r="B900" s="41"/>
      <c r="E900" s="41"/>
      <c r="F900" s="41"/>
      <c r="G900" s="41"/>
      <c r="Z900" s="38">
        <f t="shared" si="25"/>
        <v>0.3513557892</v>
      </c>
      <c r="AA900" s="74"/>
    </row>
    <row r="901">
      <c r="B901" s="41"/>
      <c r="E901" s="41"/>
      <c r="F901" s="41"/>
      <c r="G901" s="41"/>
      <c r="Z901" s="38">
        <f t="shared" si="25"/>
        <v>0.7054652445</v>
      </c>
      <c r="AA901" s="74"/>
    </row>
    <row r="902">
      <c r="B902" s="41"/>
      <c r="E902" s="41"/>
      <c r="F902" s="41"/>
      <c r="G902" s="41"/>
      <c r="Z902" s="38">
        <f t="shared" si="25"/>
        <v>0.4506920906</v>
      </c>
      <c r="AA902" s="74"/>
    </row>
    <row r="903">
      <c r="B903" s="41"/>
      <c r="E903" s="41"/>
      <c r="F903" s="41"/>
      <c r="G903" s="41"/>
      <c r="Z903" s="38">
        <f t="shared" si="25"/>
        <v>0.9030282403</v>
      </c>
      <c r="AA903" s="74"/>
    </row>
    <row r="904">
      <c r="B904" s="41"/>
      <c r="E904" s="41"/>
      <c r="F904" s="41"/>
      <c r="G904" s="41"/>
      <c r="Z904" s="38">
        <f t="shared" si="25"/>
        <v>0.9955069294</v>
      </c>
      <c r="AA904" s="74"/>
    </row>
    <row r="905">
      <c r="B905" s="41"/>
      <c r="E905" s="41"/>
      <c r="F905" s="41"/>
      <c r="G905" s="41"/>
      <c r="Z905" s="38">
        <f t="shared" si="25"/>
        <v>0.7461172751</v>
      </c>
      <c r="AA905" s="74"/>
    </row>
    <row r="906">
      <c r="B906" s="41"/>
      <c r="E906" s="41"/>
      <c r="F906" s="41"/>
      <c r="G906" s="41"/>
      <c r="Z906" s="38">
        <f t="shared" si="25"/>
        <v>0.3899058447</v>
      </c>
      <c r="AA906" s="74"/>
    </row>
    <row r="907">
      <c r="B907" s="41"/>
      <c r="E907" s="41"/>
      <c r="F907" s="41"/>
      <c r="G907" s="41"/>
      <c r="Z907" s="38">
        <f t="shared" si="25"/>
        <v>0.7792082438</v>
      </c>
      <c r="AA907" s="74"/>
    </row>
    <row r="908">
      <c r="B908" s="41"/>
      <c r="E908" s="41"/>
      <c r="F908" s="41"/>
      <c r="G908" s="41"/>
      <c r="Z908" s="38">
        <f t="shared" si="25"/>
        <v>0.1977566888</v>
      </c>
      <c r="AA908" s="74"/>
    </row>
    <row r="909">
      <c r="B909" s="41"/>
      <c r="E909" s="41"/>
      <c r="F909" s="41"/>
      <c r="G909" s="41"/>
      <c r="Z909" s="38">
        <f t="shared" si="25"/>
        <v>0.8570886616</v>
      </c>
      <c r="AA909" s="74"/>
    </row>
    <row r="910">
      <c r="B910" s="41"/>
      <c r="E910" s="41"/>
      <c r="F910" s="41"/>
      <c r="G910" s="41"/>
      <c r="Z910" s="38">
        <f t="shared" si="25"/>
        <v>0.2521524239</v>
      </c>
      <c r="AA910" s="74"/>
    </row>
    <row r="911">
      <c r="B911" s="41"/>
      <c r="E911" s="41"/>
      <c r="F911" s="41"/>
      <c r="G911" s="41"/>
      <c r="Z911" s="38">
        <f t="shared" si="25"/>
        <v>0.3458659758</v>
      </c>
      <c r="AA911" s="74"/>
    </row>
    <row r="912">
      <c r="B912" s="41"/>
      <c r="E912" s="41"/>
      <c r="F912" s="41"/>
      <c r="G912" s="41"/>
      <c r="Z912" s="38">
        <f t="shared" si="25"/>
        <v>0.9971311866</v>
      </c>
      <c r="AA912" s="74"/>
    </row>
    <row r="913">
      <c r="B913" s="41"/>
      <c r="E913" s="41"/>
      <c r="F913" s="41"/>
      <c r="G913" s="41"/>
      <c r="Z913" s="38">
        <f t="shared" si="25"/>
        <v>0.5078523328</v>
      </c>
      <c r="AA913" s="74"/>
    </row>
    <row r="914">
      <c r="B914" s="41"/>
      <c r="E914" s="41"/>
      <c r="F914" s="41"/>
      <c r="G914" s="41"/>
      <c r="Z914" s="38">
        <f t="shared" si="25"/>
        <v>0.8286203878</v>
      </c>
      <c r="AA914" s="74"/>
    </row>
    <row r="915">
      <c r="B915" s="41"/>
      <c r="E915" s="41"/>
      <c r="F915" s="41"/>
      <c r="G915" s="41"/>
      <c r="Z915" s="38">
        <f t="shared" si="25"/>
        <v>0.5375358352</v>
      </c>
      <c r="AA915" s="74"/>
    </row>
    <row r="916">
      <c r="B916" s="41"/>
      <c r="E916" s="41"/>
      <c r="F916" s="41"/>
      <c r="G916" s="41"/>
      <c r="Z916" s="38">
        <f t="shared" si="25"/>
        <v>0.04939983387</v>
      </c>
      <c r="AA916" s="74"/>
    </row>
    <row r="917">
      <c r="B917" s="41"/>
      <c r="E917" s="41"/>
      <c r="F917" s="41"/>
      <c r="G917" s="41"/>
      <c r="Z917" s="38">
        <f t="shared" si="25"/>
        <v>0.1772319132</v>
      </c>
      <c r="AA917" s="74"/>
    </row>
    <row r="918">
      <c r="B918" s="41"/>
      <c r="E918" s="41"/>
      <c r="F918" s="41"/>
      <c r="G918" s="41"/>
      <c r="Z918" s="38">
        <f t="shared" si="25"/>
        <v>0.6407583103</v>
      </c>
      <c r="AA918" s="74"/>
    </row>
    <row r="919">
      <c r="B919" s="41"/>
      <c r="E919" s="41"/>
      <c r="F919" s="41"/>
      <c r="G919" s="41"/>
      <c r="Z919" s="38">
        <f t="shared" si="25"/>
        <v>0.5390260229</v>
      </c>
      <c r="AA919" s="74"/>
    </row>
    <row r="920">
      <c r="B920" s="41"/>
      <c r="E920" s="41"/>
      <c r="F920" s="41"/>
      <c r="G920" s="41"/>
      <c r="Z920" s="38">
        <f t="shared" si="25"/>
        <v>0.2691432278</v>
      </c>
      <c r="AA920" s="74"/>
    </row>
    <row r="921">
      <c r="B921" s="41"/>
      <c r="E921" s="41"/>
      <c r="F921" s="41"/>
      <c r="G921" s="41"/>
      <c r="Z921" s="38">
        <f t="shared" si="25"/>
        <v>0.4022769782</v>
      </c>
      <c r="AA921" s="74"/>
    </row>
    <row r="922">
      <c r="B922" s="41"/>
      <c r="E922" s="41"/>
      <c r="F922" s="41"/>
      <c r="G922" s="41"/>
      <c r="Z922" s="38">
        <f t="shared" si="25"/>
        <v>0.6302959756</v>
      </c>
      <c r="AA922" s="74"/>
    </row>
    <row r="923">
      <c r="B923" s="41"/>
      <c r="E923" s="41"/>
      <c r="F923" s="41"/>
      <c r="G923" s="41"/>
      <c r="Z923" s="38">
        <f t="shared" si="25"/>
        <v>0.6293819586</v>
      </c>
      <c r="AA923" s="74"/>
    </row>
    <row r="924">
      <c r="B924" s="41"/>
      <c r="E924" s="41"/>
      <c r="F924" s="41"/>
      <c r="G924" s="41"/>
      <c r="Z924" s="38">
        <f t="shared" si="25"/>
        <v>0.4300704799</v>
      </c>
      <c r="AA924" s="74"/>
    </row>
    <row r="925">
      <c r="B925" s="41"/>
      <c r="E925" s="41"/>
      <c r="F925" s="41"/>
      <c r="G925" s="41"/>
      <c r="Z925" s="38">
        <f t="shared" si="25"/>
        <v>0.5609688601</v>
      </c>
      <c r="AA925" s="74"/>
    </row>
    <row r="926">
      <c r="B926" s="41"/>
      <c r="E926" s="41"/>
      <c r="F926" s="41"/>
      <c r="G926" s="41"/>
      <c r="Z926" s="38">
        <f t="shared" si="25"/>
        <v>0.5074199219</v>
      </c>
      <c r="AA926" s="74"/>
    </row>
    <row r="927">
      <c r="B927" s="41"/>
      <c r="E927" s="41"/>
      <c r="F927" s="41"/>
      <c r="G927" s="41"/>
      <c r="Z927" s="38">
        <f t="shared" si="25"/>
        <v>0.007559384127</v>
      </c>
      <c r="AA927" s="74"/>
    </row>
    <row r="928">
      <c r="B928" s="41"/>
      <c r="E928" s="41"/>
      <c r="F928" s="41"/>
      <c r="G928" s="41"/>
      <c r="Z928" s="38">
        <f t="shared" si="25"/>
        <v>0.02110119258</v>
      </c>
      <c r="AA928" s="74"/>
    </row>
    <row r="929">
      <c r="B929" s="41"/>
      <c r="E929" s="41"/>
      <c r="F929" s="41"/>
      <c r="G929" s="41"/>
      <c r="Z929" s="38">
        <f t="shared" si="25"/>
        <v>0.2685478493</v>
      </c>
      <c r="AA929" s="74"/>
    </row>
    <row r="930">
      <c r="B930" s="41"/>
      <c r="E930" s="41"/>
      <c r="F930" s="41"/>
      <c r="G930" s="41"/>
      <c r="Z930" s="38">
        <f t="shared" si="25"/>
        <v>0.4008110651</v>
      </c>
      <c r="AA930" s="74"/>
    </row>
    <row r="931">
      <c r="B931" s="41"/>
      <c r="E931" s="41"/>
      <c r="F931" s="41"/>
      <c r="G931" s="41"/>
      <c r="Z931" s="38">
        <f t="shared" si="25"/>
        <v>0.07969571359</v>
      </c>
      <c r="AA931" s="74"/>
    </row>
    <row r="932">
      <c r="B932" s="41"/>
      <c r="E932" s="41"/>
      <c r="F932" s="41"/>
      <c r="G932" s="41"/>
      <c r="Z932" s="38">
        <f t="shared" si="25"/>
        <v>0.2621738011</v>
      </c>
      <c r="AA932" s="74"/>
    </row>
    <row r="933">
      <c r="B933" s="41"/>
      <c r="E933" s="41"/>
      <c r="F933" s="41"/>
      <c r="G933" s="41"/>
      <c r="Z933" s="38">
        <f t="shared" si="25"/>
        <v>0.4440116318</v>
      </c>
      <c r="AA933" s="74"/>
    </row>
    <row r="934">
      <c r="B934" s="41"/>
      <c r="E934" s="41"/>
      <c r="F934" s="41"/>
      <c r="G934" s="41"/>
      <c r="Z934" s="38">
        <f t="shared" si="25"/>
        <v>0.5128213294</v>
      </c>
      <c r="AA934" s="74"/>
    </row>
    <row r="935">
      <c r="B935" s="41"/>
      <c r="E935" s="41"/>
      <c r="F935" s="41"/>
      <c r="G935" s="41"/>
      <c r="Z935" s="38">
        <f t="shared" si="25"/>
        <v>0.4427515818</v>
      </c>
      <c r="AA935" s="74"/>
    </row>
    <row r="936">
      <c r="B936" s="41"/>
      <c r="E936" s="41"/>
      <c r="F936" s="41"/>
      <c r="G936" s="41"/>
      <c r="Z936" s="38">
        <f t="shared" si="25"/>
        <v>0.9464363314</v>
      </c>
      <c r="AA936" s="74"/>
    </row>
    <row r="937">
      <c r="B937" s="41"/>
      <c r="E937" s="41"/>
      <c r="F937" s="41"/>
      <c r="G937" s="41"/>
      <c r="Z937" s="38">
        <f t="shared" si="25"/>
        <v>0.6863409691</v>
      </c>
      <c r="AA937" s="74"/>
    </row>
    <row r="938">
      <c r="B938" s="41"/>
      <c r="E938" s="41"/>
      <c r="F938" s="41"/>
      <c r="G938" s="41"/>
      <c r="Z938" s="38">
        <f t="shared" si="25"/>
        <v>0.1988877395</v>
      </c>
      <c r="AA938" s="74"/>
    </row>
    <row r="939">
      <c r="B939" s="41"/>
      <c r="E939" s="41"/>
      <c r="F939" s="41"/>
      <c r="G939" s="41"/>
      <c r="Z939" s="38">
        <f t="shared" si="25"/>
        <v>0.4604270949</v>
      </c>
      <c r="AA939" s="74"/>
    </row>
    <row r="940">
      <c r="B940" s="41"/>
      <c r="E940" s="41"/>
      <c r="F940" s="41"/>
      <c r="G940" s="41"/>
      <c r="Z940" s="38">
        <f t="shared" si="25"/>
        <v>0.6944219488</v>
      </c>
      <c r="AA940" s="74"/>
    </row>
    <row r="941">
      <c r="B941" s="41"/>
      <c r="E941" s="41"/>
      <c r="F941" s="41"/>
      <c r="G941" s="41"/>
      <c r="Z941" s="38">
        <f t="shared" si="25"/>
        <v>0.589267913</v>
      </c>
      <c r="AA941" s="74"/>
    </row>
    <row r="942">
      <c r="B942" s="41"/>
      <c r="E942" s="41"/>
      <c r="F942" s="41"/>
      <c r="G942" s="41"/>
      <c r="Z942" s="38">
        <f t="shared" si="25"/>
        <v>0.2623519953</v>
      </c>
      <c r="AA942" s="74"/>
    </row>
    <row r="943">
      <c r="B943" s="41"/>
      <c r="E943" s="41"/>
      <c r="F943" s="41"/>
      <c r="G943" s="41"/>
      <c r="Z943" s="38">
        <f t="shared" si="25"/>
        <v>0.8946399857</v>
      </c>
      <c r="AA943" s="74"/>
    </row>
    <row r="944">
      <c r="B944" s="41"/>
      <c r="E944" s="41"/>
      <c r="F944" s="41"/>
      <c r="G944" s="41"/>
      <c r="Z944" s="38">
        <f t="shared" si="25"/>
        <v>0.2810056693</v>
      </c>
      <c r="AA944" s="74"/>
    </row>
    <row r="945">
      <c r="B945" s="41"/>
      <c r="E945" s="41"/>
      <c r="F945" s="41"/>
      <c r="G945" s="41"/>
      <c r="Z945" s="38">
        <f t="shared" si="25"/>
        <v>0.01890910824</v>
      </c>
      <c r="AA945" s="74"/>
    </row>
    <row r="946">
      <c r="B946" s="41"/>
      <c r="E946" s="41"/>
      <c r="F946" s="41"/>
      <c r="G946" s="41"/>
      <c r="Z946" s="38">
        <f t="shared" si="25"/>
        <v>0.2841738455</v>
      </c>
      <c r="AA946" s="74"/>
    </row>
    <row r="947">
      <c r="B947" s="41"/>
      <c r="E947" s="41"/>
      <c r="F947" s="41"/>
      <c r="G947" s="41"/>
      <c r="Z947" s="38">
        <f t="shared" si="25"/>
        <v>0.5294860623</v>
      </c>
      <c r="AA947" s="74"/>
    </row>
    <row r="948">
      <c r="B948" s="41"/>
      <c r="E948" s="41"/>
      <c r="F948" s="41"/>
      <c r="G948" s="41"/>
      <c r="Z948" s="38">
        <f t="shared" si="25"/>
        <v>0.9273853548</v>
      </c>
      <c r="AA948" s="74"/>
    </row>
    <row r="949">
      <c r="B949" s="41"/>
      <c r="E949" s="41"/>
      <c r="F949" s="41"/>
      <c r="G949" s="41"/>
      <c r="Z949" s="38">
        <f t="shared" si="25"/>
        <v>0.180343814</v>
      </c>
      <c r="AA949" s="74"/>
    </row>
    <row r="950">
      <c r="B950" s="41"/>
      <c r="E950" s="41"/>
      <c r="F950" s="41"/>
      <c r="G950" s="41"/>
      <c r="Z950" s="38">
        <f t="shared" si="25"/>
        <v>0.4915974964</v>
      </c>
      <c r="AA950" s="74"/>
    </row>
    <row r="951">
      <c r="B951" s="41"/>
      <c r="E951" s="41"/>
      <c r="F951" s="41"/>
      <c r="G951" s="41"/>
      <c r="Z951" s="38">
        <f t="shared" si="25"/>
        <v>0.1044847497</v>
      </c>
      <c r="AA951" s="74"/>
    </row>
    <row r="952">
      <c r="B952" s="41"/>
      <c r="E952" s="41"/>
      <c r="F952" s="41"/>
      <c r="G952" s="41"/>
      <c r="Z952" s="38">
        <f t="shared" si="25"/>
        <v>0.838024252</v>
      </c>
      <c r="AA952" s="74"/>
    </row>
    <row r="953">
      <c r="B953" s="41"/>
      <c r="E953" s="41"/>
      <c r="F953" s="41"/>
      <c r="G953" s="41"/>
      <c r="Z953" s="38">
        <f t="shared" si="25"/>
        <v>0.5072257595</v>
      </c>
      <c r="AA953" s="74"/>
    </row>
    <row r="954">
      <c r="B954" s="41"/>
      <c r="E954" s="41"/>
      <c r="F954" s="41"/>
      <c r="G954" s="41"/>
      <c r="Z954" s="38">
        <f t="shared" si="25"/>
        <v>0.01064987485</v>
      </c>
      <c r="AA954" s="74"/>
    </row>
    <row r="955">
      <c r="B955" s="41"/>
      <c r="E955" s="41"/>
      <c r="F955" s="41"/>
      <c r="G955" s="41"/>
      <c r="Z955" s="38">
        <f t="shared" si="25"/>
        <v>0.1600455964</v>
      </c>
      <c r="AA955" s="74"/>
    </row>
    <row r="956">
      <c r="B956" s="41"/>
      <c r="E956" s="41"/>
      <c r="F956" s="41"/>
      <c r="G956" s="41"/>
      <c r="Z956" s="38">
        <f t="shared" si="25"/>
        <v>0.8064385463</v>
      </c>
      <c r="AA956" s="74"/>
    </row>
    <row r="957">
      <c r="B957" s="41"/>
      <c r="E957" s="41"/>
      <c r="F957" s="41"/>
      <c r="G957" s="41"/>
      <c r="Z957" s="38">
        <f t="shared" si="25"/>
        <v>0.02277393626</v>
      </c>
      <c r="AA957" s="74"/>
    </row>
    <row r="958">
      <c r="B958" s="41"/>
      <c r="E958" s="41"/>
      <c r="F958" s="41"/>
      <c r="G958" s="41"/>
      <c r="Z958" s="38">
        <f t="shared" si="25"/>
        <v>0.3444203813</v>
      </c>
      <c r="AA958" s="74"/>
    </row>
    <row r="959">
      <c r="B959" s="41"/>
      <c r="E959" s="41"/>
      <c r="F959" s="41"/>
      <c r="G959" s="41"/>
      <c r="Z959" s="38">
        <f t="shared" si="25"/>
        <v>0.5904744714</v>
      </c>
      <c r="AA959" s="74"/>
    </row>
    <row r="960">
      <c r="B960" s="41"/>
      <c r="E960" s="41"/>
      <c r="F960" s="41"/>
      <c r="G960" s="41"/>
      <c r="Z960" s="38">
        <f t="shared" si="25"/>
        <v>0.4139078229</v>
      </c>
      <c r="AA960" s="74"/>
    </row>
    <row r="961">
      <c r="B961" s="41"/>
      <c r="E961" s="41"/>
      <c r="F961" s="41"/>
      <c r="G961" s="41"/>
      <c r="Z961" s="38">
        <f t="shared" si="25"/>
        <v>0.8409965939</v>
      </c>
      <c r="AA961" s="74"/>
    </row>
    <row r="962">
      <c r="B962" s="41"/>
      <c r="E962" s="41"/>
      <c r="F962" s="41"/>
      <c r="G962" s="41"/>
      <c r="Z962" s="38">
        <f t="shared" si="25"/>
        <v>0.5723918124</v>
      </c>
      <c r="AA962" s="74"/>
    </row>
    <row r="963">
      <c r="B963" s="41"/>
      <c r="E963" s="41"/>
      <c r="F963" s="41"/>
      <c r="G963" s="41"/>
      <c r="Z963" s="38">
        <f t="shared" si="25"/>
        <v>0.7984704236</v>
      </c>
      <c r="AA963" s="74"/>
    </row>
    <row r="964">
      <c r="B964" s="41"/>
      <c r="E964" s="41"/>
      <c r="F964" s="41"/>
      <c r="G964" s="41"/>
      <c r="Z964" s="38">
        <f t="shared" si="25"/>
        <v>0.2016326179</v>
      </c>
      <c r="AA964" s="74"/>
    </row>
    <row r="965">
      <c r="B965" s="41"/>
      <c r="E965" s="41"/>
      <c r="F965" s="41"/>
      <c r="G965" s="41"/>
      <c r="Z965" s="38">
        <f t="shared" si="25"/>
        <v>0.903759832</v>
      </c>
      <c r="AA965" s="74"/>
    </row>
    <row r="966">
      <c r="B966" s="41"/>
      <c r="E966" s="41"/>
      <c r="F966" s="41"/>
      <c r="G966" s="41"/>
      <c r="Z966" s="38">
        <f t="shared" si="25"/>
        <v>0.07566269993</v>
      </c>
      <c r="AA966" s="74"/>
    </row>
    <row r="967">
      <c r="B967" s="41"/>
      <c r="E967" s="41"/>
      <c r="F967" s="41"/>
      <c r="G967" s="41"/>
      <c r="Z967" s="38">
        <f t="shared" si="25"/>
        <v>0.3499481536</v>
      </c>
      <c r="AA967" s="74"/>
    </row>
    <row r="968">
      <c r="B968" s="41"/>
      <c r="E968" s="41"/>
      <c r="F968" s="41"/>
      <c r="G968" s="41"/>
      <c r="Z968" s="38">
        <f t="shared" si="25"/>
        <v>0.2095575717</v>
      </c>
      <c r="AA968" s="74"/>
    </row>
    <row r="969">
      <c r="B969" s="41"/>
      <c r="E969" s="41"/>
      <c r="F969" s="41"/>
      <c r="G969" s="41"/>
      <c r="Z969" s="38">
        <f t="shared" si="25"/>
        <v>0.8823200307</v>
      </c>
      <c r="AA969" s="74"/>
    </row>
    <row r="970">
      <c r="B970" s="41"/>
      <c r="E970" s="41"/>
      <c r="F970" s="41"/>
      <c r="G970" s="41"/>
      <c r="Z970" s="38">
        <f t="shared" si="25"/>
        <v>0.558721146</v>
      </c>
      <c r="AA970" s="74"/>
    </row>
    <row r="971">
      <c r="B971" s="41"/>
      <c r="E971" s="41"/>
      <c r="F971" s="41"/>
      <c r="G971" s="41"/>
      <c r="Z971" s="38">
        <f t="shared" si="25"/>
        <v>0.9391523496</v>
      </c>
      <c r="AA971" s="74"/>
    </row>
    <row r="972">
      <c r="B972" s="41"/>
      <c r="E972" s="41"/>
      <c r="F972" s="41"/>
      <c r="G972" s="41"/>
      <c r="Z972" s="38">
        <f t="shared" si="25"/>
        <v>0.4440249896</v>
      </c>
      <c r="AA972" s="74"/>
    </row>
    <row r="973">
      <c r="B973" s="41"/>
      <c r="E973" s="41"/>
      <c r="F973" s="41"/>
      <c r="G973" s="41"/>
      <c r="Z973" s="38">
        <f t="shared" si="25"/>
        <v>0.4111977763</v>
      </c>
      <c r="AA973" s="74"/>
    </row>
    <row r="974">
      <c r="B974" s="41"/>
      <c r="E974" s="41"/>
      <c r="F974" s="41"/>
      <c r="G974" s="41"/>
      <c r="Z974" s="38">
        <f t="shared" si="25"/>
        <v>0.7605013564</v>
      </c>
      <c r="AA974" s="74"/>
    </row>
    <row r="975">
      <c r="B975" s="41"/>
      <c r="E975" s="41"/>
      <c r="F975" s="41"/>
      <c r="G975" s="41"/>
      <c r="Z975" s="38">
        <f t="shared" si="25"/>
        <v>0.2914144101</v>
      </c>
      <c r="AA975" s="74"/>
    </row>
    <row r="976">
      <c r="B976" s="41"/>
      <c r="E976" s="41"/>
      <c r="F976" s="41"/>
      <c r="G976" s="41"/>
      <c r="Z976" s="38">
        <f t="shared" si="25"/>
        <v>0.1616179147</v>
      </c>
      <c r="AA976" s="74"/>
    </row>
    <row r="977">
      <c r="B977" s="41"/>
      <c r="E977" s="41"/>
      <c r="F977" s="41"/>
      <c r="G977" s="41"/>
      <c r="Z977" s="38">
        <f t="shared" si="25"/>
        <v>0.4677777224</v>
      </c>
      <c r="AA977" s="74"/>
    </row>
    <row r="978">
      <c r="B978" s="41"/>
      <c r="E978" s="41"/>
      <c r="F978" s="41"/>
      <c r="G978" s="41"/>
      <c r="Z978" s="38">
        <f t="shared" si="25"/>
        <v>0.5257733551</v>
      </c>
      <c r="AA978" s="74"/>
    </row>
    <row r="979">
      <c r="B979" s="41"/>
      <c r="E979" s="41"/>
      <c r="F979" s="41"/>
      <c r="G979" s="41"/>
      <c r="Z979" s="38">
        <f t="shared" si="25"/>
        <v>0.3545337117</v>
      </c>
      <c r="AA979" s="74"/>
    </row>
    <row r="980">
      <c r="B980" s="41"/>
      <c r="E980" s="41"/>
      <c r="F980" s="41"/>
      <c r="G980" s="41"/>
      <c r="Z980" s="38">
        <f t="shared" si="25"/>
        <v>0.3379980836</v>
      </c>
      <c r="AA980" s="74"/>
    </row>
    <row r="981">
      <c r="B981" s="41"/>
      <c r="E981" s="41"/>
      <c r="F981" s="41"/>
      <c r="G981" s="41"/>
      <c r="Z981" s="38">
        <f t="shared" si="25"/>
        <v>0.7627775652</v>
      </c>
      <c r="AA981" s="74"/>
    </row>
    <row r="982">
      <c r="B982" s="41"/>
      <c r="E982" s="41"/>
      <c r="F982" s="41"/>
      <c r="G982" s="41"/>
      <c r="Z982" s="38">
        <f t="shared" si="25"/>
        <v>0.8424876056</v>
      </c>
      <c r="AA982" s="74"/>
    </row>
    <row r="983">
      <c r="B983" s="41"/>
      <c r="E983" s="41"/>
      <c r="F983" s="41"/>
      <c r="G983" s="41"/>
      <c r="Z983" s="38">
        <f t="shared" si="25"/>
        <v>0.7596492645</v>
      </c>
      <c r="AA983" s="74"/>
    </row>
    <row r="984">
      <c r="B984" s="41"/>
      <c r="E984" s="41"/>
      <c r="F984" s="41"/>
      <c r="G984" s="41"/>
      <c r="Z984" s="38">
        <f t="shared" si="25"/>
        <v>0.3282387313</v>
      </c>
      <c r="AA984" s="74"/>
    </row>
    <row r="985">
      <c r="B985" s="41"/>
      <c r="E985" s="41"/>
      <c r="F985" s="41"/>
      <c r="G985" s="41"/>
      <c r="Z985" s="38">
        <f t="shared" si="25"/>
        <v>0.4647367583</v>
      </c>
      <c r="AA985" s="74"/>
    </row>
    <row r="986">
      <c r="B986" s="41"/>
      <c r="E986" s="41"/>
      <c r="F986" s="41"/>
      <c r="G986" s="41"/>
      <c r="Z986" s="38">
        <f t="shared" si="25"/>
        <v>0.04151609771</v>
      </c>
      <c r="AA986" s="74"/>
    </row>
    <row r="987">
      <c r="B987" s="41"/>
      <c r="E987" s="41"/>
      <c r="F987" s="41"/>
      <c r="G987" s="41"/>
      <c r="Z987" s="38">
        <f t="shared" si="25"/>
        <v>0.06859989879</v>
      </c>
      <c r="AA987" s="74"/>
    </row>
    <row r="988">
      <c r="B988" s="41"/>
      <c r="E988" s="41"/>
      <c r="F988" s="41"/>
      <c r="G988" s="41"/>
      <c r="Z988" s="38">
        <f t="shared" si="25"/>
        <v>0.5190979002</v>
      </c>
      <c r="AA988" s="74"/>
    </row>
    <row r="989">
      <c r="B989" s="41"/>
      <c r="E989" s="41"/>
      <c r="F989" s="41"/>
      <c r="G989" s="41"/>
      <c r="Z989" s="38">
        <f t="shared" si="25"/>
        <v>0.4459332049</v>
      </c>
      <c r="AA989" s="74"/>
    </row>
    <row r="990">
      <c r="B990" s="41"/>
      <c r="E990" s="41"/>
      <c r="F990" s="41"/>
      <c r="G990" s="41"/>
      <c r="Z990" s="38">
        <f t="shared" si="25"/>
        <v>0.6023017345</v>
      </c>
      <c r="AA990" s="74"/>
    </row>
    <row r="991">
      <c r="B991" s="41"/>
      <c r="E991" s="41"/>
      <c r="F991" s="41"/>
      <c r="G991" s="41"/>
      <c r="Z991" s="38">
        <f t="shared" si="25"/>
        <v>0.7671539525</v>
      </c>
      <c r="AA991" s="74"/>
    </row>
    <row r="992">
      <c r="B992" s="41"/>
      <c r="E992" s="41"/>
      <c r="F992" s="41"/>
      <c r="G992" s="41"/>
      <c r="Z992" s="38">
        <f t="shared" si="25"/>
        <v>0.7238732032</v>
      </c>
      <c r="AA992" s="74"/>
    </row>
    <row r="993">
      <c r="B993" s="41"/>
      <c r="E993" s="41"/>
      <c r="F993" s="41"/>
      <c r="G993" s="41"/>
      <c r="Z993" s="38">
        <f t="shared" si="25"/>
        <v>0.5076443972</v>
      </c>
      <c r="AA993" s="74"/>
    </row>
    <row r="994">
      <c r="B994" s="41"/>
      <c r="E994" s="41"/>
      <c r="F994" s="41"/>
      <c r="G994" s="41"/>
      <c r="Z994" s="38">
        <f t="shared" si="25"/>
        <v>0.911248418</v>
      </c>
      <c r="AA994" s="74"/>
    </row>
    <row r="995">
      <c r="B995" s="41"/>
      <c r="E995" s="41"/>
      <c r="F995" s="41"/>
      <c r="G995" s="41"/>
      <c r="Z995" s="38">
        <f t="shared" si="25"/>
        <v>0.3121226343</v>
      </c>
      <c r="AA995" s="74"/>
    </row>
    <row r="996">
      <c r="B996" s="41"/>
      <c r="E996" s="41"/>
      <c r="F996" s="41"/>
      <c r="G996" s="41"/>
      <c r="Z996" s="38">
        <f t="shared" si="25"/>
        <v>0.1769239667</v>
      </c>
      <c r="AA996" s="74"/>
    </row>
    <row r="997">
      <c r="B997" s="41"/>
      <c r="E997" s="41"/>
      <c r="F997" s="41"/>
      <c r="G997" s="41"/>
      <c r="Z997" s="38">
        <f t="shared" si="25"/>
        <v>0.7194269754</v>
      </c>
      <c r="AA997" s="74"/>
    </row>
    <row r="998">
      <c r="B998" s="41"/>
      <c r="E998" s="41"/>
      <c r="F998" s="41"/>
      <c r="G998" s="41"/>
      <c r="Z998" s="38">
        <f t="shared" si="25"/>
        <v>0.8792544475</v>
      </c>
      <c r="AA998" s="74"/>
    </row>
    <row r="999">
      <c r="B999" s="41"/>
      <c r="E999" s="41"/>
      <c r="F999" s="41"/>
      <c r="G999" s="41"/>
      <c r="Z999" s="38">
        <f t="shared" si="25"/>
        <v>0.7952536382</v>
      </c>
      <c r="AA999" s="74"/>
    </row>
    <row r="1000">
      <c r="B1000" s="41"/>
      <c r="E1000" s="41"/>
      <c r="F1000" s="41"/>
      <c r="G1000" s="41"/>
      <c r="Z1000" s="38">
        <f t="shared" si="25"/>
        <v>0.2476425986</v>
      </c>
      <c r="AA1000" s="74"/>
    </row>
    <row r="1001">
      <c r="B1001" s="41"/>
      <c r="E1001" s="41"/>
      <c r="F1001" s="41"/>
      <c r="G1001" s="41"/>
      <c r="Z1001" s="38">
        <f t="shared" si="25"/>
        <v>0.09009667663</v>
      </c>
      <c r="AA1001" s="74"/>
    </row>
    <row r="1002">
      <c r="B1002" s="41"/>
      <c r="E1002" s="41"/>
      <c r="F1002" s="41"/>
      <c r="G1002" s="41"/>
      <c r="Z1002" s="38">
        <f t="shared" si="25"/>
        <v>0.5406120241</v>
      </c>
      <c r="AA1002" s="74"/>
    </row>
    <row r="1003">
      <c r="B1003" s="41"/>
      <c r="E1003" s="41"/>
      <c r="F1003" s="41"/>
      <c r="G1003" s="41"/>
      <c r="Z1003" s="38">
        <f t="shared" si="25"/>
        <v>0.9479346362</v>
      </c>
      <c r="AA1003" s="74"/>
    </row>
    <row r="1004">
      <c r="B1004" s="41"/>
      <c r="E1004" s="41"/>
      <c r="F1004" s="41"/>
      <c r="G1004" s="41"/>
      <c r="Z1004" s="38">
        <f t="shared" si="25"/>
        <v>0.4126016933</v>
      </c>
      <c r="AA1004" s="74"/>
    </row>
    <row r="1005">
      <c r="B1005" s="41"/>
      <c r="E1005" s="41"/>
      <c r="F1005" s="41"/>
      <c r="G1005" s="41"/>
      <c r="Z1005" s="38">
        <f t="shared" si="25"/>
        <v>0.2773480996</v>
      </c>
      <c r="AA1005" s="74"/>
    </row>
    <row r="1006">
      <c r="B1006" s="41"/>
      <c r="E1006" s="41"/>
      <c r="F1006" s="41"/>
      <c r="G1006" s="41"/>
      <c r="Z1006" s="38">
        <f t="shared" si="25"/>
        <v>0.6275660806</v>
      </c>
      <c r="AA1006" s="74"/>
    </row>
    <row r="1007">
      <c r="B1007" s="41"/>
      <c r="E1007" s="41"/>
      <c r="F1007" s="41"/>
      <c r="G1007" s="41"/>
      <c r="Z1007" s="38">
        <f t="shared" si="25"/>
        <v>0.2781187149</v>
      </c>
      <c r="AA1007" s="74"/>
    </row>
    <row r="1008">
      <c r="B1008" s="41"/>
      <c r="E1008" s="41"/>
      <c r="F1008" s="41"/>
      <c r="G1008" s="41"/>
      <c r="Z1008" s="38">
        <f t="shared" si="25"/>
        <v>0.5997991404</v>
      </c>
      <c r="AA1008" s="74"/>
    </row>
    <row r="1009">
      <c r="B1009" s="41"/>
      <c r="E1009" s="41"/>
      <c r="F1009" s="41"/>
      <c r="G1009" s="41"/>
      <c r="Z1009" s="38">
        <f t="shared" si="25"/>
        <v>0.9384623119</v>
      </c>
      <c r="AA1009" s="74"/>
    </row>
    <row r="1010">
      <c r="B1010" s="41"/>
      <c r="E1010" s="41"/>
      <c r="F1010" s="41"/>
      <c r="G1010" s="41"/>
      <c r="Z1010" s="38">
        <f t="shared" si="25"/>
        <v>0.6431461454</v>
      </c>
      <c r="AA1010" s="74"/>
    </row>
    <row r="1011">
      <c r="B1011" s="41"/>
      <c r="E1011" s="41"/>
      <c r="F1011" s="41"/>
      <c r="G1011" s="41"/>
      <c r="Z1011" s="38">
        <f t="shared" si="25"/>
        <v>0.10451755</v>
      </c>
      <c r="AA1011" s="74"/>
    </row>
    <row r="1012">
      <c r="B1012" s="41"/>
      <c r="E1012" s="41"/>
      <c r="F1012" s="41"/>
      <c r="G1012" s="41"/>
      <c r="Z1012" s="38">
        <f t="shared" si="25"/>
        <v>0.7503686175</v>
      </c>
      <c r="AA1012" s="74"/>
    </row>
    <row r="1013">
      <c r="B1013" s="41"/>
      <c r="E1013" s="41"/>
      <c r="F1013" s="41"/>
      <c r="G1013" s="41"/>
      <c r="Z1013" s="38">
        <f t="shared" si="25"/>
        <v>0.6263070142</v>
      </c>
      <c r="AA1013" s="74"/>
    </row>
    <row r="1014">
      <c r="B1014" s="41"/>
      <c r="E1014" s="41"/>
      <c r="F1014" s="41"/>
      <c r="G1014" s="41"/>
      <c r="Z1014" s="38">
        <f t="shared" si="25"/>
        <v>0.1394548139</v>
      </c>
      <c r="AA1014" s="74"/>
    </row>
    <row r="1015">
      <c r="B1015" s="41"/>
      <c r="E1015" s="41"/>
      <c r="F1015" s="41"/>
      <c r="G1015" s="41"/>
      <c r="Z1015" s="38">
        <f t="shared" si="25"/>
        <v>0.1329895038</v>
      </c>
      <c r="AA1015" s="74"/>
    </row>
    <row r="1016">
      <c r="B1016" s="41"/>
      <c r="E1016" s="41"/>
      <c r="F1016" s="41"/>
      <c r="G1016" s="41"/>
      <c r="Z1016" s="38">
        <f t="shared" si="25"/>
        <v>0.3308182938</v>
      </c>
      <c r="AA1016" s="74"/>
    </row>
    <row r="1017">
      <c r="B1017" s="41"/>
      <c r="E1017" s="41"/>
      <c r="F1017" s="41"/>
      <c r="G1017" s="41"/>
      <c r="Z1017" s="38">
        <f t="shared" si="25"/>
        <v>0.8428429445</v>
      </c>
      <c r="AA1017" s="74"/>
    </row>
    <row r="1018">
      <c r="B1018" s="41"/>
      <c r="E1018" s="41"/>
      <c r="F1018" s="41"/>
      <c r="G1018" s="41"/>
      <c r="Z1018" s="38">
        <f t="shared" si="25"/>
        <v>0.749417113</v>
      </c>
      <c r="AA1018" s="74"/>
    </row>
    <row r="1019">
      <c r="B1019" s="41"/>
      <c r="E1019" s="41"/>
      <c r="F1019" s="41"/>
      <c r="G1019" s="41"/>
      <c r="Z1019" s="38">
        <f t="shared" si="25"/>
        <v>0.006184074595</v>
      </c>
      <c r="AA1019" s="74"/>
    </row>
    <row r="1020">
      <c r="B1020" s="41"/>
      <c r="E1020" s="41"/>
      <c r="F1020" s="41"/>
      <c r="G1020" s="41"/>
      <c r="Z1020" s="38">
        <f t="shared" si="25"/>
        <v>0.572805592</v>
      </c>
      <c r="AA1020" s="74"/>
    </row>
    <row r="1021">
      <c r="B1021" s="41"/>
      <c r="E1021" s="41"/>
      <c r="F1021" s="41"/>
      <c r="G1021" s="41"/>
      <c r="Z1021" s="38">
        <f t="shared" si="25"/>
        <v>0.9766069756</v>
      </c>
      <c r="AA1021" s="74"/>
    </row>
    <row r="1022">
      <c r="B1022" s="41"/>
      <c r="E1022" s="41"/>
      <c r="F1022" s="41"/>
      <c r="G1022" s="41"/>
      <c r="Z1022" s="38">
        <f t="shared" si="25"/>
        <v>0.0170653102</v>
      </c>
      <c r="AA1022" s="74"/>
    </row>
    <row r="1023">
      <c r="B1023" s="41"/>
      <c r="E1023" s="41"/>
      <c r="F1023" s="41"/>
      <c r="G1023" s="41"/>
      <c r="Z1023" s="38">
        <f t="shared" si="25"/>
        <v>0.9498859851</v>
      </c>
      <c r="AA1023" s="74"/>
    </row>
    <row r="1024">
      <c r="B1024" s="41"/>
      <c r="E1024" s="41"/>
      <c r="F1024" s="41"/>
      <c r="G1024" s="41"/>
      <c r="Z1024" s="38">
        <f t="shared" si="25"/>
        <v>0.4176517386</v>
      </c>
      <c r="AA1024" s="74"/>
    </row>
    <row r="1025">
      <c r="B1025" s="41"/>
      <c r="E1025" s="41"/>
      <c r="F1025" s="41"/>
      <c r="G1025" s="41"/>
      <c r="Z1025" s="38">
        <f t="shared" si="25"/>
        <v>0.3711511282</v>
      </c>
      <c r="AA1025" s="74"/>
    </row>
    <row r="1026">
      <c r="B1026" s="41"/>
      <c r="E1026" s="41"/>
      <c r="F1026" s="41"/>
      <c r="G1026" s="41"/>
      <c r="Z1026" s="38">
        <f t="shared" si="25"/>
        <v>0.2247537362</v>
      </c>
      <c r="AA1026" s="74"/>
    </row>
    <row r="1027">
      <c r="B1027" s="41"/>
      <c r="E1027" s="41"/>
      <c r="F1027" s="41"/>
      <c r="G1027" s="41"/>
      <c r="Z1027" s="38">
        <f t="shared" si="25"/>
        <v>0.2381353955</v>
      </c>
      <c r="AA1027" s="74"/>
    </row>
    <row r="1028">
      <c r="B1028" s="41"/>
      <c r="E1028" s="41"/>
      <c r="F1028" s="41"/>
      <c r="G1028" s="41"/>
      <c r="Z1028" s="38">
        <f t="shared" si="25"/>
        <v>0.4992442873</v>
      </c>
      <c r="AA1028" s="74"/>
    </row>
    <row r="1029">
      <c r="B1029" s="41"/>
      <c r="E1029" s="41"/>
      <c r="F1029" s="41"/>
      <c r="G1029" s="41"/>
      <c r="Z1029" s="38">
        <f t="shared" si="25"/>
        <v>0.6981736906</v>
      </c>
      <c r="AA1029" s="74"/>
    </row>
    <row r="1030">
      <c r="B1030" s="41"/>
      <c r="E1030" s="41"/>
      <c r="F1030" s="41"/>
      <c r="G1030" s="41"/>
      <c r="Z1030" s="38">
        <f t="shared" si="25"/>
        <v>0.2252688844</v>
      </c>
      <c r="AA1030" s="74"/>
    </row>
    <row r="1031">
      <c r="B1031" s="41"/>
      <c r="E1031" s="41"/>
      <c r="F1031" s="41"/>
      <c r="G1031" s="41"/>
      <c r="Z1031" s="38">
        <f t="shared" si="25"/>
        <v>0.7040835293</v>
      </c>
      <c r="AA1031" s="74"/>
    </row>
    <row r="1032">
      <c r="B1032" s="41"/>
      <c r="E1032" s="41"/>
      <c r="F1032" s="41"/>
      <c r="G1032" s="41"/>
      <c r="Z1032" s="38">
        <f t="shared" si="25"/>
        <v>0.01167216002</v>
      </c>
      <c r="AA1032" s="74"/>
    </row>
    <row r="1033">
      <c r="B1033" s="41"/>
      <c r="E1033" s="41"/>
      <c r="F1033" s="41"/>
      <c r="G1033" s="41"/>
      <c r="Z1033" s="38">
        <f t="shared" si="25"/>
        <v>0.1420871361</v>
      </c>
      <c r="AA1033" s="74"/>
    </row>
    <row r="1034">
      <c r="B1034" s="41"/>
      <c r="E1034" s="41"/>
      <c r="F1034" s="41"/>
      <c r="G1034" s="41"/>
      <c r="Z1034" s="38">
        <f t="shared" si="25"/>
        <v>0.7526200418</v>
      </c>
      <c r="AA1034" s="74"/>
    </row>
    <row r="1035">
      <c r="B1035" s="41"/>
      <c r="E1035" s="41"/>
      <c r="F1035" s="41"/>
      <c r="G1035" s="41"/>
      <c r="Z1035" s="38">
        <f t="shared" si="25"/>
        <v>0.934675581</v>
      </c>
      <c r="AA1035" s="74"/>
    </row>
    <row r="1036">
      <c r="B1036" s="41"/>
      <c r="E1036" s="41"/>
      <c r="F1036" s="41"/>
      <c r="G1036" s="41"/>
      <c r="Z1036" s="38">
        <f t="shared" si="25"/>
        <v>0.9768821159</v>
      </c>
      <c r="AA1036" s="74"/>
    </row>
    <row r="1037">
      <c r="B1037" s="41"/>
      <c r="E1037" s="41"/>
      <c r="F1037" s="41"/>
      <c r="G1037" s="41"/>
      <c r="Z1037" s="38">
        <f t="shared" si="25"/>
        <v>0.6420247259</v>
      </c>
      <c r="AA1037" s="74"/>
    </row>
    <row r="1038">
      <c r="B1038" s="41"/>
      <c r="E1038" s="41"/>
      <c r="F1038" s="41"/>
      <c r="G1038" s="41"/>
      <c r="AA1038" s="74"/>
    </row>
    <row r="1039">
      <c r="B1039" s="41"/>
      <c r="E1039" s="41"/>
      <c r="F1039" s="41"/>
      <c r="G1039" s="41"/>
      <c r="AA1039" s="74"/>
    </row>
    <row r="1040">
      <c r="B1040" s="41"/>
      <c r="E1040" s="41"/>
      <c r="F1040" s="41"/>
      <c r="G1040" s="41"/>
      <c r="AA1040" s="74"/>
    </row>
    <row r="1041">
      <c r="B1041" s="41"/>
      <c r="E1041" s="41"/>
      <c r="F1041" s="41"/>
      <c r="G1041" s="41"/>
      <c r="AA1041" s="74"/>
    </row>
    <row r="1042">
      <c r="B1042" s="41"/>
      <c r="E1042" s="41"/>
      <c r="F1042" s="41"/>
      <c r="G1042" s="41"/>
      <c r="AA1042" s="74"/>
    </row>
    <row r="1043">
      <c r="B1043" s="41"/>
      <c r="E1043" s="41"/>
      <c r="F1043" s="41"/>
      <c r="G1043" s="41"/>
      <c r="AA1043" s="74"/>
    </row>
    <row r="1044">
      <c r="B1044" s="41"/>
      <c r="E1044" s="41"/>
      <c r="F1044" s="41"/>
      <c r="G1044" s="41"/>
      <c r="AA1044" s="74"/>
    </row>
    <row r="1045">
      <c r="B1045" s="41"/>
      <c r="E1045" s="41"/>
      <c r="F1045" s="41"/>
      <c r="G1045" s="41"/>
      <c r="AA1045" s="74"/>
    </row>
    <row r="1046">
      <c r="B1046" s="41"/>
      <c r="E1046" s="41"/>
      <c r="F1046" s="41"/>
      <c r="G1046" s="41"/>
      <c r="AA1046" s="74"/>
    </row>
    <row r="1047">
      <c r="B1047" s="41"/>
      <c r="E1047" s="41"/>
      <c r="F1047" s="41"/>
      <c r="G1047" s="41"/>
      <c r="AA1047" s="74"/>
    </row>
    <row r="1048">
      <c r="B1048" s="41"/>
      <c r="E1048" s="41"/>
      <c r="F1048" s="41"/>
      <c r="G1048" s="41"/>
      <c r="AA1048" s="74"/>
    </row>
    <row r="1049">
      <c r="B1049" s="41"/>
      <c r="E1049" s="41"/>
      <c r="F1049" s="41"/>
      <c r="G1049" s="41"/>
      <c r="AA1049" s="74"/>
    </row>
  </sheetData>
  <autoFilter ref="$A$1:$AC$1049"/>
  <conditionalFormatting sqref="B2:B254">
    <cfRule type="expression" dxfId="4" priority="1">
      <formula>ISBETWEEN($B2,1,10,TRUE,FALSE)</formula>
    </cfRule>
  </conditionalFormatting>
  <conditionalFormatting sqref="B2:B254 E2:G254">
    <cfRule type="cellIs" dxfId="5" priority="2" operator="between">
      <formula>0.1</formula>
      <formula>1</formula>
    </cfRule>
  </conditionalFormatting>
  <conditionalFormatting sqref="B2:B254 E2:G254">
    <cfRule type="cellIs" dxfId="6" priority="3" operator="lessThan">
      <formula>0.1</formula>
    </cfRule>
  </conditionalFormatting>
  <conditionalFormatting sqref="B2:B254 E2:G254">
    <cfRule type="cellIs" dxfId="7" priority="4" operator="greaterThanOrEqual">
      <formula>10</formula>
    </cfRule>
  </conditionalFormatting>
  <conditionalFormatting sqref="E2:E254">
    <cfRule type="expression" dxfId="4" priority="5">
      <formula>ISBETWEEN($E2,1,10,TRUE,FALSE)</formula>
    </cfRule>
  </conditionalFormatting>
  <conditionalFormatting sqref="F2:F254">
    <cfRule type="expression" dxfId="4" priority="6">
      <formula>ISBETWEEN($F2,1,10,TRUE,FALSE)</formula>
    </cfRule>
  </conditionalFormatting>
  <conditionalFormatting sqref="G2:G254">
    <cfRule type="expression" dxfId="4" priority="7">
      <formula>ISBETWEEN($G2,1,10,TRUE,FALSE)</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75"/>
    <col customWidth="1" min="2" max="2" width="6.25"/>
    <col customWidth="1" min="3" max="3" width="11.5"/>
    <col customWidth="1" min="4" max="4" width="11.75"/>
    <col customWidth="1" min="5" max="5" width="27.88"/>
    <col customWidth="1" min="6" max="7" width="16.5"/>
    <col customWidth="1" min="8" max="8" width="10.5"/>
    <col customWidth="1" min="9" max="9" width="8.63"/>
    <col customWidth="1" min="10" max="15" width="16.63"/>
    <col customWidth="1" min="16" max="18" width="27.0"/>
    <col customWidth="1" min="19" max="25" width="19.25"/>
  </cols>
  <sheetData>
    <row r="1">
      <c r="A1" s="2"/>
      <c r="B1" s="2"/>
      <c r="C1" s="2"/>
      <c r="D1" s="2"/>
      <c r="E1" s="2"/>
      <c r="F1" s="2"/>
      <c r="G1" s="2"/>
      <c r="H1" s="2"/>
      <c r="I1" s="2"/>
      <c r="J1" s="2"/>
      <c r="K1" s="2"/>
      <c r="L1" s="2"/>
      <c r="M1" s="2"/>
      <c r="N1" s="2"/>
      <c r="O1" s="2"/>
    </row>
    <row r="2" ht="53.25" customHeight="1">
      <c r="A2" s="76" t="s">
        <v>542</v>
      </c>
      <c r="B2" s="76" t="s">
        <v>96</v>
      </c>
      <c r="C2" s="76" t="s">
        <v>543</v>
      </c>
      <c r="D2" s="76" t="s">
        <v>544</v>
      </c>
      <c r="E2" s="76" t="s">
        <v>545</v>
      </c>
      <c r="F2" s="76" t="s">
        <v>546</v>
      </c>
      <c r="G2" s="76" t="s">
        <v>547</v>
      </c>
      <c r="H2" s="76" t="s">
        <v>548</v>
      </c>
      <c r="I2" s="76" t="s">
        <v>95</v>
      </c>
      <c r="J2" s="76" t="s">
        <v>549</v>
      </c>
      <c r="K2" s="76" t="s">
        <v>550</v>
      </c>
      <c r="L2" s="76" t="s">
        <v>551</v>
      </c>
      <c r="M2" s="76" t="s">
        <v>552</v>
      </c>
      <c r="N2" s="76" t="s">
        <v>553</v>
      </c>
      <c r="O2" s="76" t="s">
        <v>554</v>
      </c>
      <c r="P2" s="76"/>
      <c r="Q2" s="77"/>
      <c r="R2" s="77"/>
      <c r="S2" s="77"/>
      <c r="T2" s="77"/>
      <c r="U2" s="77"/>
      <c r="V2" s="77"/>
      <c r="W2" s="77"/>
      <c r="X2" s="77"/>
      <c r="Y2" s="77"/>
    </row>
    <row r="3">
      <c r="A3" s="2" t="s">
        <v>555</v>
      </c>
      <c r="B3" s="78">
        <v>3.0</v>
      </c>
      <c r="C3" s="2" t="s">
        <v>556</v>
      </c>
      <c r="D3" s="2" t="s">
        <v>557</v>
      </c>
      <c r="E3" s="2" t="s">
        <v>558</v>
      </c>
      <c r="F3" s="41">
        <v>300.0</v>
      </c>
      <c r="G3" s="79">
        <f>F3</f>
        <v>300</v>
      </c>
      <c r="H3" s="2" t="s">
        <v>559</v>
      </c>
      <c r="I3" s="2" t="s">
        <v>560</v>
      </c>
      <c r="J3" s="2">
        <v>6.0</v>
      </c>
      <c r="K3" s="2">
        <v>3600.0</v>
      </c>
      <c r="L3" s="79">
        <f>(((2*B3)/480)*(J3+K3))*VLOOKUP(N3,ReferenceTables!$CC$2:$CQ$50,MATCH(ShopGenerator!$A$4,ReferenceTables!$CC$1:$CQ$1,0),0)</f>
        <v>45.075</v>
      </c>
      <c r="M3" s="2" t="s">
        <v>561</v>
      </c>
      <c r="N3" s="2" t="s">
        <v>125</v>
      </c>
      <c r="O3" s="79">
        <f t="shared" ref="O3:O6" si="1">G3+L3</f>
        <v>345.075</v>
      </c>
    </row>
    <row r="4">
      <c r="A4" s="2" t="s">
        <v>562</v>
      </c>
      <c r="B4" s="78">
        <v>5.0</v>
      </c>
      <c r="C4" s="2" t="s">
        <v>556</v>
      </c>
      <c r="D4" s="2" t="s">
        <v>557</v>
      </c>
      <c r="E4" s="2" t="s">
        <v>563</v>
      </c>
      <c r="F4" s="79">
        <v>500.0</v>
      </c>
      <c r="G4" s="79">
        <f>F4*VLOOKUP(N4,ReferenceTables!$CC$2:$CQ$50,MATCH(ShopGenerator!$A$4,ReferenceTables!$CC$1:$CQ$1,0),0)</f>
        <v>500</v>
      </c>
      <c r="H4" s="2" t="s">
        <v>564</v>
      </c>
      <c r="I4" s="2" t="s">
        <v>565</v>
      </c>
      <c r="J4" s="2">
        <v>3600.0</v>
      </c>
      <c r="K4" s="2">
        <v>3600.0</v>
      </c>
      <c r="L4" s="79">
        <f>(((2*B4)/480)*(J4+K4))*VLOOKUP(N4,ReferenceTables!$CC$2:$CQ$50,MATCH(ShopGenerator!$A$4,ReferenceTables!$CC$1:$CQ$1,0),0)</f>
        <v>150</v>
      </c>
      <c r="M4" s="2" t="s">
        <v>561</v>
      </c>
      <c r="N4" s="2" t="s">
        <v>125</v>
      </c>
      <c r="O4" s="79">
        <f t="shared" si="1"/>
        <v>650</v>
      </c>
      <c r="P4" s="2"/>
    </row>
    <row r="5">
      <c r="A5" s="2" t="s">
        <v>566</v>
      </c>
      <c r="B5" s="78">
        <v>7.0</v>
      </c>
      <c r="C5" s="2" t="s">
        <v>556</v>
      </c>
      <c r="D5" s="2" t="s">
        <v>557</v>
      </c>
      <c r="E5" s="2" t="s">
        <v>563</v>
      </c>
      <c r="F5" s="79">
        <v>1000.0</v>
      </c>
      <c r="G5" s="79">
        <f>F5*VLOOKUP(N5,ReferenceTables!$CC$2:$CQ$50,MATCH(ShopGenerator!$A$4,ReferenceTables!$CC$1:$CQ$1,0),0)</f>
        <v>1000</v>
      </c>
      <c r="H5" s="2" t="s">
        <v>567</v>
      </c>
      <c r="I5" s="2" t="s">
        <v>565</v>
      </c>
      <c r="J5" s="2">
        <v>3600.0</v>
      </c>
      <c r="K5" s="2">
        <v>3600.0</v>
      </c>
      <c r="L5" s="79">
        <f>(((2*B5)/480)*(J5+K5))*VLOOKUP(N5,ReferenceTables!$CC$2:$CQ$50,MATCH(ShopGenerator!$A$4,ReferenceTables!$CC$1:$CQ$1,0),0)</f>
        <v>210</v>
      </c>
      <c r="M5" s="2" t="s">
        <v>561</v>
      </c>
      <c r="N5" s="2" t="s">
        <v>125</v>
      </c>
      <c r="O5" s="79">
        <f t="shared" si="1"/>
        <v>1210</v>
      </c>
    </row>
    <row r="6">
      <c r="A6" s="2" t="s">
        <v>89</v>
      </c>
      <c r="B6" s="78">
        <v>9.0</v>
      </c>
      <c r="C6" s="2" t="s">
        <v>556</v>
      </c>
      <c r="D6" s="2" t="s">
        <v>557</v>
      </c>
      <c r="E6" s="2" t="s">
        <v>568</v>
      </c>
      <c r="F6" s="79">
        <v>25025.0</v>
      </c>
      <c r="G6" s="79">
        <f>F6*VLOOKUP(N6,ReferenceTables!$CC$2:$CQ$50,MATCH(ShopGenerator!$A$4,ReferenceTables!$CC$1:$CQ$1,0),0)</f>
        <v>25025</v>
      </c>
      <c r="H6" s="2" t="s">
        <v>569</v>
      </c>
      <c r="I6" s="2" t="s">
        <v>565</v>
      </c>
      <c r="J6" s="2">
        <v>3600.0</v>
      </c>
      <c r="K6" s="2">
        <v>7200.0</v>
      </c>
      <c r="L6" s="79">
        <f>(((2*B6)/480)*(J6+K6))*VLOOKUP(N6,ReferenceTables!$CC$2:$CQ$50,MATCH(ShopGenerator!$A$4,ReferenceTables!$CC$1:$CQ$1,0),0)</f>
        <v>405</v>
      </c>
      <c r="M6" s="2" t="s">
        <v>561</v>
      </c>
      <c r="N6" s="2" t="s">
        <v>125</v>
      </c>
      <c r="O6" s="79">
        <f t="shared" si="1"/>
        <v>25430</v>
      </c>
    </row>
    <row r="7">
      <c r="L7" s="41"/>
      <c r="O7" s="79"/>
    </row>
    <row r="8">
      <c r="L8" s="41"/>
      <c r="O8" s="79"/>
    </row>
    <row r="9">
      <c r="L9" s="41"/>
      <c r="O9" s="79"/>
    </row>
    <row r="10">
      <c r="L10" s="41"/>
      <c r="O10" s="79"/>
    </row>
    <row r="11">
      <c r="L11" s="41"/>
      <c r="O11" s="79"/>
    </row>
    <row r="12">
      <c r="L12" s="41"/>
      <c r="O12" s="79"/>
    </row>
    <row r="13">
      <c r="L13" s="41"/>
      <c r="O13" s="79"/>
    </row>
    <row r="14">
      <c r="L14" s="41"/>
      <c r="O14" s="79"/>
    </row>
    <row r="15">
      <c r="L15" s="41"/>
      <c r="O15" s="79"/>
    </row>
    <row r="16">
      <c r="L16" s="41"/>
      <c r="O16" s="79"/>
    </row>
    <row r="17">
      <c r="L17" s="41"/>
      <c r="O17" s="79"/>
    </row>
    <row r="18">
      <c r="L18" s="41"/>
      <c r="O18" s="79"/>
    </row>
    <row r="19">
      <c r="L19" s="41"/>
      <c r="O19" s="79"/>
    </row>
    <row r="20">
      <c r="L20" s="41"/>
      <c r="O20" s="79"/>
    </row>
    <row r="21">
      <c r="L21" s="41"/>
      <c r="O21" s="79"/>
    </row>
    <row r="22">
      <c r="L22" s="41"/>
      <c r="O22" s="79"/>
    </row>
    <row r="23">
      <c r="L23" s="41"/>
      <c r="O23" s="79"/>
    </row>
    <row r="24">
      <c r="L24" s="41"/>
      <c r="O24" s="79"/>
    </row>
    <row r="25">
      <c r="L25" s="41"/>
      <c r="O25" s="79"/>
    </row>
    <row r="26">
      <c r="L26" s="41"/>
      <c r="O26" s="79"/>
    </row>
    <row r="27">
      <c r="L27" s="41"/>
      <c r="O27" s="79"/>
    </row>
    <row r="28">
      <c r="L28" s="41"/>
      <c r="O28" s="79"/>
    </row>
    <row r="29">
      <c r="L29" s="41"/>
      <c r="O29" s="79"/>
    </row>
    <row r="30">
      <c r="L30" s="41"/>
      <c r="O30" s="79"/>
    </row>
    <row r="31">
      <c r="L31" s="41"/>
      <c r="O31" s="79"/>
    </row>
    <row r="32">
      <c r="L32" s="41"/>
      <c r="O32" s="79"/>
    </row>
    <row r="33">
      <c r="L33" s="41"/>
      <c r="O33" s="79"/>
    </row>
    <row r="34">
      <c r="L34" s="41"/>
      <c r="O34" s="79"/>
    </row>
    <row r="35">
      <c r="L35" s="41"/>
      <c r="O35" s="79"/>
    </row>
    <row r="36">
      <c r="L36" s="41"/>
      <c r="O36" s="79"/>
    </row>
    <row r="37">
      <c r="L37" s="41"/>
      <c r="O37" s="79"/>
    </row>
    <row r="38">
      <c r="L38" s="41"/>
      <c r="O38" s="79"/>
    </row>
    <row r="39">
      <c r="L39" s="41"/>
      <c r="O39" s="79"/>
    </row>
    <row r="40">
      <c r="L40" s="41"/>
      <c r="O40" s="79"/>
    </row>
    <row r="41">
      <c r="L41" s="41"/>
      <c r="O41" s="79"/>
    </row>
    <row r="42">
      <c r="L42" s="41"/>
      <c r="O42" s="79"/>
    </row>
    <row r="43">
      <c r="L43" s="41"/>
      <c r="O43" s="79"/>
    </row>
    <row r="44">
      <c r="L44" s="41"/>
      <c r="O44" s="79"/>
    </row>
    <row r="45">
      <c r="L45" s="41"/>
      <c r="O45" s="79"/>
    </row>
    <row r="46">
      <c r="L46" s="41"/>
      <c r="O46" s="79"/>
    </row>
    <row r="47">
      <c r="L47" s="41"/>
      <c r="O47" s="79"/>
    </row>
    <row r="48">
      <c r="L48" s="41"/>
      <c r="O48" s="79"/>
    </row>
    <row r="49">
      <c r="L49" s="41"/>
      <c r="O49" s="79"/>
    </row>
    <row r="50">
      <c r="L50" s="41"/>
      <c r="O50" s="79"/>
    </row>
    <row r="51">
      <c r="L51" s="41"/>
      <c r="O51" s="79"/>
    </row>
    <row r="52">
      <c r="L52" s="41"/>
      <c r="O52" s="79"/>
    </row>
    <row r="53">
      <c r="L53" s="41"/>
      <c r="O53" s="79"/>
    </row>
    <row r="54">
      <c r="L54" s="41"/>
      <c r="O54" s="79"/>
    </row>
    <row r="55">
      <c r="L55" s="41"/>
      <c r="O55" s="79"/>
    </row>
    <row r="56">
      <c r="L56" s="41"/>
      <c r="O56" s="79"/>
    </row>
    <row r="57">
      <c r="L57" s="41"/>
      <c r="O57" s="79"/>
    </row>
    <row r="58">
      <c r="L58" s="41"/>
      <c r="O58" s="79"/>
    </row>
    <row r="59">
      <c r="L59" s="41"/>
      <c r="O59" s="79"/>
    </row>
    <row r="60">
      <c r="L60" s="41"/>
      <c r="O60" s="79"/>
    </row>
    <row r="61">
      <c r="L61" s="41"/>
      <c r="O61" s="79"/>
    </row>
    <row r="62">
      <c r="L62" s="41"/>
      <c r="O62" s="79"/>
    </row>
    <row r="63">
      <c r="L63" s="41"/>
      <c r="O63" s="79"/>
    </row>
    <row r="64">
      <c r="L64" s="41"/>
      <c r="O64" s="79"/>
    </row>
    <row r="65">
      <c r="L65" s="41"/>
      <c r="O65" s="79"/>
    </row>
    <row r="66">
      <c r="L66" s="41"/>
      <c r="O66" s="79"/>
    </row>
    <row r="67">
      <c r="L67" s="41"/>
      <c r="O67" s="79"/>
    </row>
    <row r="68">
      <c r="L68" s="41"/>
      <c r="O68" s="79"/>
    </row>
    <row r="69">
      <c r="L69" s="41"/>
      <c r="O69" s="79"/>
    </row>
    <row r="70">
      <c r="L70" s="41"/>
      <c r="O70" s="79"/>
    </row>
    <row r="71">
      <c r="L71" s="41"/>
      <c r="O71" s="79"/>
    </row>
    <row r="72">
      <c r="L72" s="41"/>
      <c r="O72" s="79"/>
    </row>
    <row r="73">
      <c r="L73" s="41"/>
      <c r="O73" s="79"/>
    </row>
    <row r="74">
      <c r="L74" s="41"/>
      <c r="O74" s="79"/>
    </row>
    <row r="75">
      <c r="L75" s="41"/>
      <c r="O75" s="79"/>
    </row>
    <row r="76">
      <c r="L76" s="41"/>
      <c r="O76" s="79"/>
    </row>
    <row r="77">
      <c r="L77" s="41"/>
      <c r="O77" s="79"/>
    </row>
    <row r="78">
      <c r="L78" s="41"/>
      <c r="O78" s="79"/>
    </row>
    <row r="79">
      <c r="L79" s="41"/>
      <c r="O79" s="79"/>
    </row>
    <row r="80">
      <c r="L80" s="41"/>
      <c r="O80" s="79"/>
    </row>
    <row r="81">
      <c r="L81" s="41"/>
      <c r="O81" s="79"/>
    </row>
    <row r="82">
      <c r="L82" s="41"/>
      <c r="O82" s="79"/>
    </row>
    <row r="83">
      <c r="L83" s="41"/>
      <c r="O83" s="79"/>
    </row>
    <row r="84">
      <c r="L84" s="41"/>
      <c r="O84" s="79"/>
    </row>
    <row r="85">
      <c r="L85" s="41"/>
      <c r="O85" s="79"/>
    </row>
    <row r="86">
      <c r="L86" s="41"/>
      <c r="O86" s="79"/>
    </row>
    <row r="87">
      <c r="L87" s="41"/>
      <c r="O87" s="79"/>
    </row>
    <row r="88">
      <c r="L88" s="41"/>
      <c r="O88" s="79"/>
    </row>
    <row r="89">
      <c r="L89" s="41"/>
      <c r="O89" s="79"/>
    </row>
    <row r="90">
      <c r="L90" s="41"/>
      <c r="O90" s="79"/>
    </row>
    <row r="91">
      <c r="L91" s="41"/>
      <c r="O91" s="79"/>
    </row>
    <row r="92">
      <c r="L92" s="41"/>
      <c r="O92" s="79"/>
    </row>
    <row r="93">
      <c r="L93" s="41"/>
      <c r="O93" s="79"/>
    </row>
    <row r="94">
      <c r="L94" s="41"/>
      <c r="O94" s="79"/>
    </row>
    <row r="95">
      <c r="L95" s="41"/>
      <c r="O95" s="79"/>
    </row>
    <row r="96">
      <c r="L96" s="41"/>
      <c r="O96" s="79"/>
    </row>
    <row r="97">
      <c r="L97" s="41"/>
      <c r="O97" s="79"/>
    </row>
    <row r="98">
      <c r="L98" s="41"/>
      <c r="O98" s="79"/>
    </row>
    <row r="99">
      <c r="L99" s="41"/>
      <c r="O99" s="79"/>
    </row>
    <row r="100">
      <c r="L100" s="41"/>
      <c r="O100" s="79"/>
    </row>
    <row r="101">
      <c r="L101" s="41"/>
      <c r="O101" s="79"/>
    </row>
    <row r="102">
      <c r="L102" s="41"/>
      <c r="O102" s="79"/>
    </row>
    <row r="103">
      <c r="L103" s="41"/>
      <c r="O103" s="79"/>
    </row>
    <row r="104">
      <c r="L104" s="41"/>
      <c r="O104" s="79"/>
    </row>
    <row r="105">
      <c r="L105" s="41"/>
      <c r="O105" s="79"/>
    </row>
    <row r="106">
      <c r="L106" s="41"/>
      <c r="O106" s="79"/>
    </row>
    <row r="107">
      <c r="L107" s="41"/>
      <c r="O107" s="79"/>
    </row>
    <row r="108">
      <c r="L108" s="41"/>
      <c r="O108" s="79"/>
    </row>
    <row r="109">
      <c r="L109" s="41"/>
      <c r="O109" s="79"/>
    </row>
    <row r="110">
      <c r="L110" s="41"/>
      <c r="O110" s="79"/>
    </row>
    <row r="111">
      <c r="L111" s="41"/>
      <c r="O111" s="79"/>
    </row>
    <row r="112">
      <c r="L112" s="41"/>
      <c r="O112" s="79"/>
    </row>
    <row r="113">
      <c r="L113" s="41"/>
      <c r="O113" s="79"/>
    </row>
    <row r="114">
      <c r="L114" s="41"/>
      <c r="O114" s="79"/>
    </row>
    <row r="115">
      <c r="L115" s="41"/>
      <c r="O115" s="79"/>
    </row>
    <row r="116">
      <c r="L116" s="41"/>
      <c r="O116" s="79"/>
    </row>
    <row r="117">
      <c r="L117" s="41"/>
      <c r="O117" s="79"/>
    </row>
    <row r="118">
      <c r="L118" s="41"/>
      <c r="O118" s="79"/>
    </row>
    <row r="119">
      <c r="L119" s="41"/>
      <c r="O119" s="79"/>
    </row>
    <row r="120">
      <c r="L120" s="41"/>
      <c r="O120" s="79"/>
    </row>
    <row r="121">
      <c r="L121" s="41"/>
      <c r="O121" s="79"/>
    </row>
    <row r="122">
      <c r="L122" s="41"/>
      <c r="O122" s="79"/>
    </row>
    <row r="123">
      <c r="L123" s="41"/>
      <c r="O123" s="79"/>
    </row>
    <row r="124">
      <c r="L124" s="41"/>
      <c r="O124" s="79"/>
    </row>
    <row r="125">
      <c r="L125" s="41"/>
      <c r="O125" s="79"/>
    </row>
    <row r="126">
      <c r="L126" s="41"/>
      <c r="O126" s="79"/>
    </row>
    <row r="127">
      <c r="L127" s="41"/>
      <c r="O127" s="79"/>
    </row>
    <row r="128">
      <c r="L128" s="41"/>
      <c r="O128" s="79"/>
    </row>
    <row r="129">
      <c r="L129" s="41"/>
      <c r="O129" s="79"/>
    </row>
    <row r="130">
      <c r="L130" s="41"/>
      <c r="O130" s="79"/>
    </row>
    <row r="131">
      <c r="L131" s="41"/>
      <c r="O131" s="79"/>
    </row>
    <row r="132">
      <c r="L132" s="41"/>
      <c r="O132" s="79"/>
    </row>
    <row r="133">
      <c r="L133" s="41"/>
      <c r="O133" s="79"/>
    </row>
    <row r="134">
      <c r="L134" s="41"/>
      <c r="O134" s="79"/>
    </row>
    <row r="135">
      <c r="L135" s="41"/>
      <c r="O135" s="79"/>
    </row>
    <row r="136">
      <c r="L136" s="41"/>
      <c r="O136" s="79"/>
    </row>
    <row r="137">
      <c r="L137" s="41"/>
      <c r="O137" s="79"/>
    </row>
    <row r="138">
      <c r="L138" s="41"/>
      <c r="O138" s="79"/>
    </row>
    <row r="139">
      <c r="L139" s="41"/>
      <c r="O139" s="79"/>
    </row>
    <row r="140">
      <c r="L140" s="41"/>
      <c r="O140" s="79"/>
    </row>
    <row r="141">
      <c r="L141" s="41"/>
      <c r="O141" s="79"/>
    </row>
    <row r="142">
      <c r="L142" s="41"/>
      <c r="O142" s="79"/>
    </row>
    <row r="143">
      <c r="L143" s="41"/>
      <c r="O143" s="79"/>
    </row>
    <row r="144">
      <c r="L144" s="41"/>
      <c r="O144" s="79"/>
    </row>
    <row r="145">
      <c r="L145" s="41"/>
      <c r="O145" s="79"/>
    </row>
    <row r="146">
      <c r="L146" s="41"/>
      <c r="O146" s="79"/>
    </row>
    <row r="147">
      <c r="L147" s="41"/>
      <c r="O147" s="79"/>
    </row>
    <row r="148">
      <c r="L148" s="41"/>
      <c r="O148" s="79"/>
    </row>
    <row r="149">
      <c r="L149" s="41"/>
      <c r="O149" s="79"/>
    </row>
    <row r="150">
      <c r="L150" s="41"/>
      <c r="O150" s="79"/>
    </row>
    <row r="151">
      <c r="L151" s="41"/>
      <c r="O151" s="79"/>
    </row>
    <row r="152">
      <c r="L152" s="41"/>
      <c r="O152" s="79"/>
    </row>
    <row r="153">
      <c r="L153" s="41"/>
      <c r="O153" s="79"/>
    </row>
    <row r="154">
      <c r="L154" s="41"/>
      <c r="O154" s="79"/>
    </row>
    <row r="155">
      <c r="L155" s="41"/>
      <c r="O155" s="79"/>
    </row>
    <row r="156">
      <c r="L156" s="41"/>
      <c r="O156" s="79"/>
    </row>
    <row r="157">
      <c r="L157" s="41"/>
      <c r="O157" s="79"/>
    </row>
    <row r="158">
      <c r="L158" s="41"/>
      <c r="O158" s="79"/>
    </row>
    <row r="159">
      <c r="L159" s="41"/>
      <c r="O159" s="79"/>
    </row>
    <row r="160">
      <c r="L160" s="41"/>
      <c r="O160" s="79"/>
    </row>
    <row r="161">
      <c r="L161" s="41"/>
      <c r="O161" s="79"/>
    </row>
    <row r="162">
      <c r="L162" s="41"/>
      <c r="O162" s="79"/>
    </row>
    <row r="163">
      <c r="L163" s="41"/>
      <c r="O163" s="79"/>
    </row>
    <row r="164">
      <c r="L164" s="41"/>
      <c r="O164" s="79"/>
    </row>
    <row r="165">
      <c r="L165" s="41"/>
      <c r="O165" s="79"/>
    </row>
    <row r="166">
      <c r="L166" s="41"/>
      <c r="O166" s="79"/>
    </row>
    <row r="167">
      <c r="L167" s="41"/>
      <c r="O167" s="79"/>
    </row>
    <row r="168">
      <c r="L168" s="41"/>
      <c r="O168" s="79"/>
    </row>
    <row r="169">
      <c r="L169" s="41"/>
      <c r="O169" s="79"/>
    </row>
    <row r="170">
      <c r="L170" s="41"/>
      <c r="O170" s="79"/>
    </row>
    <row r="171">
      <c r="L171" s="41"/>
      <c r="O171" s="79"/>
    </row>
    <row r="172">
      <c r="L172" s="41"/>
      <c r="O172" s="79"/>
    </row>
    <row r="173">
      <c r="L173" s="41"/>
      <c r="O173" s="79"/>
    </row>
    <row r="174">
      <c r="L174" s="41"/>
      <c r="O174" s="79"/>
    </row>
    <row r="175">
      <c r="L175" s="41"/>
      <c r="O175" s="79"/>
    </row>
    <row r="176">
      <c r="L176" s="41"/>
      <c r="O176" s="79"/>
    </row>
    <row r="177">
      <c r="L177" s="41"/>
      <c r="O177" s="79"/>
    </row>
    <row r="178">
      <c r="L178" s="41"/>
      <c r="O178" s="79"/>
    </row>
    <row r="179">
      <c r="L179" s="41"/>
      <c r="O179" s="79"/>
    </row>
    <row r="180">
      <c r="L180" s="41"/>
      <c r="O180" s="79"/>
    </row>
    <row r="181">
      <c r="L181" s="41"/>
      <c r="O181" s="79"/>
    </row>
    <row r="182">
      <c r="L182" s="41"/>
      <c r="O182" s="79"/>
    </row>
    <row r="183">
      <c r="L183" s="41"/>
      <c r="O183" s="79"/>
    </row>
    <row r="184">
      <c r="L184" s="41"/>
      <c r="O184" s="79"/>
    </row>
    <row r="185">
      <c r="L185" s="41"/>
      <c r="O185" s="79"/>
    </row>
    <row r="186">
      <c r="L186" s="41"/>
      <c r="O186" s="79"/>
    </row>
    <row r="187">
      <c r="L187" s="41"/>
      <c r="O187" s="79"/>
    </row>
    <row r="188">
      <c r="L188" s="41"/>
      <c r="O188" s="79"/>
    </row>
    <row r="189">
      <c r="L189" s="41"/>
      <c r="O189" s="79"/>
    </row>
    <row r="190">
      <c r="L190" s="41"/>
      <c r="O190" s="79"/>
    </row>
    <row r="191">
      <c r="L191" s="41"/>
      <c r="O191" s="79"/>
    </row>
    <row r="192">
      <c r="L192" s="41"/>
      <c r="O192" s="79"/>
    </row>
    <row r="193">
      <c r="L193" s="41"/>
      <c r="O193" s="79"/>
    </row>
    <row r="194">
      <c r="L194" s="41"/>
      <c r="O194" s="79"/>
    </row>
    <row r="195">
      <c r="L195" s="41"/>
      <c r="O195" s="79"/>
    </row>
    <row r="196">
      <c r="L196" s="41"/>
      <c r="O196" s="79"/>
    </row>
    <row r="197">
      <c r="L197" s="41"/>
      <c r="O197" s="79"/>
    </row>
    <row r="198">
      <c r="L198" s="41"/>
      <c r="O198" s="79"/>
    </row>
    <row r="199">
      <c r="L199" s="41"/>
      <c r="O199" s="79"/>
    </row>
    <row r="200">
      <c r="L200" s="41"/>
      <c r="O200" s="79"/>
    </row>
    <row r="201">
      <c r="L201" s="41"/>
      <c r="O201" s="79"/>
    </row>
    <row r="202">
      <c r="L202" s="41"/>
      <c r="O202" s="79"/>
    </row>
    <row r="203">
      <c r="L203" s="41"/>
      <c r="O203" s="79"/>
    </row>
    <row r="204">
      <c r="L204" s="41"/>
      <c r="O204" s="79"/>
    </row>
    <row r="205">
      <c r="L205" s="41"/>
      <c r="O205" s="79"/>
    </row>
    <row r="206">
      <c r="L206" s="41"/>
      <c r="O206" s="79"/>
    </row>
    <row r="207">
      <c r="L207" s="41"/>
      <c r="O207" s="79"/>
    </row>
    <row r="208">
      <c r="L208" s="41"/>
      <c r="O208" s="79"/>
    </row>
    <row r="209">
      <c r="L209" s="41"/>
      <c r="O209" s="79"/>
    </row>
    <row r="210">
      <c r="L210" s="41"/>
      <c r="O210" s="79"/>
    </row>
    <row r="211">
      <c r="L211" s="41"/>
      <c r="O211" s="79"/>
    </row>
    <row r="212">
      <c r="L212" s="41"/>
      <c r="O212" s="79"/>
    </row>
    <row r="213">
      <c r="L213" s="41"/>
      <c r="O213" s="79"/>
    </row>
    <row r="214">
      <c r="L214" s="41"/>
      <c r="O214" s="79"/>
    </row>
    <row r="215">
      <c r="L215" s="41"/>
      <c r="O215" s="79"/>
    </row>
    <row r="216">
      <c r="L216" s="41"/>
      <c r="O216" s="79"/>
    </row>
    <row r="217">
      <c r="L217" s="41"/>
      <c r="O217" s="79"/>
    </row>
    <row r="218">
      <c r="L218" s="41"/>
      <c r="O218" s="79"/>
    </row>
    <row r="219">
      <c r="L219" s="41"/>
      <c r="O219" s="79"/>
    </row>
    <row r="220">
      <c r="L220" s="41"/>
      <c r="O220" s="79"/>
    </row>
    <row r="221">
      <c r="L221" s="41"/>
      <c r="O221" s="79"/>
    </row>
    <row r="222">
      <c r="L222" s="41"/>
      <c r="O222" s="79"/>
    </row>
    <row r="223">
      <c r="L223" s="41"/>
      <c r="O223" s="79"/>
    </row>
    <row r="224">
      <c r="L224" s="41"/>
      <c r="O224" s="79"/>
    </row>
    <row r="225">
      <c r="L225" s="41"/>
      <c r="O225" s="79"/>
    </row>
    <row r="226">
      <c r="L226" s="41"/>
      <c r="O226" s="79"/>
    </row>
    <row r="227">
      <c r="L227" s="41"/>
      <c r="O227" s="79"/>
    </row>
    <row r="228">
      <c r="L228" s="41"/>
      <c r="O228" s="79"/>
    </row>
    <row r="229">
      <c r="L229" s="41"/>
      <c r="O229" s="79"/>
    </row>
    <row r="230">
      <c r="L230" s="41"/>
      <c r="O230" s="79"/>
    </row>
    <row r="231">
      <c r="L231" s="41"/>
      <c r="O231" s="79"/>
    </row>
    <row r="232">
      <c r="L232" s="41"/>
      <c r="O232" s="79"/>
    </row>
    <row r="233">
      <c r="L233" s="41"/>
      <c r="O233" s="79"/>
    </row>
    <row r="234">
      <c r="L234" s="41"/>
      <c r="O234" s="79"/>
    </row>
    <row r="235">
      <c r="L235" s="41"/>
      <c r="O235" s="79"/>
    </row>
    <row r="236">
      <c r="L236" s="41"/>
      <c r="O236" s="79"/>
    </row>
    <row r="237">
      <c r="L237" s="41"/>
      <c r="O237" s="79"/>
    </row>
    <row r="238">
      <c r="L238" s="41"/>
      <c r="O238" s="79"/>
    </row>
    <row r="239">
      <c r="L239" s="41"/>
      <c r="O239" s="79"/>
    </row>
    <row r="240">
      <c r="L240" s="41"/>
      <c r="O240" s="79"/>
    </row>
    <row r="241">
      <c r="L241" s="41"/>
      <c r="O241" s="79"/>
    </row>
    <row r="242">
      <c r="L242" s="41"/>
      <c r="O242" s="79"/>
    </row>
    <row r="243">
      <c r="L243" s="41"/>
      <c r="O243" s="79"/>
    </row>
    <row r="244">
      <c r="L244" s="41"/>
      <c r="O244" s="79"/>
    </row>
    <row r="245">
      <c r="L245" s="41"/>
      <c r="O245" s="79"/>
    </row>
    <row r="246">
      <c r="L246" s="41"/>
      <c r="O246" s="79"/>
    </row>
    <row r="247">
      <c r="L247" s="41"/>
      <c r="O247" s="79"/>
    </row>
    <row r="248">
      <c r="L248" s="41"/>
      <c r="O248" s="79"/>
    </row>
    <row r="249">
      <c r="L249" s="41"/>
      <c r="O249" s="79"/>
    </row>
    <row r="250">
      <c r="L250" s="41"/>
      <c r="O250" s="79"/>
    </row>
    <row r="251">
      <c r="L251" s="41"/>
      <c r="O251" s="79"/>
    </row>
    <row r="252">
      <c r="L252" s="41"/>
      <c r="O252" s="79"/>
    </row>
    <row r="253">
      <c r="L253" s="41"/>
      <c r="O253" s="79"/>
    </row>
    <row r="254">
      <c r="L254" s="41"/>
      <c r="O254" s="79"/>
    </row>
    <row r="255">
      <c r="L255" s="41"/>
      <c r="O255" s="79"/>
    </row>
    <row r="256">
      <c r="L256" s="41"/>
      <c r="O256" s="79"/>
    </row>
    <row r="257">
      <c r="L257" s="41"/>
      <c r="O257" s="79"/>
    </row>
    <row r="258">
      <c r="L258" s="41"/>
      <c r="O258" s="79"/>
    </row>
    <row r="259">
      <c r="L259" s="41"/>
      <c r="O259" s="79"/>
    </row>
    <row r="260">
      <c r="L260" s="41"/>
      <c r="O260" s="79"/>
    </row>
    <row r="261">
      <c r="L261" s="41"/>
      <c r="O261" s="79"/>
    </row>
    <row r="262">
      <c r="L262" s="41"/>
      <c r="O262" s="79"/>
    </row>
    <row r="263">
      <c r="L263" s="41"/>
      <c r="O263" s="79"/>
    </row>
    <row r="264">
      <c r="L264" s="41"/>
      <c r="O264" s="79"/>
    </row>
    <row r="265">
      <c r="L265" s="41"/>
      <c r="O265" s="79"/>
    </row>
    <row r="266">
      <c r="L266" s="41"/>
      <c r="O266" s="79"/>
    </row>
    <row r="267">
      <c r="L267" s="41"/>
      <c r="O267" s="79"/>
    </row>
    <row r="268">
      <c r="L268" s="41"/>
      <c r="O268" s="79"/>
    </row>
    <row r="269">
      <c r="L269" s="41"/>
      <c r="O269" s="79"/>
    </row>
    <row r="270">
      <c r="L270" s="41"/>
      <c r="O270" s="79"/>
    </row>
    <row r="271">
      <c r="L271" s="41"/>
      <c r="O271" s="79"/>
    </row>
    <row r="272">
      <c r="L272" s="41"/>
      <c r="O272" s="79"/>
    </row>
    <row r="273">
      <c r="L273" s="41"/>
      <c r="O273" s="79"/>
    </row>
    <row r="274">
      <c r="L274" s="41"/>
      <c r="O274" s="79"/>
    </row>
    <row r="275">
      <c r="L275" s="41"/>
      <c r="O275" s="79"/>
    </row>
    <row r="276">
      <c r="L276" s="41"/>
      <c r="O276" s="79"/>
    </row>
    <row r="277">
      <c r="L277" s="41"/>
      <c r="O277" s="79"/>
    </row>
    <row r="278">
      <c r="L278" s="41"/>
      <c r="O278" s="79"/>
    </row>
    <row r="279">
      <c r="L279" s="41"/>
      <c r="O279" s="79"/>
    </row>
    <row r="280">
      <c r="L280" s="41"/>
      <c r="O280" s="79"/>
    </row>
    <row r="281">
      <c r="L281" s="41"/>
      <c r="O281" s="79"/>
    </row>
    <row r="282">
      <c r="L282" s="41"/>
      <c r="O282" s="79"/>
    </row>
    <row r="283">
      <c r="L283" s="41"/>
      <c r="O283" s="79"/>
    </row>
    <row r="284">
      <c r="L284" s="41"/>
      <c r="O284" s="79"/>
    </row>
    <row r="285">
      <c r="L285" s="41"/>
      <c r="O285" s="79"/>
    </row>
    <row r="286">
      <c r="L286" s="41"/>
      <c r="O286" s="79"/>
    </row>
    <row r="287">
      <c r="L287" s="41"/>
      <c r="O287" s="79"/>
    </row>
    <row r="288">
      <c r="L288" s="41"/>
      <c r="O288" s="79"/>
    </row>
    <row r="289">
      <c r="L289" s="41"/>
      <c r="O289" s="79"/>
    </row>
    <row r="290">
      <c r="L290" s="41"/>
      <c r="O290" s="79"/>
    </row>
    <row r="291">
      <c r="L291" s="41"/>
      <c r="O291" s="79"/>
    </row>
    <row r="292">
      <c r="L292" s="41"/>
      <c r="O292" s="79"/>
    </row>
    <row r="293">
      <c r="L293" s="41"/>
      <c r="O293" s="79"/>
    </row>
    <row r="294">
      <c r="L294" s="41"/>
      <c r="O294" s="79"/>
    </row>
    <row r="295">
      <c r="L295" s="41"/>
      <c r="O295" s="79"/>
    </row>
    <row r="296">
      <c r="L296" s="41"/>
      <c r="O296" s="79"/>
    </row>
    <row r="297">
      <c r="L297" s="41"/>
      <c r="O297" s="79"/>
    </row>
    <row r="298">
      <c r="L298" s="41"/>
      <c r="O298" s="79"/>
    </row>
    <row r="299">
      <c r="L299" s="41"/>
      <c r="O299" s="79"/>
    </row>
    <row r="300">
      <c r="L300" s="41"/>
      <c r="O300" s="79"/>
    </row>
  </sheetData>
  <conditionalFormatting sqref="F3:F300">
    <cfRule type="expression" dxfId="4" priority="1">
      <formula>ISBETWEEN($F3,1,10,TRUE,FALSE)</formula>
    </cfRule>
  </conditionalFormatting>
  <conditionalFormatting sqref="F3:G300 L3:L300 O3:O300">
    <cfRule type="cellIs" dxfId="5" priority="2" operator="between">
      <formula>0.1</formula>
      <formula>1</formula>
    </cfRule>
  </conditionalFormatting>
  <conditionalFormatting sqref="F3:G300 L3:L300 O3:O300">
    <cfRule type="cellIs" dxfId="6" priority="3" operator="lessThan">
      <formula>0.1</formula>
    </cfRule>
  </conditionalFormatting>
  <conditionalFormatting sqref="F3:G300 L3:L300 O3:O300">
    <cfRule type="cellIs" dxfId="7" priority="4" operator="greaterThanOrEqual">
      <formula>10</formula>
    </cfRule>
  </conditionalFormatting>
  <conditionalFormatting sqref="G3:G300">
    <cfRule type="expression" dxfId="4" priority="5">
      <formula>ISBETWEEN($G3,1,10,TRUE,FALSE)</formula>
    </cfRule>
  </conditionalFormatting>
  <conditionalFormatting sqref="L3:L300">
    <cfRule type="expression" dxfId="4" priority="6">
      <formula>ISBETWEEN($L3,1,10,TRUE,FALSE)</formula>
    </cfRule>
  </conditionalFormatting>
  <conditionalFormatting sqref="O3:O300">
    <cfRule type="expression" dxfId="4" priority="7">
      <formula>ISBETWEEN($O3,1,10,TRUE,FALSE)</formula>
    </cfRule>
  </conditionalFormatting>
  <drawing r:id="rId1"/>
</worksheet>
</file>