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vpal\Desktop\"/>
    </mc:Choice>
  </mc:AlternateContent>
  <bookViews>
    <workbookView xWindow="0" yWindow="0" windowWidth="20490" windowHeight="7320" activeTab="4"/>
  </bookViews>
  <sheets>
    <sheet name="data_ddal" sheetId="2" r:id="rId1"/>
    <sheet name="data_ccc" sheetId="4" r:id="rId2"/>
    <sheet name="rules_80" sheetId="5" r:id="rId3"/>
    <sheet name="comparison" sheetId="6" r:id="rId4"/>
    <sheet name="credits" sheetId="7" r:id="rId5"/>
    <sheet name="results" sheetId="3" r:id="rId6"/>
  </sheets>
  <definedNames>
    <definedName name="_xlnm._FilterDatabase" localSheetId="1" hidden="1">data_ccc!$A$1:$M$137</definedName>
    <definedName name="_xlnm._FilterDatabase" localSheetId="0" hidden="1">data_ddal!$A$1:$F$122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6" l="1"/>
  <c r="I6" i="6"/>
  <c r="I5" i="6"/>
  <c r="I4" i="6"/>
  <c r="H7" i="6"/>
  <c r="G7" i="6"/>
  <c r="G6" i="6"/>
  <c r="G5" i="6"/>
  <c r="G4" i="6"/>
  <c r="F7" i="6"/>
  <c r="F6" i="6"/>
  <c r="F5" i="6"/>
  <c r="F4" i="6"/>
  <c r="E7" i="6"/>
  <c r="E6" i="6"/>
  <c r="E5" i="6"/>
  <c r="E4" i="6"/>
  <c r="M7" i="5"/>
  <c r="J7" i="5"/>
  <c r="J6" i="5"/>
  <c r="J5" i="5"/>
  <c r="J4" i="5"/>
  <c r="I7" i="5"/>
  <c r="I6" i="5"/>
  <c r="I5" i="5"/>
  <c r="I4" i="5"/>
  <c r="F5" i="5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4" i="5"/>
  <c r="F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B137" i="4" l="1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0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7" i="2"/>
  <c r="B102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3" i="2"/>
  <c r="B11" i="2"/>
  <c r="B5" i="2"/>
  <c r="B2" i="2"/>
  <c r="J16" i="3"/>
  <c r="J15" i="3"/>
  <c r="H16" i="3"/>
  <c r="H15" i="3"/>
  <c r="F15" i="3"/>
  <c r="H11" i="3"/>
  <c r="H10" i="3"/>
  <c r="H9" i="3"/>
  <c r="F16" i="3" s="1"/>
  <c r="G10" i="3"/>
  <c r="G11" i="3"/>
  <c r="G9" i="3"/>
  <c r="F10" i="3"/>
  <c r="F11" i="3"/>
  <c r="F9" i="3"/>
  <c r="C141" i="4"/>
  <c r="C140" i="4"/>
  <c r="C139" i="4"/>
  <c r="L139" i="4"/>
  <c r="M139" i="4"/>
  <c r="L140" i="4"/>
  <c r="M140" i="4"/>
  <c r="L141" i="4"/>
  <c r="M141" i="4"/>
  <c r="K141" i="4"/>
  <c r="K140" i="4"/>
  <c r="K139" i="4"/>
  <c r="K3" i="4"/>
  <c r="L3" i="4" s="1"/>
  <c r="M3" i="4"/>
  <c r="K4" i="4"/>
  <c r="L4" i="4" s="1"/>
  <c r="M4" i="4"/>
  <c r="K5" i="4"/>
  <c r="L5" i="4" s="1"/>
  <c r="M5" i="4"/>
  <c r="K6" i="4"/>
  <c r="L6" i="4" s="1"/>
  <c r="M6" i="4"/>
  <c r="K7" i="4"/>
  <c r="L7" i="4"/>
  <c r="M7" i="4"/>
  <c r="K8" i="4"/>
  <c r="L8" i="4" s="1"/>
  <c r="M8" i="4"/>
  <c r="K9" i="4"/>
  <c r="L9" i="4" s="1"/>
  <c r="M9" i="4"/>
  <c r="K10" i="4"/>
  <c r="L10" i="4"/>
  <c r="M10" i="4"/>
  <c r="K11" i="4"/>
  <c r="L11" i="4" s="1"/>
  <c r="M11" i="4"/>
  <c r="K12" i="4"/>
  <c r="L12" i="4" s="1"/>
  <c r="M12" i="4"/>
  <c r="K13" i="4"/>
  <c r="L13" i="4" s="1"/>
  <c r="M13" i="4"/>
  <c r="K14" i="4"/>
  <c r="L14" i="4" s="1"/>
  <c r="M14" i="4"/>
  <c r="K15" i="4"/>
  <c r="L15" i="4" s="1"/>
  <c r="M15" i="4"/>
  <c r="K16" i="4"/>
  <c r="L16" i="4" s="1"/>
  <c r="M16" i="4"/>
  <c r="K17" i="4"/>
  <c r="L17" i="4" s="1"/>
  <c r="M17" i="4"/>
  <c r="K18" i="4"/>
  <c r="L18" i="4" s="1"/>
  <c r="M18" i="4"/>
  <c r="K19" i="4"/>
  <c r="L19" i="4" s="1"/>
  <c r="M19" i="4"/>
  <c r="K20" i="4"/>
  <c r="L20" i="4" s="1"/>
  <c r="M20" i="4"/>
  <c r="K21" i="4"/>
  <c r="L21" i="4" s="1"/>
  <c r="M21" i="4"/>
  <c r="K22" i="4"/>
  <c r="L22" i="4" s="1"/>
  <c r="M22" i="4"/>
  <c r="K23" i="4"/>
  <c r="L23" i="4" s="1"/>
  <c r="M23" i="4"/>
  <c r="K24" i="4"/>
  <c r="L24" i="4" s="1"/>
  <c r="M24" i="4"/>
  <c r="K25" i="4"/>
  <c r="L25" i="4" s="1"/>
  <c r="M25" i="4"/>
  <c r="K26" i="4"/>
  <c r="L26" i="4" s="1"/>
  <c r="M26" i="4"/>
  <c r="K27" i="4"/>
  <c r="L27" i="4" s="1"/>
  <c r="M27" i="4"/>
  <c r="K28" i="4"/>
  <c r="L28" i="4" s="1"/>
  <c r="M28" i="4"/>
  <c r="K29" i="4"/>
  <c r="L29" i="4" s="1"/>
  <c r="M29" i="4"/>
  <c r="K30" i="4"/>
  <c r="L30" i="4" s="1"/>
  <c r="M30" i="4"/>
  <c r="K31" i="4"/>
  <c r="L31" i="4" s="1"/>
  <c r="M31" i="4"/>
  <c r="K32" i="4"/>
  <c r="L32" i="4" s="1"/>
  <c r="M32" i="4"/>
  <c r="K33" i="4"/>
  <c r="L33" i="4" s="1"/>
  <c r="M33" i="4"/>
  <c r="K34" i="4"/>
  <c r="L34" i="4"/>
  <c r="M34" i="4"/>
  <c r="K35" i="4"/>
  <c r="L35" i="4" s="1"/>
  <c r="M35" i="4"/>
  <c r="K36" i="4"/>
  <c r="L36" i="4" s="1"/>
  <c r="M36" i="4"/>
  <c r="K37" i="4"/>
  <c r="L37" i="4" s="1"/>
  <c r="M37" i="4"/>
  <c r="K38" i="4"/>
  <c r="L38" i="4" s="1"/>
  <c r="M38" i="4"/>
  <c r="K39" i="4"/>
  <c r="L39" i="4" s="1"/>
  <c r="M39" i="4"/>
  <c r="K40" i="4"/>
  <c r="L40" i="4" s="1"/>
  <c r="M40" i="4"/>
  <c r="K41" i="4"/>
  <c r="L41" i="4"/>
  <c r="M41" i="4"/>
  <c r="K42" i="4"/>
  <c r="L42" i="4" s="1"/>
  <c r="M42" i="4"/>
  <c r="K43" i="4"/>
  <c r="L43" i="4" s="1"/>
  <c r="M43" i="4"/>
  <c r="K44" i="4"/>
  <c r="L44" i="4" s="1"/>
  <c r="M44" i="4"/>
  <c r="K45" i="4"/>
  <c r="L45" i="4" s="1"/>
  <c r="M45" i="4"/>
  <c r="K46" i="4"/>
  <c r="L46" i="4" s="1"/>
  <c r="M46" i="4"/>
  <c r="K47" i="4"/>
  <c r="L47" i="4" s="1"/>
  <c r="M47" i="4"/>
  <c r="K48" i="4"/>
  <c r="L48" i="4" s="1"/>
  <c r="M48" i="4"/>
  <c r="K49" i="4"/>
  <c r="L49" i="4" s="1"/>
  <c r="M49" i="4"/>
  <c r="K50" i="4"/>
  <c r="L50" i="4"/>
  <c r="M50" i="4"/>
  <c r="K51" i="4"/>
  <c r="L51" i="4" s="1"/>
  <c r="M51" i="4"/>
  <c r="K52" i="4"/>
  <c r="L52" i="4" s="1"/>
  <c r="M52" i="4"/>
  <c r="K53" i="4"/>
  <c r="L53" i="4" s="1"/>
  <c r="M53" i="4"/>
  <c r="K54" i="4"/>
  <c r="L54" i="4" s="1"/>
  <c r="M54" i="4"/>
  <c r="K55" i="4"/>
  <c r="L55" i="4" s="1"/>
  <c r="M55" i="4"/>
  <c r="K56" i="4"/>
  <c r="L56" i="4" s="1"/>
  <c r="M56" i="4"/>
  <c r="K57" i="4"/>
  <c r="L57" i="4" s="1"/>
  <c r="M57" i="4"/>
  <c r="K58" i="4"/>
  <c r="L58" i="4"/>
  <c r="M58" i="4"/>
  <c r="K59" i="4"/>
  <c r="L59" i="4" s="1"/>
  <c r="M59" i="4"/>
  <c r="K60" i="4"/>
  <c r="L60" i="4" s="1"/>
  <c r="M60" i="4"/>
  <c r="K61" i="4"/>
  <c r="L61" i="4" s="1"/>
  <c r="M61" i="4"/>
  <c r="K62" i="4"/>
  <c r="L62" i="4" s="1"/>
  <c r="M62" i="4"/>
  <c r="K63" i="4"/>
  <c r="L63" i="4" s="1"/>
  <c r="M63" i="4"/>
  <c r="K64" i="4"/>
  <c r="L64" i="4" s="1"/>
  <c r="M64" i="4"/>
  <c r="K65" i="4"/>
  <c r="L65" i="4"/>
  <c r="M65" i="4"/>
  <c r="K66" i="4"/>
  <c r="L66" i="4"/>
  <c r="M66" i="4"/>
  <c r="K67" i="4"/>
  <c r="L67" i="4" s="1"/>
  <c r="M67" i="4"/>
  <c r="K68" i="4"/>
  <c r="L68" i="4" s="1"/>
  <c r="M68" i="4"/>
  <c r="K69" i="4"/>
  <c r="L69" i="4" s="1"/>
  <c r="M69" i="4"/>
  <c r="K70" i="4"/>
  <c r="L70" i="4"/>
  <c r="M70" i="4"/>
  <c r="K71" i="4"/>
  <c r="L71" i="4" s="1"/>
  <c r="M71" i="4"/>
  <c r="K72" i="4"/>
  <c r="L72" i="4" s="1"/>
  <c r="M72" i="4"/>
  <c r="K73" i="4"/>
  <c r="L73" i="4"/>
  <c r="M73" i="4"/>
  <c r="K74" i="4"/>
  <c r="L74" i="4" s="1"/>
  <c r="M74" i="4"/>
  <c r="K75" i="4"/>
  <c r="L75" i="4" s="1"/>
  <c r="M75" i="4"/>
  <c r="K76" i="4"/>
  <c r="L76" i="4" s="1"/>
  <c r="M76" i="4"/>
  <c r="K77" i="4"/>
  <c r="L77" i="4" s="1"/>
  <c r="M77" i="4"/>
  <c r="K78" i="4"/>
  <c r="L78" i="4" s="1"/>
  <c r="M78" i="4"/>
  <c r="K79" i="4"/>
  <c r="L79" i="4" s="1"/>
  <c r="M79" i="4"/>
  <c r="K80" i="4"/>
  <c r="L80" i="4" s="1"/>
  <c r="M80" i="4"/>
  <c r="K81" i="4"/>
  <c r="L81" i="4" s="1"/>
  <c r="M81" i="4"/>
  <c r="K82" i="4"/>
  <c r="L82" i="4"/>
  <c r="M82" i="4"/>
  <c r="K83" i="4"/>
  <c r="L83" i="4" s="1"/>
  <c r="M83" i="4"/>
  <c r="K84" i="4"/>
  <c r="L84" i="4" s="1"/>
  <c r="M84" i="4"/>
  <c r="K85" i="4"/>
  <c r="L85" i="4" s="1"/>
  <c r="M85" i="4"/>
  <c r="K86" i="4"/>
  <c r="L86" i="4" s="1"/>
  <c r="M86" i="4"/>
  <c r="K87" i="4"/>
  <c r="L87" i="4" s="1"/>
  <c r="M87" i="4"/>
  <c r="K88" i="4"/>
  <c r="L88" i="4" s="1"/>
  <c r="M88" i="4"/>
  <c r="K89" i="4"/>
  <c r="L89" i="4" s="1"/>
  <c r="M89" i="4"/>
  <c r="K90" i="4"/>
  <c r="L90" i="4" s="1"/>
  <c r="M90" i="4"/>
  <c r="K91" i="4"/>
  <c r="L91" i="4" s="1"/>
  <c r="M91" i="4"/>
  <c r="K92" i="4"/>
  <c r="L92" i="4" s="1"/>
  <c r="M92" i="4"/>
  <c r="K93" i="4"/>
  <c r="L93" i="4" s="1"/>
  <c r="M93" i="4"/>
  <c r="K94" i="4"/>
  <c r="L94" i="4"/>
  <c r="M94" i="4"/>
  <c r="K95" i="4"/>
  <c r="L95" i="4" s="1"/>
  <c r="M95" i="4"/>
  <c r="K96" i="4"/>
  <c r="L96" i="4" s="1"/>
  <c r="M96" i="4"/>
  <c r="K97" i="4"/>
  <c r="L97" i="4" s="1"/>
  <c r="M97" i="4"/>
  <c r="K98" i="4"/>
  <c r="L98" i="4" s="1"/>
  <c r="M98" i="4"/>
  <c r="K99" i="4"/>
  <c r="L99" i="4" s="1"/>
  <c r="M99" i="4"/>
  <c r="K100" i="4"/>
  <c r="L100" i="4" s="1"/>
  <c r="M100" i="4"/>
  <c r="K101" i="4"/>
  <c r="L101" i="4" s="1"/>
  <c r="M101" i="4"/>
  <c r="K102" i="4"/>
  <c r="L102" i="4" s="1"/>
  <c r="M102" i="4"/>
  <c r="K103" i="4"/>
  <c r="L103" i="4" s="1"/>
  <c r="M103" i="4"/>
  <c r="K104" i="4"/>
  <c r="L104" i="4" s="1"/>
  <c r="M104" i="4"/>
  <c r="K105" i="4"/>
  <c r="L105" i="4"/>
  <c r="M105" i="4"/>
  <c r="K106" i="4"/>
  <c r="L106" i="4" s="1"/>
  <c r="M106" i="4"/>
  <c r="K107" i="4"/>
  <c r="L107" i="4" s="1"/>
  <c r="M107" i="4"/>
  <c r="K108" i="4"/>
  <c r="L108" i="4" s="1"/>
  <c r="M108" i="4"/>
  <c r="K109" i="4"/>
  <c r="L109" i="4" s="1"/>
  <c r="M109" i="4"/>
  <c r="K110" i="4"/>
  <c r="L110" i="4"/>
  <c r="M110" i="4"/>
  <c r="K111" i="4"/>
  <c r="L111" i="4" s="1"/>
  <c r="M111" i="4"/>
  <c r="K112" i="4"/>
  <c r="L112" i="4" s="1"/>
  <c r="M112" i="4"/>
  <c r="K113" i="4"/>
  <c r="L113" i="4" s="1"/>
  <c r="M113" i="4"/>
  <c r="K114" i="4"/>
  <c r="L114" i="4"/>
  <c r="M114" i="4"/>
  <c r="K115" i="4"/>
  <c r="L115" i="4" s="1"/>
  <c r="M115" i="4"/>
  <c r="K116" i="4"/>
  <c r="L116" i="4" s="1"/>
  <c r="M116" i="4"/>
  <c r="K117" i="4"/>
  <c r="L117" i="4" s="1"/>
  <c r="M117" i="4"/>
  <c r="K118" i="4"/>
  <c r="L118" i="4" s="1"/>
  <c r="M118" i="4"/>
  <c r="K119" i="4"/>
  <c r="L119" i="4" s="1"/>
  <c r="M119" i="4"/>
  <c r="K120" i="4"/>
  <c r="L120" i="4" s="1"/>
  <c r="M120" i="4"/>
  <c r="K121" i="4"/>
  <c r="L121" i="4"/>
  <c r="M121" i="4"/>
  <c r="K122" i="4"/>
  <c r="L122" i="4" s="1"/>
  <c r="M122" i="4"/>
  <c r="K123" i="4"/>
  <c r="L123" i="4" s="1"/>
  <c r="M123" i="4"/>
  <c r="K124" i="4"/>
  <c r="L124" i="4" s="1"/>
  <c r="M124" i="4"/>
  <c r="K125" i="4"/>
  <c r="L125" i="4" s="1"/>
  <c r="M125" i="4"/>
  <c r="K126" i="4"/>
  <c r="L126" i="4"/>
  <c r="M126" i="4"/>
  <c r="K127" i="4"/>
  <c r="L127" i="4" s="1"/>
  <c r="M127" i="4"/>
  <c r="K128" i="4"/>
  <c r="L128" i="4" s="1"/>
  <c r="M128" i="4"/>
  <c r="K129" i="4"/>
  <c r="L129" i="4" s="1"/>
  <c r="M129" i="4"/>
  <c r="K130" i="4"/>
  <c r="L130" i="4" s="1"/>
  <c r="M130" i="4"/>
  <c r="K131" i="4"/>
  <c r="L131" i="4" s="1"/>
  <c r="M131" i="4"/>
  <c r="K132" i="4"/>
  <c r="L132" i="4" s="1"/>
  <c r="M132" i="4"/>
  <c r="K133" i="4"/>
  <c r="L133" i="4" s="1"/>
  <c r="M133" i="4"/>
  <c r="K134" i="4"/>
  <c r="L134" i="4" s="1"/>
  <c r="M134" i="4"/>
  <c r="K135" i="4"/>
  <c r="L135" i="4" s="1"/>
  <c r="M135" i="4"/>
  <c r="K136" i="4"/>
  <c r="L136" i="4" s="1"/>
  <c r="M136" i="4"/>
  <c r="K137" i="4"/>
  <c r="L137" i="4" s="1"/>
  <c r="M137" i="4"/>
  <c r="M2" i="4"/>
  <c r="K2" i="4"/>
  <c r="L2" i="4" s="1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G81" i="4"/>
  <c r="H81" i="4"/>
  <c r="G82" i="4"/>
  <c r="H82" i="4"/>
  <c r="G83" i="4"/>
  <c r="H83" i="4"/>
  <c r="G84" i="4"/>
  <c r="H84" i="4"/>
  <c r="G85" i="4"/>
  <c r="H85" i="4"/>
  <c r="G86" i="4"/>
  <c r="H86" i="4"/>
  <c r="G87" i="4"/>
  <c r="H87" i="4"/>
  <c r="G88" i="4"/>
  <c r="H88" i="4"/>
  <c r="G89" i="4"/>
  <c r="H89" i="4"/>
  <c r="G90" i="4"/>
  <c r="H90" i="4"/>
  <c r="G91" i="4"/>
  <c r="H91" i="4"/>
  <c r="G92" i="4"/>
  <c r="H92" i="4"/>
  <c r="G93" i="4"/>
  <c r="H93" i="4"/>
  <c r="G94" i="4"/>
  <c r="H94" i="4"/>
  <c r="G95" i="4"/>
  <c r="H95" i="4"/>
  <c r="G96" i="4"/>
  <c r="H96" i="4"/>
  <c r="G97" i="4"/>
  <c r="H97" i="4"/>
  <c r="G98" i="4"/>
  <c r="H98" i="4"/>
  <c r="G99" i="4"/>
  <c r="H99" i="4"/>
  <c r="G100" i="4"/>
  <c r="H100" i="4"/>
  <c r="G101" i="4"/>
  <c r="H101" i="4"/>
  <c r="G102" i="4"/>
  <c r="H102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09" i="4"/>
  <c r="H109" i="4"/>
  <c r="G110" i="4"/>
  <c r="H110" i="4"/>
  <c r="G111" i="4"/>
  <c r="H111" i="4"/>
  <c r="G112" i="4"/>
  <c r="H112" i="4"/>
  <c r="G113" i="4"/>
  <c r="H113" i="4"/>
  <c r="G114" i="4"/>
  <c r="H114" i="4"/>
  <c r="G115" i="4"/>
  <c r="H115" i="4"/>
  <c r="G116" i="4"/>
  <c r="H116" i="4"/>
  <c r="G117" i="4"/>
  <c r="H117" i="4"/>
  <c r="G118" i="4"/>
  <c r="H118" i="4"/>
  <c r="G119" i="4"/>
  <c r="H119" i="4"/>
  <c r="G120" i="4"/>
  <c r="H120" i="4"/>
  <c r="G121" i="4"/>
  <c r="H121" i="4"/>
  <c r="G122" i="4"/>
  <c r="H122" i="4"/>
  <c r="G123" i="4"/>
  <c r="H123" i="4"/>
  <c r="G124" i="4"/>
  <c r="H124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1" i="4"/>
  <c r="H131" i="4"/>
  <c r="G132" i="4"/>
  <c r="H132" i="4"/>
  <c r="G133" i="4"/>
  <c r="H133" i="4"/>
  <c r="G134" i="4"/>
  <c r="H134" i="4"/>
  <c r="G135" i="4"/>
  <c r="H135" i="4"/>
  <c r="G136" i="4"/>
  <c r="H136" i="4"/>
  <c r="G137" i="4"/>
  <c r="H137" i="4"/>
  <c r="H2" i="4"/>
  <c r="G2" i="4"/>
  <c r="F137" i="4"/>
  <c r="F136" i="4"/>
  <c r="F135" i="4"/>
  <c r="F134" i="4"/>
  <c r="F133" i="4"/>
  <c r="F132" i="4"/>
  <c r="F131" i="4"/>
  <c r="F129" i="4"/>
  <c r="F126" i="4"/>
  <c r="F122" i="4"/>
  <c r="F121" i="4"/>
  <c r="F120" i="4"/>
  <c r="F119" i="4"/>
  <c r="F118" i="4"/>
  <c r="F117" i="4"/>
  <c r="F116" i="4"/>
  <c r="F115" i="4"/>
  <c r="F113" i="4"/>
  <c r="F112" i="4"/>
  <c r="F111" i="4"/>
  <c r="F107" i="4"/>
  <c r="F106" i="4"/>
  <c r="F102" i="4"/>
  <c r="F101" i="4"/>
  <c r="F96" i="4"/>
  <c r="F95" i="4"/>
  <c r="F94" i="4"/>
  <c r="F93" i="4"/>
  <c r="F90" i="4"/>
  <c r="F89" i="4"/>
  <c r="F88" i="4"/>
  <c r="F84" i="4"/>
  <c r="F83" i="4"/>
  <c r="F82" i="4"/>
  <c r="F81" i="4"/>
  <c r="F80" i="4"/>
  <c r="F79" i="4"/>
  <c r="F74" i="4"/>
  <c r="F73" i="4"/>
  <c r="F72" i="4"/>
  <c r="B71" i="4"/>
  <c r="B69" i="4"/>
  <c r="F62" i="4"/>
  <c r="F61" i="4"/>
  <c r="F60" i="4"/>
  <c r="F58" i="4"/>
  <c r="F57" i="4"/>
  <c r="B52" i="4"/>
  <c r="F50" i="4"/>
  <c r="F49" i="4"/>
  <c r="F48" i="4"/>
  <c r="F47" i="4"/>
  <c r="F46" i="4"/>
  <c r="F42" i="4"/>
  <c r="F41" i="4"/>
  <c r="F40" i="4"/>
  <c r="F39" i="4"/>
  <c r="F37" i="4"/>
  <c r="F36" i="4"/>
  <c r="F35" i="4"/>
  <c r="F34" i="4"/>
  <c r="F30" i="4"/>
  <c r="F28" i="4"/>
  <c r="F8" i="4"/>
  <c r="F5" i="4"/>
  <c r="F4" i="4"/>
  <c r="F3" i="4"/>
  <c r="F2" i="4"/>
  <c r="D125" i="2"/>
  <c r="D126" i="2"/>
  <c r="D127" i="2"/>
  <c r="E127" i="2" s="1"/>
  <c r="U6" i="3" s="1"/>
  <c r="D124" i="2"/>
  <c r="E124" i="2" s="1"/>
  <c r="U3" i="3" s="1"/>
  <c r="J3" i="3"/>
  <c r="J4" i="3" s="1"/>
  <c r="J5" i="3" s="1"/>
  <c r="C127" i="2"/>
  <c r="D6" i="3" s="1"/>
  <c r="C126" i="2"/>
  <c r="D5" i="3" s="1"/>
  <c r="C125" i="2"/>
  <c r="D4" i="3" s="1"/>
  <c r="C124" i="2"/>
  <c r="D3" i="3" s="1"/>
  <c r="C123" i="2"/>
  <c r="M114" i="2"/>
  <c r="M113" i="2"/>
  <c r="M108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2" i="2"/>
  <c r="M11" i="2"/>
  <c r="M10" i="2"/>
  <c r="M9" i="2"/>
  <c r="C5" i="3" s="1"/>
  <c r="M8" i="2"/>
  <c r="M7" i="2"/>
  <c r="M6" i="2"/>
  <c r="M5" i="2"/>
  <c r="M4" i="2"/>
  <c r="C6" i="3" s="1"/>
  <c r="M3" i="2"/>
  <c r="M2" i="2"/>
  <c r="L30" i="2"/>
  <c r="K122" i="2"/>
  <c r="L122" i="2" s="1"/>
  <c r="K121" i="2"/>
  <c r="L121" i="2" s="1"/>
  <c r="K120" i="2"/>
  <c r="L120" i="2" s="1"/>
  <c r="K119" i="2"/>
  <c r="L119" i="2" s="1"/>
  <c r="K118" i="2"/>
  <c r="L118" i="2" s="1"/>
  <c r="K117" i="2"/>
  <c r="L117" i="2" s="1"/>
  <c r="K116" i="2"/>
  <c r="L116" i="2" s="1"/>
  <c r="K115" i="2"/>
  <c r="L115" i="2" s="1"/>
  <c r="K114" i="2"/>
  <c r="L114" i="2" s="1"/>
  <c r="K113" i="2"/>
  <c r="L113" i="2" s="1"/>
  <c r="K112" i="2"/>
  <c r="L112" i="2" s="1"/>
  <c r="K111" i="2"/>
  <c r="L111" i="2" s="1"/>
  <c r="K110" i="2"/>
  <c r="L110" i="2" s="1"/>
  <c r="K109" i="2"/>
  <c r="L109" i="2" s="1"/>
  <c r="K108" i="2"/>
  <c r="L108" i="2" s="1"/>
  <c r="K107" i="2"/>
  <c r="L107" i="2" s="1"/>
  <c r="K106" i="2"/>
  <c r="L106" i="2" s="1"/>
  <c r="K105" i="2"/>
  <c r="L105" i="2" s="1"/>
  <c r="K104" i="2"/>
  <c r="L104" i="2" s="1"/>
  <c r="K103" i="2"/>
  <c r="L103" i="2" s="1"/>
  <c r="K102" i="2"/>
  <c r="L102" i="2" s="1"/>
  <c r="K101" i="2"/>
  <c r="L101" i="2" s="1"/>
  <c r="K100" i="2"/>
  <c r="L100" i="2" s="1"/>
  <c r="K99" i="2"/>
  <c r="L99" i="2" s="1"/>
  <c r="K98" i="2"/>
  <c r="L98" i="2" s="1"/>
  <c r="K97" i="2"/>
  <c r="L97" i="2" s="1"/>
  <c r="K96" i="2"/>
  <c r="L96" i="2" s="1"/>
  <c r="K95" i="2"/>
  <c r="L95" i="2" s="1"/>
  <c r="K94" i="2"/>
  <c r="L94" i="2" s="1"/>
  <c r="K93" i="2"/>
  <c r="L93" i="2" s="1"/>
  <c r="K92" i="2"/>
  <c r="L92" i="2" s="1"/>
  <c r="K91" i="2"/>
  <c r="L91" i="2" s="1"/>
  <c r="K90" i="2"/>
  <c r="L90" i="2" s="1"/>
  <c r="K89" i="2"/>
  <c r="L89" i="2" s="1"/>
  <c r="K88" i="2"/>
  <c r="L88" i="2" s="1"/>
  <c r="K87" i="2"/>
  <c r="L87" i="2" s="1"/>
  <c r="K86" i="2"/>
  <c r="L86" i="2" s="1"/>
  <c r="K85" i="2"/>
  <c r="L85" i="2" s="1"/>
  <c r="K84" i="2"/>
  <c r="L84" i="2" s="1"/>
  <c r="K83" i="2"/>
  <c r="L83" i="2" s="1"/>
  <c r="K82" i="2"/>
  <c r="L82" i="2" s="1"/>
  <c r="K81" i="2"/>
  <c r="L81" i="2" s="1"/>
  <c r="K80" i="2"/>
  <c r="L80" i="2" s="1"/>
  <c r="K79" i="2"/>
  <c r="L79" i="2" s="1"/>
  <c r="K78" i="2"/>
  <c r="L78" i="2" s="1"/>
  <c r="K77" i="2"/>
  <c r="L77" i="2" s="1"/>
  <c r="K76" i="2"/>
  <c r="L76" i="2" s="1"/>
  <c r="K75" i="2"/>
  <c r="L75" i="2" s="1"/>
  <c r="K74" i="2"/>
  <c r="L74" i="2" s="1"/>
  <c r="K73" i="2"/>
  <c r="L73" i="2" s="1"/>
  <c r="K72" i="2"/>
  <c r="L72" i="2" s="1"/>
  <c r="K71" i="2"/>
  <c r="L71" i="2" s="1"/>
  <c r="K70" i="2"/>
  <c r="L70" i="2" s="1"/>
  <c r="K69" i="2"/>
  <c r="L69" i="2" s="1"/>
  <c r="K68" i="2"/>
  <c r="L68" i="2" s="1"/>
  <c r="K67" i="2"/>
  <c r="L67" i="2" s="1"/>
  <c r="K66" i="2"/>
  <c r="L66" i="2" s="1"/>
  <c r="K65" i="2"/>
  <c r="L65" i="2" s="1"/>
  <c r="K64" i="2"/>
  <c r="L64" i="2" s="1"/>
  <c r="K63" i="2"/>
  <c r="L63" i="2" s="1"/>
  <c r="K62" i="2"/>
  <c r="L62" i="2" s="1"/>
  <c r="K61" i="2"/>
  <c r="L61" i="2" s="1"/>
  <c r="K60" i="2"/>
  <c r="L60" i="2" s="1"/>
  <c r="K59" i="2"/>
  <c r="L59" i="2" s="1"/>
  <c r="K58" i="2"/>
  <c r="L58" i="2" s="1"/>
  <c r="K57" i="2"/>
  <c r="L57" i="2" s="1"/>
  <c r="K56" i="2"/>
  <c r="L56" i="2" s="1"/>
  <c r="K55" i="2"/>
  <c r="L55" i="2" s="1"/>
  <c r="K54" i="2"/>
  <c r="L54" i="2" s="1"/>
  <c r="K53" i="2"/>
  <c r="L53" i="2" s="1"/>
  <c r="K52" i="2"/>
  <c r="L52" i="2" s="1"/>
  <c r="K51" i="2"/>
  <c r="L51" i="2" s="1"/>
  <c r="K50" i="2"/>
  <c r="L50" i="2" s="1"/>
  <c r="K49" i="2"/>
  <c r="L49" i="2" s="1"/>
  <c r="K48" i="2"/>
  <c r="L48" i="2" s="1"/>
  <c r="B5" i="3" s="1"/>
  <c r="K47" i="2"/>
  <c r="L47" i="2" s="1"/>
  <c r="K46" i="2"/>
  <c r="L46" i="2" s="1"/>
  <c r="K45" i="2"/>
  <c r="L45" i="2" s="1"/>
  <c r="K44" i="2"/>
  <c r="L44" i="2" s="1"/>
  <c r="K43" i="2"/>
  <c r="L43" i="2" s="1"/>
  <c r="K42" i="2"/>
  <c r="L42" i="2" s="1"/>
  <c r="K41" i="2"/>
  <c r="L41" i="2" s="1"/>
  <c r="K40" i="2"/>
  <c r="L40" i="2" s="1"/>
  <c r="K39" i="2"/>
  <c r="L39" i="2" s="1"/>
  <c r="K38" i="2"/>
  <c r="L38" i="2" s="1"/>
  <c r="K37" i="2"/>
  <c r="L37" i="2" s="1"/>
  <c r="K36" i="2"/>
  <c r="L36" i="2" s="1"/>
  <c r="K35" i="2"/>
  <c r="L35" i="2" s="1"/>
  <c r="K34" i="2"/>
  <c r="L34" i="2" s="1"/>
  <c r="K33" i="2"/>
  <c r="L33" i="2" s="1"/>
  <c r="K32" i="2"/>
  <c r="L32" i="2" s="1"/>
  <c r="K31" i="2"/>
  <c r="L31" i="2" s="1"/>
  <c r="K30" i="2"/>
  <c r="K29" i="2"/>
  <c r="L29" i="2" s="1"/>
  <c r="K28" i="2"/>
  <c r="L28" i="2" s="1"/>
  <c r="K27" i="2"/>
  <c r="L27" i="2" s="1"/>
  <c r="K26" i="2"/>
  <c r="L26" i="2" s="1"/>
  <c r="K25" i="2"/>
  <c r="L25" i="2" s="1"/>
  <c r="K24" i="2"/>
  <c r="L24" i="2" s="1"/>
  <c r="K23" i="2"/>
  <c r="L23" i="2" s="1"/>
  <c r="K22" i="2"/>
  <c r="L22" i="2" s="1"/>
  <c r="K21" i="2"/>
  <c r="L21" i="2" s="1"/>
  <c r="K20" i="2"/>
  <c r="L20" i="2" s="1"/>
  <c r="K19" i="2"/>
  <c r="L19" i="2" s="1"/>
  <c r="K18" i="2"/>
  <c r="L18" i="2" s="1"/>
  <c r="K17" i="2"/>
  <c r="L17" i="2" s="1"/>
  <c r="K16" i="2"/>
  <c r="L16" i="2" s="1"/>
  <c r="K15" i="2"/>
  <c r="L15" i="2" s="1"/>
  <c r="K14" i="2"/>
  <c r="L14" i="2" s="1"/>
  <c r="K13" i="2"/>
  <c r="L13" i="2" s="1"/>
  <c r="K12" i="2"/>
  <c r="L12" i="2" s="1"/>
  <c r="K11" i="2"/>
  <c r="L11" i="2" s="1"/>
  <c r="K10" i="2"/>
  <c r="L10" i="2" s="1"/>
  <c r="K9" i="2"/>
  <c r="L9" i="2" s="1"/>
  <c r="K8" i="2"/>
  <c r="L8" i="2" s="1"/>
  <c r="K7" i="2"/>
  <c r="L7" i="2" s="1"/>
  <c r="K6" i="2"/>
  <c r="L6" i="2" s="1"/>
  <c r="K5" i="2"/>
  <c r="L5" i="2" s="1"/>
  <c r="K4" i="2"/>
  <c r="L4" i="2" s="1"/>
  <c r="B6" i="3" s="1"/>
  <c r="K3" i="2"/>
  <c r="L3" i="2" s="1"/>
  <c r="K2" i="2"/>
  <c r="L2" i="2" s="1"/>
  <c r="B4" i="3" s="1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F122" i="2"/>
  <c r="M122" i="2" s="1"/>
  <c r="F121" i="2"/>
  <c r="M121" i="2" s="1"/>
  <c r="F120" i="2"/>
  <c r="M120" i="2" s="1"/>
  <c r="F119" i="2"/>
  <c r="M119" i="2" s="1"/>
  <c r="F118" i="2"/>
  <c r="M118" i="2" s="1"/>
  <c r="F117" i="2"/>
  <c r="M117" i="2" s="1"/>
  <c r="F116" i="2"/>
  <c r="M116" i="2" s="1"/>
  <c r="F115" i="2"/>
  <c r="M115" i="2" s="1"/>
  <c r="F112" i="2"/>
  <c r="M112" i="2" s="1"/>
  <c r="F111" i="2"/>
  <c r="M111" i="2" s="1"/>
  <c r="F110" i="2"/>
  <c r="M110" i="2" s="1"/>
  <c r="F109" i="2"/>
  <c r="M109" i="2" s="1"/>
  <c r="C3" i="3" s="1"/>
  <c r="F107" i="2"/>
  <c r="M107" i="2" s="1"/>
  <c r="B108" i="2"/>
  <c r="F13" i="2"/>
  <c r="M13" i="2" s="1"/>
  <c r="C4" i="3" l="1"/>
  <c r="B3" i="3"/>
  <c r="G6" i="3"/>
  <c r="H6" i="3" s="1"/>
  <c r="F3" i="3"/>
  <c r="G15" i="3" s="1"/>
  <c r="E126" i="2"/>
  <c r="U5" i="3" s="1"/>
  <c r="E125" i="2"/>
  <c r="U4" i="3" s="1"/>
  <c r="G3" i="3"/>
  <c r="H3" i="3" s="1"/>
  <c r="G16" i="3" s="1"/>
  <c r="F4" i="3"/>
  <c r="G4" i="3"/>
  <c r="H4" i="3" s="1"/>
  <c r="I16" i="3" s="1"/>
  <c r="F6" i="3"/>
  <c r="F5" i="3"/>
  <c r="G5" i="3"/>
  <c r="H5" i="3" s="1"/>
  <c r="K16" i="3" s="1"/>
  <c r="J6" i="3"/>
  <c r="K4" i="3" l="1"/>
  <c r="I15" i="3"/>
  <c r="K5" i="3"/>
  <c r="L5" i="3" s="1"/>
  <c r="K15" i="3"/>
  <c r="K3" i="3"/>
  <c r="V3" i="3" s="1"/>
  <c r="W3" i="3" s="1"/>
  <c r="X3" i="3" s="1"/>
  <c r="V5" i="3"/>
  <c r="W5" i="3" s="1"/>
  <c r="T4" i="3"/>
  <c r="V4" i="3"/>
  <c r="W4" i="3" s="1"/>
  <c r="X4" i="3" s="1"/>
  <c r="Q3" i="3"/>
  <c r="Q4" i="3" s="1"/>
  <c r="T3" i="3"/>
  <c r="M4" i="3"/>
  <c r="L4" i="3"/>
  <c r="N4" i="3"/>
  <c r="N5" i="3"/>
  <c r="M5" i="3"/>
  <c r="K6" i="3"/>
  <c r="L3" i="3"/>
  <c r="P3" i="3" s="1"/>
  <c r="M3" i="3"/>
  <c r="O3" i="3" s="1"/>
  <c r="N3" i="3"/>
  <c r="J7" i="3"/>
  <c r="T5" i="3" l="1"/>
  <c r="R3" i="3"/>
  <c r="X5" i="3"/>
  <c r="T6" i="3"/>
  <c r="V6" i="3"/>
  <c r="W6" i="3" s="1"/>
  <c r="P4" i="3"/>
  <c r="P5" i="3"/>
  <c r="O4" i="3"/>
  <c r="O5" i="3" s="1"/>
  <c r="R4" i="3"/>
  <c r="Q5" i="3"/>
  <c r="N6" i="3"/>
  <c r="M6" i="3"/>
  <c r="L6" i="3"/>
  <c r="K7" i="3"/>
  <c r="N7" i="3" s="1"/>
  <c r="X6" i="3" l="1"/>
  <c r="Q6" i="3"/>
  <c r="R6" i="3" s="1"/>
  <c r="R5" i="3"/>
  <c r="L7" i="3"/>
  <c r="P6" i="3"/>
  <c r="M7" i="3"/>
  <c r="O6" i="3"/>
</calcChain>
</file>

<file path=xl/sharedStrings.xml><?xml version="1.0" encoding="utf-8"?>
<sst xmlns="http://schemas.openxmlformats.org/spreadsheetml/2006/main" count="612" uniqueCount="385">
  <si>
    <t>Adventure</t>
  </si>
  <si>
    <t>Adventure Title</t>
  </si>
  <si>
    <t>Runtime</t>
  </si>
  <si>
    <t>Min/Max XP</t>
  </si>
  <si>
    <t>Treasure (GP)</t>
  </si>
  <si>
    <t>DDAL00-01</t>
  </si>
  <si>
    <t>6750/9000</t>
  </si>
  <si>
    <t>14250/18000</t>
  </si>
  <si>
    <t>28500/40000</t>
  </si>
  <si>
    <t>DDAL00-02A</t>
  </si>
  <si>
    <t>450/600</t>
  </si>
  <si>
    <t>DDAL00-02B</t>
  </si>
  <si>
    <t>DDAL00-02C</t>
  </si>
  <si>
    <t>4500/6000</t>
  </si>
  <si>
    <t>DDAL00-02D</t>
  </si>
  <si>
    <t>1875/2500</t>
  </si>
  <si>
    <t>DDAL00-02E</t>
  </si>
  <si>
    <t>5050/6750</t>
  </si>
  <si>
    <t>DDAL00-02F</t>
  </si>
  <si>
    <t xml:space="preserve">14000/18500 </t>
  </si>
  <si>
    <t>DDAL00-03</t>
  </si>
  <si>
    <t>11500/13500</t>
  </si>
  <si>
    <t>20000/27000</t>
  </si>
  <si>
    <t>DDAL00-04</t>
  </si>
  <si>
    <t>PAXW2016</t>
  </si>
  <si>
    <t>Cloud Giant's Bargain</t>
  </si>
  <si>
    <t>4500/7500</t>
  </si>
  <si>
    <t>DDEX1-1</t>
  </si>
  <si>
    <t>DDEX1-2</t>
  </si>
  <si>
    <t>DDEX1-3</t>
  </si>
  <si>
    <t>DDEX1-4</t>
  </si>
  <si>
    <t>DDEX1-5</t>
  </si>
  <si>
    <t>DDEX1-6</t>
  </si>
  <si>
    <t>DDEX1-7</t>
  </si>
  <si>
    <t>DDEX1-8</t>
  </si>
  <si>
    <t>DDEX1-9</t>
  </si>
  <si>
    <t>DDEX1-10</t>
  </si>
  <si>
    <t>DDEX1-11</t>
  </si>
  <si>
    <t>DDEX1-12</t>
  </si>
  <si>
    <t>DDEX1-13</t>
  </si>
  <si>
    <t>DDEX1-14</t>
  </si>
  <si>
    <t>75/100</t>
  </si>
  <si>
    <t>600/750</t>
  </si>
  <si>
    <t>3000/4000</t>
  </si>
  <si>
    <t>6000/10000</t>
  </si>
  <si>
    <t>3000/5000</t>
  </si>
  <si>
    <t>DDEX2-1</t>
  </si>
  <si>
    <t>DDEX2-2</t>
  </si>
  <si>
    <t>DDEX2-3</t>
  </si>
  <si>
    <t>DDEX2-4</t>
  </si>
  <si>
    <t>DDEX2-5</t>
  </si>
  <si>
    <t>DDEX2-6</t>
  </si>
  <si>
    <t>DDEX2-7</t>
  </si>
  <si>
    <t>DDEX2-8</t>
  </si>
  <si>
    <t>DDEX2-9</t>
  </si>
  <si>
    <t>DDEX2-10</t>
  </si>
  <si>
    <t>DDEX2-11</t>
  </si>
  <si>
    <t>DDEX2-12</t>
  </si>
  <si>
    <t>DDEX2-13</t>
  </si>
  <si>
    <t>DDEX2-14</t>
  </si>
  <si>
    <t>DDEX2-15</t>
  </si>
  <si>
    <t>DDEX2-16</t>
  </si>
  <si>
    <t>375/500</t>
  </si>
  <si>
    <t>900/1200</t>
  </si>
  <si>
    <t>6000/8000</t>
  </si>
  <si>
    <t>225/300</t>
  </si>
  <si>
    <t>DDEX3-1</t>
  </si>
  <si>
    <t>DDEX3-2</t>
  </si>
  <si>
    <t>DDEX3-3</t>
  </si>
  <si>
    <t>DDEX3-4</t>
  </si>
  <si>
    <t>DDEX3-5</t>
  </si>
  <si>
    <t>DDEX3-6</t>
  </si>
  <si>
    <t>DDEX3-7</t>
  </si>
  <si>
    <t>DDEX3-8</t>
  </si>
  <si>
    <t>DDEX3-9</t>
  </si>
  <si>
    <t>DDEX3-10</t>
  </si>
  <si>
    <t>DDEX3-11</t>
  </si>
  <si>
    <t>DDEX3-12</t>
  </si>
  <si>
    <t>DDEX3-13</t>
  </si>
  <si>
    <t>DDEX3-14</t>
  </si>
  <si>
    <t>DDEX3-15</t>
  </si>
  <si>
    <t>DDEX3-16</t>
  </si>
  <si>
    <t>17250/23000</t>
  </si>
  <si>
    <t>2250/3000</t>
  </si>
  <si>
    <t>DDAL4-01</t>
  </si>
  <si>
    <t>DDAL4-02</t>
  </si>
  <si>
    <t>DDAL4-03</t>
  </si>
  <si>
    <t>DDAL4-04</t>
  </si>
  <si>
    <t>DDAL4-05</t>
  </si>
  <si>
    <t>DDAL4-06</t>
  </si>
  <si>
    <t>DDAL4-07</t>
  </si>
  <si>
    <t>DDAL4-08</t>
  </si>
  <si>
    <t>DDAL4-09</t>
  </si>
  <si>
    <t>DDAL4-10</t>
  </si>
  <si>
    <t>DDAL4-11</t>
  </si>
  <si>
    <t>DDAL4-12</t>
  </si>
  <si>
    <t>DDAL4-13</t>
  </si>
  <si>
    <t>DDAL4-14</t>
  </si>
  <si>
    <t>635/850</t>
  </si>
  <si>
    <t>4275/4700</t>
  </si>
  <si>
    <t>2625/3500</t>
  </si>
  <si>
    <t>1312/1750</t>
  </si>
  <si>
    <t>1310/1750</t>
  </si>
  <si>
    <t>DDAL05-01</t>
  </si>
  <si>
    <t>DDAL05-02</t>
  </si>
  <si>
    <t>DDAL05-03</t>
  </si>
  <si>
    <t>DDAL05-04</t>
  </si>
  <si>
    <t>DDAL05-05</t>
  </si>
  <si>
    <t>DDAL05-06</t>
  </si>
  <si>
    <t>DDAL05-07</t>
  </si>
  <si>
    <t>DDAL05-08</t>
  </si>
  <si>
    <t>DDAL05-09</t>
  </si>
  <si>
    <t>DDAL05-10</t>
  </si>
  <si>
    <t>DDAL05-11</t>
  </si>
  <si>
    <t>DDAL05-12</t>
  </si>
  <si>
    <t>DDAL05-13</t>
  </si>
  <si>
    <t>DDAL05-14</t>
  </si>
  <si>
    <t>DDAL05-15</t>
  </si>
  <si>
    <t>DDAL05-16</t>
  </si>
  <si>
    <t>DDAL05-17</t>
  </si>
  <si>
    <t>DDAL05-18</t>
  </si>
  <si>
    <t>DDAL05-19</t>
  </si>
  <si>
    <t>1875/3125</t>
  </si>
  <si>
    <t>450/740</t>
  </si>
  <si>
    <t xml:space="preserve"> 450/600</t>
  </si>
  <si>
    <t>10300/13800</t>
  </si>
  <si>
    <t>10125/13290</t>
  </si>
  <si>
    <t>1275/1700</t>
  </si>
  <si>
    <t>3750/5000</t>
  </si>
  <si>
    <t>640/850</t>
  </si>
  <si>
    <t>11250/15000</t>
  </si>
  <si>
    <t>18750/25000</t>
  </si>
  <si>
    <t>DDAL06-01</t>
  </si>
  <si>
    <t xml:space="preserve">DDAL06-02 </t>
  </si>
  <si>
    <t>DDAL06-03</t>
  </si>
  <si>
    <t>900/1500</t>
  </si>
  <si>
    <t>10125/16875</t>
  </si>
  <si>
    <t>DDAL07-01</t>
  </si>
  <si>
    <t>DDAL07-02</t>
  </si>
  <si>
    <t>DDAL07-03</t>
  </si>
  <si>
    <t>DDAL07-04</t>
  </si>
  <si>
    <t>DDAL07-05</t>
  </si>
  <si>
    <t>DDAL07-06</t>
  </si>
  <si>
    <t>DDAL07-07</t>
  </si>
  <si>
    <t>DDAL07-08</t>
  </si>
  <si>
    <t>DDAL07-09</t>
  </si>
  <si>
    <t>DDAL07-10</t>
  </si>
  <si>
    <t>DDAL07-11</t>
  </si>
  <si>
    <t>DDAL07-12</t>
  </si>
  <si>
    <t>DDAL07-13</t>
  </si>
  <si>
    <t>DDAL07-14</t>
  </si>
  <si>
    <t>DDAL07-15</t>
  </si>
  <si>
    <t>DDAL07-16</t>
  </si>
  <si>
    <t>DDAL07-17</t>
  </si>
  <si>
    <t>DDAL07-18</t>
  </si>
  <si>
    <t>750/1000</t>
  </si>
  <si>
    <t>10125/13500</t>
  </si>
  <si>
    <t>20250/27000</t>
  </si>
  <si>
    <t>AVERAGE XP</t>
  </si>
  <si>
    <t>tier</t>
  </si>
  <si>
    <t>average xp per hour</t>
  </si>
  <si>
    <t>average gold per hour</t>
  </si>
  <si>
    <t xml:space="preserve">average gold per hour per party member </t>
  </si>
  <si>
    <t>xp in tier</t>
  </si>
  <si>
    <t>average hours of play</t>
  </si>
  <si>
    <t>estimated gold</t>
  </si>
  <si>
    <t>downtime</t>
  </si>
  <si>
    <t>TOTAL</t>
  </si>
  <si>
    <t>parse min xp</t>
  </si>
  <si>
    <t>parse max xp</t>
  </si>
  <si>
    <t>min xp</t>
  </si>
  <si>
    <t>max xp</t>
  </si>
  <si>
    <t>average xp per hour of runtime</t>
  </si>
  <si>
    <t>Treasure, gp per hour of runtime</t>
  </si>
  <si>
    <t>Tier</t>
  </si>
  <si>
    <t>total xp</t>
  </si>
  <si>
    <t>total gold</t>
  </si>
  <si>
    <t>numbers of modules</t>
  </si>
  <si>
    <t>average number of 4h modules</t>
  </si>
  <si>
    <t>total downtime</t>
  </si>
  <si>
    <t>total estimated gold</t>
  </si>
  <si>
    <t>total hours</t>
  </si>
  <si>
    <t>average quantity of magic items</t>
  </si>
  <si>
    <t>total average quantity of magic items</t>
  </si>
  <si>
    <t>UC</t>
  </si>
  <si>
    <t>R</t>
  </si>
  <si>
    <t>VR</t>
  </si>
  <si>
    <t>L</t>
  </si>
  <si>
    <t>rarity</t>
  </si>
  <si>
    <t>average duration of modules</t>
  </si>
  <si>
    <t>average number of modules with average duration</t>
  </si>
  <si>
    <t>renown = number of modules</t>
  </si>
  <si>
    <t>total renown</t>
  </si>
  <si>
    <t>faction rank</t>
  </si>
  <si>
    <t>AMER-01</t>
  </si>
  <si>
    <t>ANIME-01-01</t>
  </si>
  <si>
    <t>ANIME-01-02</t>
  </si>
  <si>
    <t>ANIME-01-03</t>
  </si>
  <si>
    <t>BLD-01-01</t>
  </si>
  <si>
    <t>220/850</t>
  </si>
  <si>
    <t>BLD-01-02</t>
  </si>
  <si>
    <t>800/1200</t>
  </si>
  <si>
    <t>BLD-01-03</t>
  </si>
  <si>
    <t>2000/20000</t>
  </si>
  <si>
    <t>BMG-01</t>
  </si>
  <si>
    <t>BMG-02</t>
  </si>
  <si>
    <t>BMG-03</t>
  </si>
  <si>
    <t>BMG-04</t>
  </si>
  <si>
    <t>450/600*</t>
  </si>
  <si>
    <t>BMG-05</t>
  </si>
  <si>
    <t>BMG-06</t>
  </si>
  <si>
    <t>BMG-07</t>
  </si>
  <si>
    <t>BMG-08</t>
  </si>
  <si>
    <t>BMG-09</t>
  </si>
  <si>
    <t>BMG-10</t>
  </si>
  <si>
    <t>BMG-11</t>
  </si>
  <si>
    <t>BMG-12</t>
  </si>
  <si>
    <t>BMG-HILL1S</t>
  </si>
  <si>
    <t>Onslaught</t>
  </si>
  <si>
    <t>BMG-13</t>
  </si>
  <si>
    <t>8625/11500</t>
  </si>
  <si>
    <t>BMG-14</t>
  </si>
  <si>
    <t>8625/11000</t>
  </si>
  <si>
    <t>BMG-15</t>
  </si>
  <si>
    <t>BMG-16</t>
  </si>
  <si>
    <t>BMG-17</t>
  </si>
  <si>
    <t>BMG-18</t>
  </si>
  <si>
    <t>BMG-19</t>
  </si>
  <si>
    <t>BMG-20</t>
  </si>
  <si>
    <t>BMG-21</t>
  </si>
  <si>
    <t>BMG-22</t>
  </si>
  <si>
    <t>BMG-23</t>
  </si>
  <si>
    <t>BMG-24</t>
  </si>
  <si>
    <t>BMG-25</t>
  </si>
  <si>
    <t>BMG-26</t>
  </si>
  <si>
    <t>BMG-27</t>
  </si>
  <si>
    <t>BMG-28</t>
  </si>
  <si>
    <t>BMG-29</t>
  </si>
  <si>
    <t>BMG-30</t>
  </si>
  <si>
    <t>BMG-31</t>
  </si>
  <si>
    <t>BMG-32</t>
  </si>
  <si>
    <t>BMG-33</t>
  </si>
  <si>
    <t>CIC-01</t>
  </si>
  <si>
    <t>CIC-02</t>
  </si>
  <si>
    <t>CIC-03</t>
  </si>
  <si>
    <t>CIC-04</t>
  </si>
  <si>
    <t>CIC-05</t>
  </si>
  <si>
    <t>CIC-06</t>
  </si>
  <si>
    <t>CIC-08</t>
  </si>
  <si>
    <t>CIC-09</t>
  </si>
  <si>
    <t>DDSC-01</t>
  </si>
  <si>
    <t>DDSC-02</t>
  </si>
  <si>
    <t>GARY-01</t>
  </si>
  <si>
    <t>6300/7000</t>
  </si>
  <si>
    <t>GARY-02</t>
  </si>
  <si>
    <t>GARY-03</t>
  </si>
  <si>
    <t>3300/3800</t>
  </si>
  <si>
    <t>GARY-04</t>
  </si>
  <si>
    <t>GARY-05</t>
  </si>
  <si>
    <t>GARY-06</t>
  </si>
  <si>
    <t>GARY-07</t>
  </si>
  <si>
    <t>GARY-08</t>
  </si>
  <si>
    <t>GARY-09</t>
  </si>
  <si>
    <t>GEL-01</t>
  </si>
  <si>
    <t>GHC-01</t>
  </si>
  <si>
    <t>GHC-02</t>
  </si>
  <si>
    <t>2500/3500</t>
  </si>
  <si>
    <t>GHC-03</t>
  </si>
  <si>
    <t>2000/3000</t>
  </si>
  <si>
    <t>GHC-04</t>
  </si>
  <si>
    <t>GHC-05</t>
  </si>
  <si>
    <t>GHC-06</t>
  </si>
  <si>
    <t>GHC-07</t>
  </si>
  <si>
    <t>GHC-08</t>
  </si>
  <si>
    <t>6000/12000</t>
  </si>
  <si>
    <t>GHC-09</t>
  </si>
  <si>
    <t>HATMS01-01</t>
  </si>
  <si>
    <t>HATMS01-02</t>
  </si>
  <si>
    <t>HATMS01-03</t>
  </si>
  <si>
    <t>KUMORI-01-01</t>
  </si>
  <si>
    <t>KUMORI-01-02</t>
  </si>
  <si>
    <t>LINKS-01</t>
  </si>
  <si>
    <t>6000/7500</t>
  </si>
  <si>
    <t>LINKS-02</t>
  </si>
  <si>
    <t>10500/11500</t>
  </si>
  <si>
    <t>MACE01-01</t>
  </si>
  <si>
    <t>MACE01-02</t>
  </si>
  <si>
    <t>600/1200</t>
  </si>
  <si>
    <t>MACE01-03</t>
  </si>
  <si>
    <t>MIND01-01</t>
  </si>
  <si>
    <t>MIND01-02</t>
  </si>
  <si>
    <t>MIND01-03</t>
  </si>
  <si>
    <t>ODFC01-01</t>
  </si>
  <si>
    <t>ODFC01-02</t>
  </si>
  <si>
    <t>ODFC01-03</t>
  </si>
  <si>
    <t>15000/20000</t>
  </si>
  <si>
    <t>ODFC02-01</t>
  </si>
  <si>
    <t>ODFC02-02</t>
  </si>
  <si>
    <t>ODFC02-03</t>
  </si>
  <si>
    <t>PDXAGE-0101</t>
  </si>
  <si>
    <t>PDXAGE-0201</t>
  </si>
  <si>
    <t>1500/2000</t>
  </si>
  <si>
    <t>PHA-01</t>
  </si>
  <si>
    <t>PRIORY-01</t>
  </si>
  <si>
    <t>PRIORY-02</t>
  </si>
  <si>
    <t>PRIORY-03</t>
  </si>
  <si>
    <t>QCC-2017</t>
  </si>
  <si>
    <t>ROZK01-1</t>
  </si>
  <si>
    <t>11700/13760</t>
  </si>
  <si>
    <t>ROZK01-2</t>
  </si>
  <si>
    <t>11360/13360</t>
  </si>
  <si>
    <t>ROZK01-3</t>
  </si>
  <si>
    <t>14200/15600</t>
  </si>
  <si>
    <t>RPR-01</t>
  </si>
  <si>
    <t>RPSG‐01</t>
  </si>
  <si>
    <t>SALT01-01</t>
  </si>
  <si>
    <t>SALT01-02</t>
  </si>
  <si>
    <t>SALT01-03</t>
  </si>
  <si>
    <t>SALT02-01</t>
  </si>
  <si>
    <t>SALT02-02</t>
  </si>
  <si>
    <t>SCAR01-01</t>
  </si>
  <si>
    <t>SCAR01-02</t>
  </si>
  <si>
    <t>SFBAY-02-01</t>
  </si>
  <si>
    <t>3000/9000</t>
  </si>
  <si>
    <t>SFBAY-04-01</t>
  </si>
  <si>
    <t>SFBAY-04-02</t>
  </si>
  <si>
    <t>SFBAY-04-03</t>
  </si>
  <si>
    <t>SRCC01-01</t>
  </si>
  <si>
    <t>SRCC01-02</t>
  </si>
  <si>
    <t>SRCC01-03</t>
  </si>
  <si>
    <t>STORM-01</t>
  </si>
  <si>
    <t>TAROT01-01</t>
  </si>
  <si>
    <t>450/650</t>
  </si>
  <si>
    <t>TAROT01-02</t>
  </si>
  <si>
    <t>TAROT01-03</t>
  </si>
  <si>
    <t>THENT01-01</t>
  </si>
  <si>
    <t>THENT01-02</t>
  </si>
  <si>
    <t>THENT01-03</t>
  </si>
  <si>
    <t>TRI-02</t>
  </si>
  <si>
    <t>TRI-03</t>
  </si>
  <si>
    <t>TRI-04</t>
  </si>
  <si>
    <t>TRI-14</t>
  </si>
  <si>
    <t>9000/12000</t>
  </si>
  <si>
    <t>TRI-15</t>
  </si>
  <si>
    <t>TRI-19</t>
  </si>
  <si>
    <t>UCON-01</t>
  </si>
  <si>
    <t>WWC-01</t>
  </si>
  <si>
    <t>WWC-02</t>
  </si>
  <si>
    <t>WWC-03</t>
  </si>
  <si>
    <t>WWC-04</t>
  </si>
  <si>
    <t>YLRA01-01</t>
  </si>
  <si>
    <t>YLRA01-02</t>
  </si>
  <si>
    <t>YLRA01-03</t>
  </si>
  <si>
    <t>TIER</t>
  </si>
  <si>
    <t>600*</t>
  </si>
  <si>
    <t>CCC</t>
  </si>
  <si>
    <t>DDAL</t>
  </si>
  <si>
    <t>CCC / DDAL</t>
  </si>
  <si>
    <t>level</t>
  </si>
  <si>
    <t>advancement checkpoints</t>
  </si>
  <si>
    <t>min treasure checkpoints</t>
  </si>
  <si>
    <t>hours</t>
  </si>
  <si>
    <t>4h modules</t>
  </si>
  <si>
    <t>time of play</t>
  </si>
  <si>
    <t>treasure points</t>
  </si>
  <si>
    <t>magic items</t>
  </si>
  <si>
    <t>only this tier</t>
  </si>
  <si>
    <t>cost</t>
  </si>
  <si>
    <t>A,B,C,F</t>
  </si>
  <si>
    <t>4 or 8</t>
  </si>
  <si>
    <t>from 2 to 4</t>
  </si>
  <si>
    <t>D. G</t>
  </si>
  <si>
    <t>8 or 10</t>
  </si>
  <si>
    <t>from 4 to 6</t>
  </si>
  <si>
    <t>E, H</t>
  </si>
  <si>
    <t>I</t>
  </si>
  <si>
    <t>7th season rules</t>
  </si>
  <si>
    <t>8th season rules</t>
  </si>
  <si>
    <t>table</t>
  </si>
  <si>
    <t>8th average</t>
  </si>
  <si>
    <t>Author</t>
  </si>
  <si>
    <t>Anton Palikhov</t>
  </si>
  <si>
    <t>a.v.palikhov@outlook.com</t>
  </si>
  <si>
    <t>for Adventurers League Russian</t>
  </si>
  <si>
    <t>Киборги и Чародеи - WE GET SHIT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</si>
</sst>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name val="Arial"/>
      <family val="2"/>
      <charset val="204"/>
    </font>
    <font>
      <i/>
      <u/>
      <sz val="1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1"/>
      <color theme="0"/>
      <name val="Algerian"/>
      <family val="5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/>
    <xf numFmtId="0" fontId="8" fillId="3" borderId="1" xfId="0" applyFont="1" applyFill="1" applyBorder="1" applyAlignment="1">
      <alignment horizontal="left" vertical="top" wrapText="1"/>
    </xf>
    <xf numFmtId="0" fontId="0" fillId="0" borderId="1" xfId="0" applyBorder="1"/>
    <xf numFmtId="2" fontId="9" fillId="0" borderId="1" xfId="0" applyNumberFormat="1" applyFont="1" applyBorder="1"/>
    <xf numFmtId="2" fontId="10" fillId="0" borderId="1" xfId="0" applyNumberFormat="1" applyFont="1" applyBorder="1"/>
    <xf numFmtId="2" fontId="0" fillId="0" borderId="1" xfId="0" applyNumberFormat="1" applyBorder="1"/>
    <xf numFmtId="0" fontId="1" fillId="3" borderId="1" xfId="0" applyFont="1" applyFill="1" applyBorder="1"/>
    <xf numFmtId="0" fontId="0" fillId="0" borderId="1" xfId="0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8" fillId="3" borderId="2" xfId="0" applyFont="1" applyFill="1" applyBorder="1" applyAlignment="1">
      <alignment horizontal="left" vertical="top" wrapText="1"/>
    </xf>
    <xf numFmtId="0" fontId="12" fillId="3" borderId="1" xfId="0" applyFont="1" applyFill="1" applyBorder="1"/>
    <xf numFmtId="0" fontId="0" fillId="0" borderId="0" xfId="0" applyAlignment="1">
      <alignment horizontal="left" vertical="top"/>
    </xf>
    <xf numFmtId="0" fontId="12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vertical="center" wrapText="1"/>
    </xf>
    <xf numFmtId="0" fontId="1" fillId="3" borderId="0" xfId="0" applyFont="1" applyFill="1" applyBorder="1"/>
    <xf numFmtId="0" fontId="12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" fontId="13" fillId="3" borderId="1" xfId="0" applyNumberFormat="1" applyFont="1" applyFill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1" fillId="0" borderId="1" xfId="0" applyNumberFormat="1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2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center" vertical="center"/>
    </xf>
    <xf numFmtId="0" fontId="16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.v.palikhov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135"/>
  <sheetViews>
    <sheetView workbookViewId="0">
      <selection sqref="A1:M1048576"/>
    </sheetView>
  </sheetViews>
  <sheetFormatPr defaultRowHeight="15" x14ac:dyDescent="0.25"/>
  <cols>
    <col min="1" max="2" width="12.28515625" style="13" customWidth="1"/>
    <col min="3" max="3" width="9.140625" style="35"/>
    <col min="4" max="4" width="9.140625" style="13"/>
    <col min="5" max="5" width="12" style="13" customWidth="1"/>
    <col min="6" max="6" width="12.28515625" style="13" customWidth="1"/>
    <col min="7" max="11" width="9.140625" style="13"/>
    <col min="12" max="12" width="16.85546875" style="13" customWidth="1"/>
    <col min="13" max="13" width="18.28515625" style="13" customWidth="1"/>
    <col min="14" max="14" width="11.42578125" customWidth="1"/>
  </cols>
  <sheetData>
    <row r="1" spans="1:13" x14ac:dyDescent="0.25">
      <c r="A1" s="25" t="s">
        <v>0</v>
      </c>
      <c r="B1" s="25" t="s">
        <v>1</v>
      </c>
      <c r="C1" s="28" t="s">
        <v>353</v>
      </c>
      <c r="D1" s="25" t="s">
        <v>2</v>
      </c>
      <c r="E1" s="25" t="s">
        <v>3</v>
      </c>
      <c r="F1" s="25" t="s">
        <v>4</v>
      </c>
      <c r="G1" s="25" t="s">
        <v>168</v>
      </c>
      <c r="H1" s="25" t="s">
        <v>169</v>
      </c>
      <c r="I1" s="25" t="s">
        <v>170</v>
      </c>
      <c r="J1" s="25" t="s">
        <v>171</v>
      </c>
      <c r="K1" s="25" t="s">
        <v>158</v>
      </c>
      <c r="L1" s="21" t="s">
        <v>172</v>
      </c>
      <c r="M1" s="25" t="s">
        <v>173</v>
      </c>
    </row>
    <row r="2" spans="1:13" x14ac:dyDescent="0.25">
      <c r="A2" s="41" t="s">
        <v>5</v>
      </c>
      <c r="B2" s="43" t="str">
        <f>HYPERLINK("http://www.dmsguild.com/product/200609/DDAL0001-Window-to-the-Past?affiliate_id=759617","Window to the Past")</f>
        <v>Window to the Past</v>
      </c>
      <c r="C2" s="29">
        <v>2</v>
      </c>
      <c r="D2" s="27">
        <v>4</v>
      </c>
      <c r="E2" s="27" t="s">
        <v>6</v>
      </c>
      <c r="F2" s="27">
        <v>3000</v>
      </c>
      <c r="G2" s="9" t="str">
        <f>LEFT(E2,SEARCH("/",E2,1)-1)</f>
        <v>6750</v>
      </c>
      <c r="H2" s="9" t="str">
        <f>RIGHT(E2,LEN(E2)-SEARCH("/",E2,1))</f>
        <v>9000</v>
      </c>
      <c r="I2" s="30">
        <v>6750</v>
      </c>
      <c r="J2" s="30">
        <v>9000</v>
      </c>
      <c r="K2" s="8">
        <f>AVERAGE(I2:J2)</f>
        <v>7875</v>
      </c>
      <c r="L2" s="8">
        <f>K2/D2</f>
        <v>1968.75</v>
      </c>
      <c r="M2" s="8">
        <f>F2/D2</f>
        <v>750</v>
      </c>
    </row>
    <row r="3" spans="1:13" x14ac:dyDescent="0.25">
      <c r="A3" s="42"/>
      <c r="B3" s="42"/>
      <c r="C3" s="29">
        <v>3</v>
      </c>
      <c r="D3" s="27">
        <v>4</v>
      </c>
      <c r="E3" s="27" t="s">
        <v>7</v>
      </c>
      <c r="F3" s="27">
        <v>6000</v>
      </c>
      <c r="G3" s="9" t="str">
        <f t="shared" ref="G3:G66" si="0">LEFT(E3,SEARCH("/",E3,1)-1)</f>
        <v>14250</v>
      </c>
      <c r="H3" s="9" t="str">
        <f t="shared" ref="H3:H66" si="1">RIGHT(E3,LEN(E3)-SEARCH("/",E3,1))</f>
        <v>18000</v>
      </c>
      <c r="I3" s="30">
        <v>14250</v>
      </c>
      <c r="J3" s="30">
        <v>18000</v>
      </c>
      <c r="K3" s="8">
        <f t="shared" ref="K3:K66" si="2">AVERAGE(I3:J3)</f>
        <v>16125</v>
      </c>
      <c r="L3" s="8">
        <f t="shared" ref="L3:L66" si="3">K3/D3</f>
        <v>4031.25</v>
      </c>
      <c r="M3" s="8">
        <f t="shared" ref="M3:M66" si="4">F3/D3</f>
        <v>1500</v>
      </c>
    </row>
    <row r="4" spans="1:13" x14ac:dyDescent="0.25">
      <c r="A4" s="42"/>
      <c r="B4" s="42"/>
      <c r="C4" s="29">
        <v>4</v>
      </c>
      <c r="D4" s="27">
        <v>4</v>
      </c>
      <c r="E4" s="27" t="s">
        <v>8</v>
      </c>
      <c r="F4" s="27">
        <v>17500</v>
      </c>
      <c r="G4" s="9" t="str">
        <f t="shared" si="0"/>
        <v>28500</v>
      </c>
      <c r="H4" s="9" t="str">
        <f t="shared" si="1"/>
        <v>40000</v>
      </c>
      <c r="I4" s="30">
        <v>28500</v>
      </c>
      <c r="J4" s="30">
        <v>40000</v>
      </c>
      <c r="K4" s="8">
        <f t="shared" si="2"/>
        <v>34250</v>
      </c>
      <c r="L4" s="8">
        <f t="shared" si="3"/>
        <v>8562.5</v>
      </c>
      <c r="M4" s="8">
        <f t="shared" si="4"/>
        <v>4375</v>
      </c>
    </row>
    <row r="5" spans="1:13" x14ac:dyDescent="0.25">
      <c r="A5" s="27" t="s">
        <v>9</v>
      </c>
      <c r="B5" s="43" t="str">
        <f>HYPERLINK("http://www.dmsguild.com/product/247140/Lost-Tales-of-Myth-Drannor?affiliate_id=759617","Lost Tales of Myth Drannor")</f>
        <v>Lost Tales of Myth Drannor</v>
      </c>
      <c r="C5" s="29">
        <v>1</v>
      </c>
      <c r="D5" s="27">
        <v>2</v>
      </c>
      <c r="E5" s="27" t="s">
        <v>10</v>
      </c>
      <c r="F5" s="27">
        <v>275</v>
      </c>
      <c r="G5" s="9" t="str">
        <f t="shared" si="0"/>
        <v>450</v>
      </c>
      <c r="H5" s="9" t="str">
        <f t="shared" si="1"/>
        <v>600</v>
      </c>
      <c r="I5" s="30">
        <v>450</v>
      </c>
      <c r="J5" s="30">
        <v>600</v>
      </c>
      <c r="K5" s="8">
        <f t="shared" si="2"/>
        <v>525</v>
      </c>
      <c r="L5" s="8">
        <f t="shared" si="3"/>
        <v>262.5</v>
      </c>
      <c r="M5" s="8">
        <f t="shared" si="4"/>
        <v>137.5</v>
      </c>
    </row>
    <row r="6" spans="1:13" x14ac:dyDescent="0.25">
      <c r="A6" s="27" t="s">
        <v>11</v>
      </c>
      <c r="B6" s="42"/>
      <c r="C6" s="29">
        <v>1</v>
      </c>
      <c r="D6" s="27">
        <v>2</v>
      </c>
      <c r="E6" s="27" t="s">
        <v>10</v>
      </c>
      <c r="F6" s="27">
        <v>525</v>
      </c>
      <c r="G6" s="9" t="str">
        <f t="shared" si="0"/>
        <v>450</v>
      </c>
      <c r="H6" s="9" t="str">
        <f t="shared" si="1"/>
        <v>600</v>
      </c>
      <c r="I6" s="30">
        <v>450</v>
      </c>
      <c r="J6" s="30">
        <v>600</v>
      </c>
      <c r="K6" s="8">
        <f t="shared" si="2"/>
        <v>525</v>
      </c>
      <c r="L6" s="8">
        <f t="shared" si="3"/>
        <v>262.5</v>
      </c>
      <c r="M6" s="8">
        <f t="shared" si="4"/>
        <v>262.5</v>
      </c>
    </row>
    <row r="7" spans="1:13" x14ac:dyDescent="0.25">
      <c r="A7" s="27" t="s">
        <v>12</v>
      </c>
      <c r="B7" s="42"/>
      <c r="C7" s="29">
        <v>2</v>
      </c>
      <c r="D7" s="27">
        <v>2</v>
      </c>
      <c r="E7" s="27" t="s">
        <v>13</v>
      </c>
      <c r="F7" s="27">
        <v>2300</v>
      </c>
      <c r="G7" s="9" t="str">
        <f t="shared" si="0"/>
        <v>4500</v>
      </c>
      <c r="H7" s="9" t="str">
        <f t="shared" si="1"/>
        <v>6000</v>
      </c>
      <c r="I7" s="30">
        <v>4500</v>
      </c>
      <c r="J7" s="30">
        <v>6000</v>
      </c>
      <c r="K7" s="8">
        <f t="shared" si="2"/>
        <v>5250</v>
      </c>
      <c r="L7" s="8">
        <f t="shared" si="3"/>
        <v>2625</v>
      </c>
      <c r="M7" s="8">
        <f t="shared" si="4"/>
        <v>1150</v>
      </c>
    </row>
    <row r="8" spans="1:13" x14ac:dyDescent="0.25">
      <c r="A8" s="27" t="s">
        <v>14</v>
      </c>
      <c r="B8" s="42"/>
      <c r="C8" s="29">
        <v>2</v>
      </c>
      <c r="D8" s="27">
        <v>2</v>
      </c>
      <c r="E8" s="27" t="s">
        <v>15</v>
      </c>
      <c r="F8" s="27">
        <v>1700</v>
      </c>
      <c r="G8" s="9" t="str">
        <f t="shared" si="0"/>
        <v>1875</v>
      </c>
      <c r="H8" s="9" t="str">
        <f t="shared" si="1"/>
        <v>2500</v>
      </c>
      <c r="I8" s="30">
        <v>1875</v>
      </c>
      <c r="J8" s="30">
        <v>2500</v>
      </c>
      <c r="K8" s="8">
        <f t="shared" si="2"/>
        <v>2187.5</v>
      </c>
      <c r="L8" s="8">
        <f t="shared" si="3"/>
        <v>1093.75</v>
      </c>
      <c r="M8" s="8">
        <f t="shared" si="4"/>
        <v>850</v>
      </c>
    </row>
    <row r="9" spans="1:13" x14ac:dyDescent="0.25">
      <c r="A9" s="27" t="s">
        <v>16</v>
      </c>
      <c r="B9" s="42"/>
      <c r="C9" s="29">
        <v>3</v>
      </c>
      <c r="D9" s="27">
        <v>2</v>
      </c>
      <c r="E9" s="27" t="s">
        <v>17</v>
      </c>
      <c r="F9" s="27">
        <v>5000</v>
      </c>
      <c r="G9" s="9" t="str">
        <f t="shared" si="0"/>
        <v>5050</v>
      </c>
      <c r="H9" s="9" t="str">
        <f t="shared" si="1"/>
        <v>6750</v>
      </c>
      <c r="I9" s="30">
        <v>5050</v>
      </c>
      <c r="J9" s="30">
        <v>6750</v>
      </c>
      <c r="K9" s="8">
        <f t="shared" si="2"/>
        <v>5900</v>
      </c>
      <c r="L9" s="8">
        <f t="shared" si="3"/>
        <v>2950</v>
      </c>
      <c r="M9" s="8">
        <f t="shared" si="4"/>
        <v>2500</v>
      </c>
    </row>
    <row r="10" spans="1:13" x14ac:dyDescent="0.25">
      <c r="A10" s="27" t="s">
        <v>18</v>
      </c>
      <c r="B10" s="42"/>
      <c r="C10" s="29">
        <v>4</v>
      </c>
      <c r="D10" s="27">
        <v>2</v>
      </c>
      <c r="E10" s="27" t="s">
        <v>19</v>
      </c>
      <c r="F10" s="27">
        <v>12700</v>
      </c>
      <c r="G10" s="9" t="str">
        <f t="shared" si="0"/>
        <v>14000</v>
      </c>
      <c r="H10" s="9" t="str">
        <f t="shared" si="1"/>
        <v xml:space="preserve">18500 </v>
      </c>
      <c r="I10" s="30">
        <v>14000</v>
      </c>
      <c r="J10" s="30">
        <v>18500</v>
      </c>
      <c r="K10" s="8">
        <f t="shared" si="2"/>
        <v>16250</v>
      </c>
      <c r="L10" s="8">
        <f t="shared" si="3"/>
        <v>8125</v>
      </c>
      <c r="M10" s="8">
        <f t="shared" si="4"/>
        <v>6350</v>
      </c>
    </row>
    <row r="11" spans="1:13" x14ac:dyDescent="0.25">
      <c r="A11" s="41" t="s">
        <v>20</v>
      </c>
      <c r="B11" s="43" t="str">
        <f>HYPERLINK("http://www.dmsguild.com/product/230030/DDAL0003-Those-That-Came-Before?affiliate_id=759617","Those That Came Before")</f>
        <v>Those That Came Before</v>
      </c>
      <c r="C11" s="29">
        <v>3</v>
      </c>
      <c r="D11" s="27">
        <v>4</v>
      </c>
      <c r="E11" s="27" t="s">
        <v>21</v>
      </c>
      <c r="F11" s="27">
        <v>4500</v>
      </c>
      <c r="G11" s="9" t="str">
        <f t="shared" si="0"/>
        <v>11500</v>
      </c>
      <c r="H11" s="9" t="str">
        <f t="shared" si="1"/>
        <v>13500</v>
      </c>
      <c r="I11" s="30">
        <v>11500</v>
      </c>
      <c r="J11" s="30">
        <v>13500</v>
      </c>
      <c r="K11" s="8">
        <f t="shared" si="2"/>
        <v>12500</v>
      </c>
      <c r="L11" s="8">
        <f t="shared" si="3"/>
        <v>3125</v>
      </c>
      <c r="M11" s="8">
        <f t="shared" si="4"/>
        <v>1125</v>
      </c>
    </row>
    <row r="12" spans="1:13" x14ac:dyDescent="0.25">
      <c r="A12" s="42"/>
      <c r="B12" s="42"/>
      <c r="C12" s="29">
        <v>4</v>
      </c>
      <c r="D12" s="27">
        <v>4</v>
      </c>
      <c r="E12" s="27" t="s">
        <v>22</v>
      </c>
      <c r="F12" s="27">
        <v>5500</v>
      </c>
      <c r="G12" s="9" t="str">
        <f t="shared" si="0"/>
        <v>20000</v>
      </c>
      <c r="H12" s="9" t="str">
        <f t="shared" si="1"/>
        <v>27000</v>
      </c>
      <c r="I12" s="30">
        <v>20000</v>
      </c>
      <c r="J12" s="30">
        <v>27000</v>
      </c>
      <c r="K12" s="8">
        <f t="shared" si="2"/>
        <v>23500</v>
      </c>
      <c r="L12" s="8">
        <f t="shared" si="3"/>
        <v>5875</v>
      </c>
      <c r="M12" s="8">
        <f t="shared" si="4"/>
        <v>1375</v>
      </c>
    </row>
    <row r="13" spans="1:13" x14ac:dyDescent="0.25">
      <c r="A13" s="27" t="s">
        <v>23</v>
      </c>
      <c r="B13" s="26" t="str">
        <f>HYPERLINK("http://www.dmsguild.com/product/229261/DDAL0004-Winters-Flame-5e?affiliate_id=759617","Winter's Flame")</f>
        <v>Winter's Flame</v>
      </c>
      <c r="C13" s="29">
        <v>1</v>
      </c>
      <c r="D13" s="27">
        <v>2</v>
      </c>
      <c r="E13" s="27" t="s">
        <v>10</v>
      </c>
      <c r="F13" s="27">
        <f>200+150+20</f>
        <v>370</v>
      </c>
      <c r="G13" s="9" t="str">
        <f t="shared" si="0"/>
        <v>450</v>
      </c>
      <c r="H13" s="9" t="str">
        <f t="shared" si="1"/>
        <v>600</v>
      </c>
      <c r="I13" s="30">
        <v>450</v>
      </c>
      <c r="J13" s="30">
        <v>600</v>
      </c>
      <c r="K13" s="8">
        <f t="shared" si="2"/>
        <v>525</v>
      </c>
      <c r="L13" s="8">
        <f t="shared" si="3"/>
        <v>262.5</v>
      </c>
      <c r="M13" s="8">
        <f t="shared" si="4"/>
        <v>185</v>
      </c>
    </row>
    <row r="14" spans="1:13" x14ac:dyDescent="0.25">
      <c r="A14" s="27" t="s">
        <v>24</v>
      </c>
      <c r="B14" s="27" t="s">
        <v>25</v>
      </c>
      <c r="C14" s="29">
        <v>2</v>
      </c>
      <c r="D14" s="27">
        <v>4</v>
      </c>
      <c r="E14" s="27" t="s">
        <v>26</v>
      </c>
      <c r="F14" s="27">
        <v>2600</v>
      </c>
      <c r="G14" s="9" t="str">
        <f t="shared" si="0"/>
        <v>4500</v>
      </c>
      <c r="H14" s="9" t="str">
        <f t="shared" si="1"/>
        <v>7500</v>
      </c>
      <c r="I14" s="30">
        <v>4500</v>
      </c>
      <c r="J14" s="30">
        <v>7500</v>
      </c>
      <c r="K14" s="8">
        <f t="shared" si="2"/>
        <v>6000</v>
      </c>
      <c r="L14" s="8">
        <f t="shared" si="3"/>
        <v>1500</v>
      </c>
      <c r="M14" s="8">
        <f t="shared" si="4"/>
        <v>650</v>
      </c>
    </row>
    <row r="15" spans="1:13" x14ac:dyDescent="0.25">
      <c r="A15" s="27" t="s">
        <v>27</v>
      </c>
      <c r="B15" s="26" t="str">
        <f>HYPERLINK("http://www.dmsguild.com/product/170384/DDEX101-Defiance-in-Phlan-5e?affiliate_id=759617","Defiance in Phlan")</f>
        <v>Defiance in Phlan</v>
      </c>
      <c r="C15" s="29">
        <v>1</v>
      </c>
      <c r="D15" s="31">
        <v>5</v>
      </c>
      <c r="E15" s="32" t="s">
        <v>62</v>
      </c>
      <c r="F15" s="27">
        <v>150</v>
      </c>
      <c r="G15" s="9" t="str">
        <f t="shared" si="0"/>
        <v>375</v>
      </c>
      <c r="H15" s="9" t="str">
        <f t="shared" si="1"/>
        <v>500</v>
      </c>
      <c r="I15" s="30">
        <v>75</v>
      </c>
      <c r="J15" s="30">
        <v>100</v>
      </c>
      <c r="K15" s="8">
        <f t="shared" si="2"/>
        <v>87.5</v>
      </c>
      <c r="L15" s="8">
        <f t="shared" si="3"/>
        <v>17.5</v>
      </c>
      <c r="M15" s="8">
        <f t="shared" si="4"/>
        <v>30</v>
      </c>
    </row>
    <row r="16" spans="1:13" x14ac:dyDescent="0.25">
      <c r="A16" s="27" t="s">
        <v>28</v>
      </c>
      <c r="B16" s="26" t="str">
        <f>HYPERLINK("http://www.dmsguild.com/product/170405/DDEX102-Secrets-of-Sokol-Keep-5e?affiliate_id=759617","Secrets of Sokol Keep")</f>
        <v>Secrets of Sokol Keep</v>
      </c>
      <c r="C16" s="29">
        <v>1</v>
      </c>
      <c r="D16" s="27">
        <v>4</v>
      </c>
      <c r="E16" s="27" t="s">
        <v>10</v>
      </c>
      <c r="F16" s="27">
        <v>525</v>
      </c>
      <c r="G16" s="9" t="str">
        <f t="shared" si="0"/>
        <v>450</v>
      </c>
      <c r="H16" s="9" t="str">
        <f t="shared" si="1"/>
        <v>600</v>
      </c>
      <c r="I16" s="30">
        <v>450</v>
      </c>
      <c r="J16" s="30">
        <v>600</v>
      </c>
      <c r="K16" s="8">
        <f t="shared" si="2"/>
        <v>525</v>
      </c>
      <c r="L16" s="8">
        <f t="shared" si="3"/>
        <v>131.25</v>
      </c>
      <c r="M16" s="8">
        <f t="shared" si="4"/>
        <v>131.25</v>
      </c>
    </row>
    <row r="17" spans="1:13" x14ac:dyDescent="0.25">
      <c r="A17" s="27" t="s">
        <v>29</v>
      </c>
      <c r="B17" s="26" t="str">
        <f>HYPERLINK("http://www.dmsguild.com/product/170407/DDEX103-Shadows-of-the-Moonsea-5e?affiliate_id=759617","Shadows over the Moonsea")</f>
        <v>Shadows over the Moonsea</v>
      </c>
      <c r="C17" s="29">
        <v>1</v>
      </c>
      <c r="D17" s="27">
        <v>4</v>
      </c>
      <c r="E17" s="27" t="s">
        <v>10</v>
      </c>
      <c r="F17" s="27">
        <v>605</v>
      </c>
      <c r="G17" s="9" t="str">
        <f t="shared" si="0"/>
        <v>450</v>
      </c>
      <c r="H17" s="9" t="str">
        <f t="shared" si="1"/>
        <v>600</v>
      </c>
      <c r="I17" s="30">
        <v>450</v>
      </c>
      <c r="J17" s="30">
        <v>600</v>
      </c>
      <c r="K17" s="8">
        <f t="shared" si="2"/>
        <v>525</v>
      </c>
      <c r="L17" s="8">
        <f t="shared" si="3"/>
        <v>131.25</v>
      </c>
      <c r="M17" s="8">
        <f t="shared" si="4"/>
        <v>151.25</v>
      </c>
    </row>
    <row r="18" spans="1:13" x14ac:dyDescent="0.25">
      <c r="A18" s="27" t="s">
        <v>30</v>
      </c>
      <c r="B18" s="26" t="str">
        <f>HYPERLINK("http://www.dmsguild.com/product/170461/DDEX104-Dues-for-the-Dead-5e?affiliate_id=759617","Dues for the Dead")</f>
        <v>Dues for the Dead</v>
      </c>
      <c r="C18" s="29">
        <v>1</v>
      </c>
      <c r="D18" s="27">
        <v>4</v>
      </c>
      <c r="E18" s="27" t="s">
        <v>10</v>
      </c>
      <c r="F18" s="27">
        <v>1000</v>
      </c>
      <c r="G18" s="9" t="str">
        <f t="shared" si="0"/>
        <v>450</v>
      </c>
      <c r="H18" s="9" t="str">
        <f t="shared" si="1"/>
        <v>600</v>
      </c>
      <c r="I18" s="30">
        <v>450</v>
      </c>
      <c r="J18" s="30">
        <v>600</v>
      </c>
      <c r="K18" s="8">
        <f t="shared" si="2"/>
        <v>525</v>
      </c>
      <c r="L18" s="8">
        <f t="shared" si="3"/>
        <v>131.25</v>
      </c>
      <c r="M18" s="8">
        <f t="shared" si="4"/>
        <v>250</v>
      </c>
    </row>
    <row r="19" spans="1:13" x14ac:dyDescent="0.25">
      <c r="A19" s="27" t="s">
        <v>31</v>
      </c>
      <c r="B19" s="26" t="str">
        <f>HYPERLINK("http://www.dmsguild.com/product/170462/DDEX105-The-Courting-of-Fire-5e?affiliate_id=759617","The Courting of Fire")</f>
        <v>The Courting of Fire</v>
      </c>
      <c r="C19" s="29">
        <v>1</v>
      </c>
      <c r="D19" s="27">
        <v>4</v>
      </c>
      <c r="E19" s="27" t="s">
        <v>10</v>
      </c>
      <c r="F19" s="27">
        <v>800</v>
      </c>
      <c r="G19" s="9" t="str">
        <f t="shared" si="0"/>
        <v>450</v>
      </c>
      <c r="H19" s="9" t="str">
        <f t="shared" si="1"/>
        <v>600</v>
      </c>
      <c r="I19" s="30">
        <v>450</v>
      </c>
      <c r="J19" s="30">
        <v>600</v>
      </c>
      <c r="K19" s="8">
        <f t="shared" si="2"/>
        <v>525</v>
      </c>
      <c r="L19" s="8">
        <f t="shared" si="3"/>
        <v>131.25</v>
      </c>
      <c r="M19" s="8">
        <f t="shared" si="4"/>
        <v>200</v>
      </c>
    </row>
    <row r="20" spans="1:13" x14ac:dyDescent="0.25">
      <c r="A20" s="27" t="s">
        <v>32</v>
      </c>
      <c r="B20" s="26" t="str">
        <f>HYPERLINK("http://www.dmsguild.com/product/170463/DDEX106-The-Scroll-Thief-5e?affiliate_id=759617","The Scroll Thief")</f>
        <v>The Scroll Thief</v>
      </c>
      <c r="C20" s="29">
        <v>1</v>
      </c>
      <c r="D20" s="27">
        <v>4</v>
      </c>
      <c r="E20" s="27" t="s">
        <v>10</v>
      </c>
      <c r="F20" s="27">
        <v>800</v>
      </c>
      <c r="G20" s="9" t="str">
        <f t="shared" si="0"/>
        <v>450</v>
      </c>
      <c r="H20" s="9" t="str">
        <f t="shared" si="1"/>
        <v>600</v>
      </c>
      <c r="I20" s="30">
        <v>450</v>
      </c>
      <c r="J20" s="30">
        <v>600</v>
      </c>
      <c r="K20" s="8">
        <f t="shared" si="2"/>
        <v>525</v>
      </c>
      <c r="L20" s="8">
        <f t="shared" si="3"/>
        <v>131.25</v>
      </c>
      <c r="M20" s="8">
        <f t="shared" si="4"/>
        <v>200</v>
      </c>
    </row>
    <row r="21" spans="1:13" x14ac:dyDescent="0.25">
      <c r="A21" s="27" t="s">
        <v>33</v>
      </c>
      <c r="B21" s="26" t="str">
        <f>HYPERLINK("http://www.dmsguild.com/product/170465/DDEX107-Drums-in-the-Marsh-5e?affiliate_id=759617","Drums in the Marsh")</f>
        <v>Drums in the Marsh</v>
      </c>
      <c r="C21" s="29">
        <v>1</v>
      </c>
      <c r="D21" s="27">
        <v>4</v>
      </c>
      <c r="E21" s="27" t="s">
        <v>42</v>
      </c>
      <c r="F21" s="27">
        <v>495</v>
      </c>
      <c r="G21" s="9" t="str">
        <f t="shared" si="0"/>
        <v>600</v>
      </c>
      <c r="H21" s="9" t="str">
        <f t="shared" si="1"/>
        <v>750</v>
      </c>
      <c r="I21" s="30">
        <v>600</v>
      </c>
      <c r="J21" s="30">
        <v>750</v>
      </c>
      <c r="K21" s="8">
        <f t="shared" si="2"/>
        <v>675</v>
      </c>
      <c r="L21" s="8">
        <f t="shared" si="3"/>
        <v>168.75</v>
      </c>
      <c r="M21" s="8">
        <f t="shared" si="4"/>
        <v>123.75</v>
      </c>
    </row>
    <row r="22" spans="1:13" x14ac:dyDescent="0.25">
      <c r="A22" s="27" t="s">
        <v>34</v>
      </c>
      <c r="B22" s="26" t="str">
        <f>HYPERLINK("http://www.dmsguild.com/product/170466/DDEX108-Tales-Trees-Tell-5e?affiliate_id=759617","Tales Trees Tell")</f>
        <v>Tales Trees Tell</v>
      </c>
      <c r="C22" s="29">
        <v>1</v>
      </c>
      <c r="D22" s="27">
        <v>4</v>
      </c>
      <c r="E22" s="27" t="s">
        <v>42</v>
      </c>
      <c r="F22" s="27">
        <v>800</v>
      </c>
      <c r="G22" s="9" t="str">
        <f t="shared" si="0"/>
        <v>600</v>
      </c>
      <c r="H22" s="9" t="str">
        <f t="shared" si="1"/>
        <v>750</v>
      </c>
      <c r="I22" s="30">
        <v>600</v>
      </c>
      <c r="J22" s="30">
        <v>750</v>
      </c>
      <c r="K22" s="8">
        <f t="shared" si="2"/>
        <v>675</v>
      </c>
      <c r="L22" s="8">
        <f t="shared" si="3"/>
        <v>168.75</v>
      </c>
      <c r="M22" s="8">
        <f t="shared" si="4"/>
        <v>200</v>
      </c>
    </row>
    <row r="23" spans="1:13" x14ac:dyDescent="0.25">
      <c r="A23" s="27" t="s">
        <v>35</v>
      </c>
      <c r="B23" s="26" t="str">
        <f>HYPERLINK("http://www.dmsguild.com/product/170467/DDEX109-Outlaws-of-the-Iron-Route-5e?affiliate_id=759617","Outlaws of the Iron Route")</f>
        <v>Outlaws of the Iron Route</v>
      </c>
      <c r="C23" s="29">
        <v>1</v>
      </c>
      <c r="D23" s="27">
        <v>4</v>
      </c>
      <c r="E23" s="27" t="s">
        <v>10</v>
      </c>
      <c r="F23" s="27">
        <v>750</v>
      </c>
      <c r="G23" s="9" t="str">
        <f t="shared" si="0"/>
        <v>450</v>
      </c>
      <c r="H23" s="9" t="str">
        <f t="shared" si="1"/>
        <v>600</v>
      </c>
      <c r="I23" s="30">
        <v>450</v>
      </c>
      <c r="J23" s="30">
        <v>600</v>
      </c>
      <c r="K23" s="8">
        <f t="shared" si="2"/>
        <v>525</v>
      </c>
      <c r="L23" s="8">
        <f t="shared" si="3"/>
        <v>131.25</v>
      </c>
      <c r="M23" s="8">
        <f t="shared" si="4"/>
        <v>187.5</v>
      </c>
    </row>
    <row r="24" spans="1:13" x14ac:dyDescent="0.25">
      <c r="A24" s="27" t="s">
        <v>36</v>
      </c>
      <c r="B24" s="26" t="str">
        <f>HYPERLINK("http://www.dmsguild.com/product/170469/DDEX110-Tyranny-in-Phlan-5e?affiliate_id=759617","Tyranny in Phlan")</f>
        <v>Tyranny in Phlan</v>
      </c>
      <c r="C24" s="29">
        <v>2</v>
      </c>
      <c r="D24" s="27">
        <v>4</v>
      </c>
      <c r="E24" s="27" t="s">
        <v>43</v>
      </c>
      <c r="F24" s="27">
        <v>1800</v>
      </c>
      <c r="G24" s="9" t="str">
        <f t="shared" si="0"/>
        <v>3000</v>
      </c>
      <c r="H24" s="9" t="str">
        <f t="shared" si="1"/>
        <v>4000</v>
      </c>
      <c r="I24" s="30">
        <v>3000</v>
      </c>
      <c r="J24" s="30">
        <v>4000</v>
      </c>
      <c r="K24" s="8">
        <f t="shared" si="2"/>
        <v>3500</v>
      </c>
      <c r="L24" s="8">
        <f t="shared" si="3"/>
        <v>875</v>
      </c>
      <c r="M24" s="8">
        <f t="shared" si="4"/>
        <v>450</v>
      </c>
    </row>
    <row r="25" spans="1:13" x14ac:dyDescent="0.25">
      <c r="A25" s="27" t="s">
        <v>37</v>
      </c>
      <c r="B25" s="26" t="str">
        <f>HYPERLINK("http://www.dmsguild.com/product/170470/DDEX111-Dark-Pyramid-of-Sorcerers-Isle-5e?affiliate_id=759617","Dark Pyramid of Sorcerer's Isle")</f>
        <v>Dark Pyramid of Sorcerer's Isle</v>
      </c>
      <c r="C25" s="29">
        <v>2</v>
      </c>
      <c r="D25" s="27">
        <v>8</v>
      </c>
      <c r="E25" s="27" t="s">
        <v>44</v>
      </c>
      <c r="F25" s="27">
        <v>2600</v>
      </c>
      <c r="G25" s="9" t="str">
        <f t="shared" si="0"/>
        <v>6000</v>
      </c>
      <c r="H25" s="9" t="str">
        <f t="shared" si="1"/>
        <v>10000</v>
      </c>
      <c r="I25" s="30">
        <v>6000</v>
      </c>
      <c r="J25" s="30">
        <v>10000</v>
      </c>
      <c r="K25" s="8">
        <f t="shared" si="2"/>
        <v>8000</v>
      </c>
      <c r="L25" s="8">
        <f t="shared" si="3"/>
        <v>1000</v>
      </c>
      <c r="M25" s="8">
        <f t="shared" si="4"/>
        <v>325</v>
      </c>
    </row>
    <row r="26" spans="1:13" x14ac:dyDescent="0.25">
      <c r="A26" s="27" t="s">
        <v>38</v>
      </c>
      <c r="B26" s="26" t="str">
        <f>HYPERLINK("http://www.dmsguild.com/product/170471/DDEX112-Raiders-of-the-Twilight-Marsh-5e?affiliate_id=759617","Raiders of the Twilight Marsh")</f>
        <v>Raiders of the Twilight Marsh</v>
      </c>
      <c r="C26" s="29">
        <v>2</v>
      </c>
      <c r="D26" s="27">
        <v>4</v>
      </c>
      <c r="E26" s="27" t="s">
        <v>45</v>
      </c>
      <c r="F26" s="27">
        <v>7900</v>
      </c>
      <c r="G26" s="9" t="str">
        <f t="shared" si="0"/>
        <v>3000</v>
      </c>
      <c r="H26" s="9" t="str">
        <f t="shared" si="1"/>
        <v>5000</v>
      </c>
      <c r="I26" s="30">
        <v>3000</v>
      </c>
      <c r="J26" s="30">
        <v>5000</v>
      </c>
      <c r="K26" s="8">
        <f t="shared" si="2"/>
        <v>4000</v>
      </c>
      <c r="L26" s="8">
        <f t="shared" si="3"/>
        <v>1000</v>
      </c>
      <c r="M26" s="8">
        <f t="shared" si="4"/>
        <v>1975</v>
      </c>
    </row>
    <row r="27" spans="1:13" x14ac:dyDescent="0.25">
      <c r="A27" s="27" t="s">
        <v>39</v>
      </c>
      <c r="B27" s="26" t="str">
        <f>HYPERLINK("http://www.dmsguild.com/product/170472/DDEX113-Pool-of-Radiance-Resurgent-5e?affiliate_id=759617","Pool of Radiance Resurgent")</f>
        <v>Pool of Radiance Resurgent</v>
      </c>
      <c r="C27" s="29">
        <v>2</v>
      </c>
      <c r="D27" s="27">
        <v>4</v>
      </c>
      <c r="E27" s="27" t="s">
        <v>13</v>
      </c>
      <c r="F27" s="27">
        <v>3085</v>
      </c>
      <c r="G27" s="9" t="str">
        <f t="shared" si="0"/>
        <v>4500</v>
      </c>
      <c r="H27" s="9" t="str">
        <f t="shared" si="1"/>
        <v>6000</v>
      </c>
      <c r="I27" s="30">
        <v>4500</v>
      </c>
      <c r="J27" s="30">
        <v>6000</v>
      </c>
      <c r="K27" s="8">
        <f t="shared" si="2"/>
        <v>5250</v>
      </c>
      <c r="L27" s="8">
        <f t="shared" si="3"/>
        <v>1312.5</v>
      </c>
      <c r="M27" s="8">
        <f t="shared" si="4"/>
        <v>771.25</v>
      </c>
    </row>
    <row r="28" spans="1:13" x14ac:dyDescent="0.25">
      <c r="A28" s="27" t="s">
        <v>40</v>
      </c>
      <c r="B28" s="26" t="str">
        <f>HYPERLINK("http://www.dmsguild.com/product/170474/DDEX114-Escape-from-Phlan-5e?affiliate_id=759617","Escape from Phlan")</f>
        <v>Escape from Phlan</v>
      </c>
      <c r="C28" s="29">
        <v>2</v>
      </c>
      <c r="D28" s="27">
        <v>4</v>
      </c>
      <c r="E28" s="27" t="s">
        <v>45</v>
      </c>
      <c r="F28" s="27">
        <v>1450</v>
      </c>
      <c r="G28" s="9" t="str">
        <f t="shared" si="0"/>
        <v>3000</v>
      </c>
      <c r="H28" s="9" t="str">
        <f t="shared" si="1"/>
        <v>5000</v>
      </c>
      <c r="I28" s="30">
        <v>3000</v>
      </c>
      <c r="J28" s="30">
        <v>5000</v>
      </c>
      <c r="K28" s="8">
        <f t="shared" si="2"/>
        <v>4000</v>
      </c>
      <c r="L28" s="8">
        <f t="shared" si="3"/>
        <v>1000</v>
      </c>
      <c r="M28" s="8">
        <f t="shared" si="4"/>
        <v>362.5</v>
      </c>
    </row>
    <row r="29" spans="1:13" x14ac:dyDescent="0.25">
      <c r="A29" s="27" t="s">
        <v>46</v>
      </c>
      <c r="B29" s="26" t="str">
        <f>HYPERLINK("http://www.dmsguild.com/product/170386/DDEX201-City-of-Danger-5e?affiliate_id=759617","City of Danger")</f>
        <v>City of Danger</v>
      </c>
      <c r="C29" s="29">
        <v>1</v>
      </c>
      <c r="D29" s="33">
        <v>2</v>
      </c>
      <c r="E29" s="27" t="s">
        <v>62</v>
      </c>
      <c r="F29" s="27">
        <v>1000</v>
      </c>
      <c r="G29" s="9" t="str">
        <f t="shared" si="0"/>
        <v>375</v>
      </c>
      <c r="H29" s="9" t="str">
        <f t="shared" si="1"/>
        <v>500</v>
      </c>
      <c r="I29" s="30">
        <v>375</v>
      </c>
      <c r="J29" s="30">
        <v>500</v>
      </c>
      <c r="K29" s="8">
        <f t="shared" si="2"/>
        <v>437.5</v>
      </c>
      <c r="L29" s="8">
        <f t="shared" si="3"/>
        <v>218.75</v>
      </c>
      <c r="M29" s="8">
        <f t="shared" si="4"/>
        <v>500</v>
      </c>
    </row>
    <row r="30" spans="1:13" x14ac:dyDescent="0.25">
      <c r="A30" s="27" t="s">
        <v>47</v>
      </c>
      <c r="B30" s="26" t="str">
        <f>HYPERLINK("http://www.dmsguild.com/product/170476/DDEX202-Embers-of-Elmwood-5e?affiliate_id=759617","Embers of Elmwood")</f>
        <v>Embers of Elmwood</v>
      </c>
      <c r="C30" s="29">
        <v>1</v>
      </c>
      <c r="D30" s="27">
        <v>4</v>
      </c>
      <c r="E30" s="27" t="s">
        <v>10</v>
      </c>
      <c r="F30" s="27">
        <v>500</v>
      </c>
      <c r="G30" s="9" t="str">
        <f t="shared" si="0"/>
        <v>450</v>
      </c>
      <c r="H30" s="9" t="str">
        <f t="shared" si="1"/>
        <v>600</v>
      </c>
      <c r="I30" s="30">
        <v>450</v>
      </c>
      <c r="J30" s="30">
        <v>600</v>
      </c>
      <c r="K30" s="8">
        <f t="shared" si="2"/>
        <v>525</v>
      </c>
      <c r="L30" s="8">
        <f t="shared" si="3"/>
        <v>131.25</v>
      </c>
      <c r="M30" s="8">
        <f t="shared" si="4"/>
        <v>125</v>
      </c>
    </row>
    <row r="31" spans="1:13" x14ac:dyDescent="0.25">
      <c r="A31" s="27" t="s">
        <v>48</v>
      </c>
      <c r="B31" s="26" t="str">
        <f>HYPERLINK("http://www.dmsguild.com/product/170477/DDEX203-The-Drowned-Tower-5e?affiliate_id=759617","The Drowned Tower")</f>
        <v>The Drowned Tower</v>
      </c>
      <c r="C31" s="29">
        <v>2</v>
      </c>
      <c r="D31" s="27">
        <v>4</v>
      </c>
      <c r="E31" s="27" t="s">
        <v>43</v>
      </c>
      <c r="F31" s="27">
        <v>1950</v>
      </c>
      <c r="G31" s="9" t="str">
        <f t="shared" si="0"/>
        <v>3000</v>
      </c>
      <c r="H31" s="9" t="str">
        <f t="shared" si="1"/>
        <v>4000</v>
      </c>
      <c r="I31" s="30">
        <v>3000</v>
      </c>
      <c r="J31" s="30">
        <v>4000</v>
      </c>
      <c r="K31" s="8">
        <f t="shared" si="2"/>
        <v>3500</v>
      </c>
      <c r="L31" s="8">
        <f t="shared" si="3"/>
        <v>875</v>
      </c>
      <c r="M31" s="8">
        <f t="shared" si="4"/>
        <v>487.5</v>
      </c>
    </row>
    <row r="32" spans="1:13" x14ac:dyDescent="0.25">
      <c r="A32" s="27" t="s">
        <v>49</v>
      </c>
      <c r="B32" s="26" t="str">
        <f>HYPERLINK("http://www.dmsguild.com/product/170478/DDEX204-Mayhem-in-the-Earthspur-Mines-5e?affiliate_id=759617","Mayhem in the Earthspur Mines")</f>
        <v>Mayhem in the Earthspur Mines</v>
      </c>
      <c r="C32" s="29">
        <v>2</v>
      </c>
      <c r="D32" s="27">
        <v>4</v>
      </c>
      <c r="E32" s="27" t="s">
        <v>43</v>
      </c>
      <c r="F32" s="27">
        <v>2200</v>
      </c>
      <c r="G32" s="9" t="str">
        <f t="shared" si="0"/>
        <v>3000</v>
      </c>
      <c r="H32" s="9" t="str">
        <f t="shared" si="1"/>
        <v>4000</v>
      </c>
      <c r="I32" s="30">
        <v>3000</v>
      </c>
      <c r="J32" s="30">
        <v>4000</v>
      </c>
      <c r="K32" s="8">
        <f t="shared" si="2"/>
        <v>3500</v>
      </c>
      <c r="L32" s="8">
        <f t="shared" si="3"/>
        <v>875</v>
      </c>
      <c r="M32" s="8">
        <f t="shared" si="4"/>
        <v>550</v>
      </c>
    </row>
    <row r="33" spans="1:13" x14ac:dyDescent="0.25">
      <c r="A33" s="27" t="s">
        <v>50</v>
      </c>
      <c r="B33" s="26" t="str">
        <f>HYPERLINK("http://www.dmsguild.com/product/170479/DDEX205-Flames-of-Kythorn-5e?affiliate_id=759617","Flames of Kythorn")</f>
        <v>Flames of Kythorn</v>
      </c>
      <c r="C33" s="29">
        <v>1</v>
      </c>
      <c r="D33" s="27">
        <v>4</v>
      </c>
      <c r="E33" s="27" t="s">
        <v>10</v>
      </c>
      <c r="F33" s="27">
        <v>550</v>
      </c>
      <c r="G33" s="9" t="str">
        <f t="shared" si="0"/>
        <v>450</v>
      </c>
      <c r="H33" s="9" t="str">
        <f t="shared" si="1"/>
        <v>600</v>
      </c>
      <c r="I33" s="30">
        <v>450</v>
      </c>
      <c r="J33" s="30">
        <v>600</v>
      </c>
      <c r="K33" s="8">
        <f t="shared" si="2"/>
        <v>525</v>
      </c>
      <c r="L33" s="8">
        <f t="shared" si="3"/>
        <v>131.25</v>
      </c>
      <c r="M33" s="8">
        <f t="shared" si="4"/>
        <v>137.5</v>
      </c>
    </row>
    <row r="34" spans="1:13" x14ac:dyDescent="0.25">
      <c r="A34" s="27" t="s">
        <v>51</v>
      </c>
      <c r="B34" s="26" t="str">
        <f>HYPERLINK("http://www.dmsguild.com/product/170480/DDEX206-Breath-of-the-Yellow-Rose-5e?affiliate_id=759617","Breath of the Yellow Rose")</f>
        <v>Breath of the Yellow Rose</v>
      </c>
      <c r="C34" s="29">
        <v>1</v>
      </c>
      <c r="D34" s="27">
        <v>4</v>
      </c>
      <c r="E34" s="27" t="s">
        <v>63</v>
      </c>
      <c r="F34" s="27">
        <v>615</v>
      </c>
      <c r="G34" s="9" t="str">
        <f t="shared" si="0"/>
        <v>900</v>
      </c>
      <c r="H34" s="9" t="str">
        <f t="shared" si="1"/>
        <v>1200</v>
      </c>
      <c r="I34" s="30">
        <v>900</v>
      </c>
      <c r="J34" s="30">
        <v>1200</v>
      </c>
      <c r="K34" s="8">
        <f t="shared" si="2"/>
        <v>1050</v>
      </c>
      <c r="L34" s="8">
        <f t="shared" si="3"/>
        <v>262.5</v>
      </c>
      <c r="M34" s="8">
        <f t="shared" si="4"/>
        <v>153.75</v>
      </c>
    </row>
    <row r="35" spans="1:13" x14ac:dyDescent="0.25">
      <c r="A35" s="27" t="s">
        <v>52</v>
      </c>
      <c r="B35" s="26" t="str">
        <f>HYPERLINK("http://www.dmsguild.com/product/170481/DDEX207-Bounty-in-the-Bog-5e?affiliate_id=759617","Bounty in the Bog")</f>
        <v>Bounty in the Bog</v>
      </c>
      <c r="C35" s="29">
        <v>1</v>
      </c>
      <c r="D35" s="27">
        <v>4</v>
      </c>
      <c r="E35" s="27" t="s">
        <v>10</v>
      </c>
      <c r="F35" s="27">
        <v>550</v>
      </c>
      <c r="G35" s="9" t="str">
        <f t="shared" si="0"/>
        <v>450</v>
      </c>
      <c r="H35" s="9" t="str">
        <f t="shared" si="1"/>
        <v>600</v>
      </c>
      <c r="I35" s="30">
        <v>450</v>
      </c>
      <c r="J35" s="30">
        <v>600</v>
      </c>
      <c r="K35" s="8">
        <f t="shared" si="2"/>
        <v>525</v>
      </c>
      <c r="L35" s="8">
        <f t="shared" si="3"/>
        <v>131.25</v>
      </c>
      <c r="M35" s="8">
        <f t="shared" si="4"/>
        <v>137.5</v>
      </c>
    </row>
    <row r="36" spans="1:13" x14ac:dyDescent="0.25">
      <c r="A36" s="27" t="s">
        <v>53</v>
      </c>
      <c r="B36" s="26" t="str">
        <f>HYPERLINK("http://www.dmsguild.com/product/170482/DDEX208-Foulness-Beneath-Mulmaster-5e?affiliate_id=759617","Foulness Beneath Mulmaster")</f>
        <v>Foulness Beneath Mulmaster</v>
      </c>
      <c r="C36" s="29">
        <v>1</v>
      </c>
      <c r="D36" s="27">
        <v>4</v>
      </c>
      <c r="E36" s="27" t="s">
        <v>63</v>
      </c>
      <c r="F36" s="27">
        <v>1314</v>
      </c>
      <c r="G36" s="9" t="str">
        <f t="shared" si="0"/>
        <v>900</v>
      </c>
      <c r="H36" s="9" t="str">
        <f t="shared" si="1"/>
        <v>1200</v>
      </c>
      <c r="I36" s="30">
        <v>900</v>
      </c>
      <c r="J36" s="30">
        <v>1200</v>
      </c>
      <c r="K36" s="8">
        <f t="shared" si="2"/>
        <v>1050</v>
      </c>
      <c r="L36" s="8">
        <f t="shared" si="3"/>
        <v>262.5</v>
      </c>
      <c r="M36" s="8">
        <f t="shared" si="4"/>
        <v>328.5</v>
      </c>
    </row>
    <row r="37" spans="1:13" x14ac:dyDescent="0.25">
      <c r="A37" s="27" t="s">
        <v>54</v>
      </c>
      <c r="B37" s="26" t="str">
        <f>HYPERLINK("http://www.dmsguild.com/product/170484/DDEX209-Eye-of-the-Tempest-5e?affiliate_id=759617","Eye of the Tempest")</f>
        <v>Eye of the Tempest</v>
      </c>
      <c r="C37" s="29">
        <v>2</v>
      </c>
      <c r="D37" s="27">
        <v>8</v>
      </c>
      <c r="E37" s="27" t="s">
        <v>64</v>
      </c>
      <c r="F37" s="27">
        <v>35000</v>
      </c>
      <c r="G37" s="9" t="str">
        <f t="shared" si="0"/>
        <v>6000</v>
      </c>
      <c r="H37" s="9" t="str">
        <f t="shared" si="1"/>
        <v>8000</v>
      </c>
      <c r="I37" s="30">
        <v>6000</v>
      </c>
      <c r="J37" s="30">
        <v>8000</v>
      </c>
      <c r="K37" s="8">
        <f t="shared" si="2"/>
        <v>7000</v>
      </c>
      <c r="L37" s="8">
        <f t="shared" si="3"/>
        <v>875</v>
      </c>
      <c r="M37" s="8">
        <f t="shared" si="4"/>
        <v>4375</v>
      </c>
    </row>
    <row r="38" spans="1:13" x14ac:dyDescent="0.25">
      <c r="A38" s="27" t="s">
        <v>55</v>
      </c>
      <c r="B38" s="26" t="str">
        <f>HYPERLINK("http://www.dmsguild.com/product/170485/DDEX210-Cloaks-and-Shadows-5e?affiliate_id=759617","Cloaks and Shadows")</f>
        <v>Cloaks and Shadows</v>
      </c>
      <c r="C38" s="29">
        <v>1</v>
      </c>
      <c r="D38" s="27">
        <v>4</v>
      </c>
      <c r="E38" s="27" t="s">
        <v>63</v>
      </c>
      <c r="F38" s="27">
        <v>700</v>
      </c>
      <c r="G38" s="9" t="str">
        <f t="shared" si="0"/>
        <v>900</v>
      </c>
      <c r="H38" s="9" t="str">
        <f t="shared" si="1"/>
        <v>1200</v>
      </c>
      <c r="I38" s="30">
        <v>900</v>
      </c>
      <c r="J38" s="30">
        <v>1200</v>
      </c>
      <c r="K38" s="8">
        <f t="shared" si="2"/>
        <v>1050</v>
      </c>
      <c r="L38" s="8">
        <f t="shared" si="3"/>
        <v>262.5</v>
      </c>
      <c r="M38" s="8">
        <f t="shared" si="4"/>
        <v>175</v>
      </c>
    </row>
    <row r="39" spans="1:13" x14ac:dyDescent="0.25">
      <c r="A39" s="27" t="s">
        <v>56</v>
      </c>
      <c r="B39" s="26" t="str">
        <f>HYPERLINK("http://www.dmsguild.com/product/170486/DDEX211-Oubliette-of-Fort-Iron-5e?affiliate_id=759617","Oubliette of Fort Iron")</f>
        <v>Oubliette of Fort Iron</v>
      </c>
      <c r="C39" s="29">
        <v>1</v>
      </c>
      <c r="D39" s="27">
        <v>2</v>
      </c>
      <c r="E39" s="27" t="s">
        <v>65</v>
      </c>
      <c r="F39" s="27">
        <v>250</v>
      </c>
      <c r="G39" s="9" t="str">
        <f t="shared" si="0"/>
        <v>225</v>
      </c>
      <c r="H39" s="9" t="str">
        <f t="shared" si="1"/>
        <v>300</v>
      </c>
      <c r="I39" s="30">
        <v>225</v>
      </c>
      <c r="J39" s="30">
        <v>300</v>
      </c>
      <c r="K39" s="8">
        <f t="shared" si="2"/>
        <v>262.5</v>
      </c>
      <c r="L39" s="8">
        <f t="shared" si="3"/>
        <v>131.25</v>
      </c>
      <c r="M39" s="8">
        <f t="shared" si="4"/>
        <v>125</v>
      </c>
    </row>
    <row r="40" spans="1:13" x14ac:dyDescent="0.25">
      <c r="A40" s="27" t="s">
        <v>57</v>
      </c>
      <c r="B40" s="26" t="str">
        <f>HYPERLINK("http://www.dmsguild.com/product/170487/DDEX212-Dark-Rites-at-Fort-Dalton-5e?affiliate_id=759617","Dark Rites at Fort Dalton")</f>
        <v>Dark Rites at Fort Dalton</v>
      </c>
      <c r="C40" s="29">
        <v>1</v>
      </c>
      <c r="D40" s="27">
        <v>2</v>
      </c>
      <c r="E40" s="27" t="s">
        <v>65</v>
      </c>
      <c r="F40" s="27">
        <v>361</v>
      </c>
      <c r="G40" s="9" t="str">
        <f t="shared" si="0"/>
        <v>225</v>
      </c>
      <c r="H40" s="9" t="str">
        <f t="shared" si="1"/>
        <v>300</v>
      </c>
      <c r="I40" s="30">
        <v>225</v>
      </c>
      <c r="J40" s="30">
        <v>300</v>
      </c>
      <c r="K40" s="8">
        <f t="shared" si="2"/>
        <v>262.5</v>
      </c>
      <c r="L40" s="8">
        <f t="shared" si="3"/>
        <v>131.25</v>
      </c>
      <c r="M40" s="8">
        <f t="shared" si="4"/>
        <v>180.5</v>
      </c>
    </row>
    <row r="41" spans="1:13" x14ac:dyDescent="0.25">
      <c r="A41" s="27" t="s">
        <v>58</v>
      </c>
      <c r="B41" s="26" t="str">
        <f>HYPERLINK("http://www.dmsguild.com/product/170488/DDEX213-The-Howling-Void-5e?affiliate_id=759617","The Howling Void")</f>
        <v>The Howling Void</v>
      </c>
      <c r="C41" s="29">
        <v>2</v>
      </c>
      <c r="D41" s="27">
        <v>4</v>
      </c>
      <c r="E41" s="27" t="s">
        <v>45</v>
      </c>
      <c r="F41" s="27">
        <v>2350</v>
      </c>
      <c r="G41" s="9" t="str">
        <f t="shared" si="0"/>
        <v>3000</v>
      </c>
      <c r="H41" s="9" t="str">
        <f t="shared" si="1"/>
        <v>5000</v>
      </c>
      <c r="I41" s="30">
        <v>3000</v>
      </c>
      <c r="J41" s="30">
        <v>5000</v>
      </c>
      <c r="K41" s="8">
        <f t="shared" si="2"/>
        <v>4000</v>
      </c>
      <c r="L41" s="8">
        <f t="shared" si="3"/>
        <v>1000</v>
      </c>
      <c r="M41" s="8">
        <f t="shared" si="4"/>
        <v>587.5</v>
      </c>
    </row>
    <row r="42" spans="1:13" x14ac:dyDescent="0.25">
      <c r="A42" s="27" t="s">
        <v>59</v>
      </c>
      <c r="B42" s="26" t="str">
        <f>HYPERLINK("http://www.dmsguild.com/product/170489/DDEX214-The-Sword-of-Selfaril-5e?affiliate_id=759617","The Sword of Selfaril")</f>
        <v>The Sword of Selfaril</v>
      </c>
      <c r="C42" s="29">
        <v>2</v>
      </c>
      <c r="D42" s="27">
        <v>4</v>
      </c>
      <c r="E42" s="27" t="s">
        <v>13</v>
      </c>
      <c r="F42" s="27">
        <v>3200</v>
      </c>
      <c r="G42" s="9" t="str">
        <f t="shared" si="0"/>
        <v>4500</v>
      </c>
      <c r="H42" s="9" t="str">
        <f t="shared" si="1"/>
        <v>6000</v>
      </c>
      <c r="I42" s="30">
        <v>4500</v>
      </c>
      <c r="J42" s="30">
        <v>6000</v>
      </c>
      <c r="K42" s="8">
        <f t="shared" si="2"/>
        <v>5250</v>
      </c>
      <c r="L42" s="8">
        <f t="shared" si="3"/>
        <v>1312.5</v>
      </c>
      <c r="M42" s="8">
        <f t="shared" si="4"/>
        <v>800</v>
      </c>
    </row>
    <row r="43" spans="1:13" x14ac:dyDescent="0.25">
      <c r="A43" s="27" t="s">
        <v>60</v>
      </c>
      <c r="B43" s="26" t="str">
        <f>HYPERLINK("http://www.dmsguild.com/product/170490/DDEX215-Black-Heart-of-Vengeance-5e?affiliate_id=759617","Black Heart of Vengeance")</f>
        <v>Black Heart of Vengeance</v>
      </c>
      <c r="C43" s="29">
        <v>2</v>
      </c>
      <c r="D43" s="27">
        <v>4</v>
      </c>
      <c r="E43" s="27" t="s">
        <v>13</v>
      </c>
      <c r="F43" s="27">
        <v>3005</v>
      </c>
      <c r="G43" s="9" t="str">
        <f t="shared" si="0"/>
        <v>4500</v>
      </c>
      <c r="H43" s="9" t="str">
        <f t="shared" si="1"/>
        <v>6000</v>
      </c>
      <c r="I43" s="30">
        <v>4500</v>
      </c>
      <c r="J43" s="30">
        <v>6000</v>
      </c>
      <c r="K43" s="8">
        <f t="shared" si="2"/>
        <v>5250</v>
      </c>
      <c r="L43" s="8">
        <f t="shared" si="3"/>
        <v>1312.5</v>
      </c>
      <c r="M43" s="8">
        <f t="shared" si="4"/>
        <v>751.25</v>
      </c>
    </row>
    <row r="44" spans="1:13" x14ac:dyDescent="0.25">
      <c r="A44" s="27" t="s">
        <v>61</v>
      </c>
      <c r="B44" s="26" t="str">
        <f>HYPERLINK("http://www.dmsguild.com/product/170491/DDEX216-Boltsmelters-Book-5e?affiliate_id=759617","Boltsmelter's Book")</f>
        <v>Boltsmelter's Book</v>
      </c>
      <c r="C44" s="29">
        <v>1</v>
      </c>
      <c r="D44" s="27">
        <v>4</v>
      </c>
      <c r="E44" s="27" t="s">
        <v>63</v>
      </c>
      <c r="F44" s="27">
        <v>550</v>
      </c>
      <c r="G44" s="9" t="str">
        <f t="shared" si="0"/>
        <v>900</v>
      </c>
      <c r="H44" s="9" t="str">
        <f t="shared" si="1"/>
        <v>1200</v>
      </c>
      <c r="I44" s="30">
        <v>900</v>
      </c>
      <c r="J44" s="30">
        <v>1200</v>
      </c>
      <c r="K44" s="8">
        <f t="shared" si="2"/>
        <v>1050</v>
      </c>
      <c r="L44" s="8">
        <f t="shared" si="3"/>
        <v>262.5</v>
      </c>
      <c r="M44" s="8">
        <f t="shared" si="4"/>
        <v>137.5</v>
      </c>
    </row>
    <row r="45" spans="1:13" x14ac:dyDescent="0.25">
      <c r="A45" s="27" t="s">
        <v>66</v>
      </c>
      <c r="B45" s="26" t="str">
        <f>HYPERLINK("http://www.dmsguild.com/product/170493/DDEX301-Harried-in-Hillsfar-5e?affiliate_id=759617","Harried in Hillsfar*")</f>
        <v>Harried in Hillsfar*</v>
      </c>
      <c r="C45" s="29">
        <v>1</v>
      </c>
      <c r="D45" s="33">
        <v>5</v>
      </c>
      <c r="E45" s="27" t="s">
        <v>62</v>
      </c>
      <c r="F45" s="27">
        <v>1000</v>
      </c>
      <c r="G45" s="9" t="str">
        <f t="shared" si="0"/>
        <v>375</v>
      </c>
      <c r="H45" s="9" t="str">
        <f t="shared" si="1"/>
        <v>500</v>
      </c>
      <c r="I45" s="30">
        <v>375</v>
      </c>
      <c r="J45" s="30">
        <v>500</v>
      </c>
      <c r="K45" s="8">
        <f t="shared" si="2"/>
        <v>437.5</v>
      </c>
      <c r="L45" s="8">
        <f t="shared" si="3"/>
        <v>87.5</v>
      </c>
      <c r="M45" s="8">
        <f t="shared" si="4"/>
        <v>200</v>
      </c>
    </row>
    <row r="46" spans="1:13" x14ac:dyDescent="0.25">
      <c r="A46" s="27" t="s">
        <v>67</v>
      </c>
      <c r="B46" s="26" t="str">
        <f>HYPERLINK("http://www.dmsguild.com/product/170494/DDEX302-Shackles-of-Blood-5e?affiliate_id=759617","Shackles of Blood")</f>
        <v>Shackles of Blood</v>
      </c>
      <c r="C46" s="29">
        <v>1</v>
      </c>
      <c r="D46" s="27">
        <v>4</v>
      </c>
      <c r="E46" s="27" t="s">
        <v>63</v>
      </c>
      <c r="F46" s="27">
        <v>750</v>
      </c>
      <c r="G46" s="9" t="str">
        <f t="shared" si="0"/>
        <v>900</v>
      </c>
      <c r="H46" s="9" t="str">
        <f t="shared" si="1"/>
        <v>1200</v>
      </c>
      <c r="I46" s="30">
        <v>900</v>
      </c>
      <c r="J46" s="30">
        <v>1200</v>
      </c>
      <c r="K46" s="8">
        <f t="shared" si="2"/>
        <v>1050</v>
      </c>
      <c r="L46" s="8">
        <f t="shared" si="3"/>
        <v>262.5</v>
      </c>
      <c r="M46" s="8">
        <f t="shared" si="4"/>
        <v>187.5</v>
      </c>
    </row>
    <row r="47" spans="1:13" x14ac:dyDescent="0.25">
      <c r="A47" s="27" t="s">
        <v>68</v>
      </c>
      <c r="B47" s="26" t="str">
        <f>HYPERLINK("http://www.dmsguild.com/product/170495/DDEX303-The-Occupation-of-Szith-Morcane-5e?affiliate_id=759617","The Occupation of Szith Morcane")</f>
        <v>The Occupation of Szith Morcane</v>
      </c>
      <c r="C47" s="29">
        <v>2</v>
      </c>
      <c r="D47" s="27">
        <v>4</v>
      </c>
      <c r="E47" s="27" t="s">
        <v>13</v>
      </c>
      <c r="F47" s="27">
        <v>2000</v>
      </c>
      <c r="G47" s="9" t="str">
        <f t="shared" si="0"/>
        <v>4500</v>
      </c>
      <c r="H47" s="9" t="str">
        <f t="shared" si="1"/>
        <v>6000</v>
      </c>
      <c r="I47" s="30">
        <v>4500</v>
      </c>
      <c r="J47" s="30">
        <v>6000</v>
      </c>
      <c r="K47" s="8">
        <f t="shared" si="2"/>
        <v>5250</v>
      </c>
      <c r="L47" s="8">
        <f t="shared" si="3"/>
        <v>1312.5</v>
      </c>
      <c r="M47" s="8">
        <f t="shared" si="4"/>
        <v>500</v>
      </c>
    </row>
    <row r="48" spans="1:13" x14ac:dyDescent="0.25">
      <c r="A48" s="27" t="s">
        <v>69</v>
      </c>
      <c r="B48" s="26" t="str">
        <f>HYPERLINK("http://www.dmsguild.com/product/170497/DDEX304-Its-All-in-the-Blood-5e?affiliate_id=759617","It's All in the Blood")</f>
        <v>It's All in the Blood</v>
      </c>
      <c r="C48" s="29">
        <v>3</v>
      </c>
      <c r="D48" s="27">
        <v>8</v>
      </c>
      <c r="E48" s="27" t="s">
        <v>82</v>
      </c>
      <c r="F48" s="27">
        <v>16300</v>
      </c>
      <c r="G48" s="9" t="str">
        <f t="shared" si="0"/>
        <v>17250</v>
      </c>
      <c r="H48" s="9" t="str">
        <f t="shared" si="1"/>
        <v>23000</v>
      </c>
      <c r="I48" s="30">
        <v>17250</v>
      </c>
      <c r="J48" s="30">
        <v>23000</v>
      </c>
      <c r="K48" s="8">
        <f t="shared" si="2"/>
        <v>20125</v>
      </c>
      <c r="L48" s="8">
        <f t="shared" si="3"/>
        <v>2515.625</v>
      </c>
      <c r="M48" s="8">
        <f t="shared" si="4"/>
        <v>2037.5</v>
      </c>
    </row>
    <row r="49" spans="1:13" x14ac:dyDescent="0.25">
      <c r="A49" s="27" t="s">
        <v>70</v>
      </c>
      <c r="B49" s="26" t="str">
        <f>HYPERLINK("http://www.dmsguild.com/product/170498/DDEX305-Bane-of-the-Tradeways-5e?affiliate_id=759617","Bane of the Trade Ways")</f>
        <v>Bane of the Trade Ways</v>
      </c>
      <c r="C49" s="29">
        <v>1</v>
      </c>
      <c r="D49" s="27">
        <v>4</v>
      </c>
      <c r="E49" s="27" t="s">
        <v>10</v>
      </c>
      <c r="F49" s="27">
        <v>235</v>
      </c>
      <c r="G49" s="9" t="str">
        <f t="shared" si="0"/>
        <v>450</v>
      </c>
      <c r="H49" s="9" t="str">
        <f t="shared" si="1"/>
        <v>600</v>
      </c>
      <c r="I49" s="30">
        <v>450</v>
      </c>
      <c r="J49" s="30">
        <v>600</v>
      </c>
      <c r="K49" s="8">
        <f t="shared" si="2"/>
        <v>525</v>
      </c>
      <c r="L49" s="8">
        <f t="shared" si="3"/>
        <v>131.25</v>
      </c>
      <c r="M49" s="8">
        <f t="shared" si="4"/>
        <v>58.75</v>
      </c>
    </row>
    <row r="50" spans="1:13" x14ac:dyDescent="0.25">
      <c r="A50" s="27" t="s">
        <v>71</v>
      </c>
      <c r="B50" s="26" t="str">
        <f>HYPERLINK("http://www.dmsguild.com/product/170499/DDEX306-No-Foolish-Matter-5e?affiliate_id=759617","No Foolish Matter")</f>
        <v>No Foolish Matter</v>
      </c>
      <c r="C50" s="29">
        <v>1</v>
      </c>
      <c r="D50" s="27">
        <v>2</v>
      </c>
      <c r="E50" s="27" t="s">
        <v>10</v>
      </c>
      <c r="F50" s="27">
        <v>300</v>
      </c>
      <c r="G50" s="9" t="str">
        <f t="shared" si="0"/>
        <v>450</v>
      </c>
      <c r="H50" s="9" t="str">
        <f t="shared" si="1"/>
        <v>600</v>
      </c>
      <c r="I50" s="30">
        <v>450</v>
      </c>
      <c r="J50" s="30">
        <v>600</v>
      </c>
      <c r="K50" s="8">
        <f t="shared" si="2"/>
        <v>525</v>
      </c>
      <c r="L50" s="8">
        <f t="shared" si="3"/>
        <v>262.5</v>
      </c>
      <c r="M50" s="8">
        <f t="shared" si="4"/>
        <v>150</v>
      </c>
    </row>
    <row r="51" spans="1:13" x14ac:dyDescent="0.25">
      <c r="A51" s="27" t="s">
        <v>72</v>
      </c>
      <c r="B51" s="26" t="str">
        <f>HYPERLINK("http://www.dmsguild.com/product/170501/DDEX307-Herald-of-the-Moon-5e?affiliate_id=759617","Herald of the Moon")</f>
        <v>Herald of the Moon</v>
      </c>
      <c r="C51" s="29">
        <v>2</v>
      </c>
      <c r="D51" s="27">
        <v>4</v>
      </c>
      <c r="E51" s="27" t="s">
        <v>13</v>
      </c>
      <c r="F51" s="27">
        <v>2700</v>
      </c>
      <c r="G51" s="9" t="str">
        <f t="shared" si="0"/>
        <v>4500</v>
      </c>
      <c r="H51" s="9" t="str">
        <f t="shared" si="1"/>
        <v>6000</v>
      </c>
      <c r="I51" s="30">
        <v>4500</v>
      </c>
      <c r="J51" s="30">
        <v>6000</v>
      </c>
      <c r="K51" s="8">
        <f t="shared" si="2"/>
        <v>5250</v>
      </c>
      <c r="L51" s="8">
        <f t="shared" si="3"/>
        <v>1312.5</v>
      </c>
      <c r="M51" s="8">
        <f t="shared" si="4"/>
        <v>675</v>
      </c>
    </row>
    <row r="52" spans="1:13" x14ac:dyDescent="0.25">
      <c r="A52" s="27" t="s">
        <v>73</v>
      </c>
      <c r="B52" s="26" t="str">
        <f>HYPERLINK("http://www.dmsguild.com/product/170502/DDEX308-The-Malady-of-Elventree-5e?affiliate_id=759617","The Malady of Elventree")</f>
        <v>The Malady of Elventree</v>
      </c>
      <c r="C52" s="29">
        <v>2</v>
      </c>
      <c r="D52" s="27">
        <v>4</v>
      </c>
      <c r="E52" s="27" t="s">
        <v>13</v>
      </c>
      <c r="F52" s="27">
        <v>2225</v>
      </c>
      <c r="G52" s="9" t="str">
        <f t="shared" si="0"/>
        <v>4500</v>
      </c>
      <c r="H52" s="9" t="str">
        <f t="shared" si="1"/>
        <v>6000</v>
      </c>
      <c r="I52" s="30">
        <v>4500</v>
      </c>
      <c r="J52" s="30">
        <v>6000</v>
      </c>
      <c r="K52" s="8">
        <f t="shared" si="2"/>
        <v>5250</v>
      </c>
      <c r="L52" s="8">
        <f t="shared" si="3"/>
        <v>1312.5</v>
      </c>
      <c r="M52" s="8">
        <f t="shared" si="4"/>
        <v>556.25</v>
      </c>
    </row>
    <row r="53" spans="1:13" x14ac:dyDescent="0.25">
      <c r="A53" s="27" t="s">
        <v>74</v>
      </c>
      <c r="B53" s="26" t="str">
        <f>HYPERLINK("http://www.dmsguild.com/product/170504/DDEX309-The-Waydown-5e?affiliate_id=759617","The Waydown")</f>
        <v>The Waydown</v>
      </c>
      <c r="C53" s="29">
        <v>2</v>
      </c>
      <c r="D53" s="27">
        <v>4</v>
      </c>
      <c r="E53" s="27" t="s">
        <v>26</v>
      </c>
      <c r="F53" s="27">
        <v>2200</v>
      </c>
      <c r="G53" s="9" t="str">
        <f t="shared" si="0"/>
        <v>4500</v>
      </c>
      <c r="H53" s="9" t="str">
        <f t="shared" si="1"/>
        <v>7500</v>
      </c>
      <c r="I53" s="30">
        <v>4500</v>
      </c>
      <c r="J53" s="30">
        <v>7500</v>
      </c>
      <c r="K53" s="8">
        <f t="shared" si="2"/>
        <v>6000</v>
      </c>
      <c r="L53" s="8">
        <f t="shared" si="3"/>
        <v>1500</v>
      </c>
      <c r="M53" s="8">
        <f t="shared" si="4"/>
        <v>550</v>
      </c>
    </row>
    <row r="54" spans="1:13" x14ac:dyDescent="0.25">
      <c r="A54" s="27" t="s">
        <v>75</v>
      </c>
      <c r="B54" s="26" t="str">
        <f>HYPERLINK("http://www.dmsguild.com/product/170392/DDEX310-Quelling-the-Horde-5e?affiliate_id=759617","Quelling the Horde")</f>
        <v>Quelling the Horde</v>
      </c>
      <c r="C54" s="29">
        <v>1</v>
      </c>
      <c r="D54" s="27">
        <v>4</v>
      </c>
      <c r="E54" s="27" t="s">
        <v>63</v>
      </c>
      <c r="F54" s="27">
        <v>800</v>
      </c>
      <c r="G54" s="9" t="str">
        <f t="shared" si="0"/>
        <v>900</v>
      </c>
      <c r="H54" s="9" t="str">
        <f t="shared" si="1"/>
        <v>1200</v>
      </c>
      <c r="I54" s="30">
        <v>900</v>
      </c>
      <c r="J54" s="30">
        <v>1200</v>
      </c>
      <c r="K54" s="8">
        <f t="shared" si="2"/>
        <v>1050</v>
      </c>
      <c r="L54" s="8">
        <f t="shared" si="3"/>
        <v>262.5</v>
      </c>
      <c r="M54" s="8">
        <f t="shared" si="4"/>
        <v>200</v>
      </c>
    </row>
    <row r="55" spans="1:13" x14ac:dyDescent="0.25">
      <c r="A55" s="27" t="s">
        <v>76</v>
      </c>
      <c r="B55" s="26" t="str">
        <f>HYPERLINK("http://www.dmsguild.com/product/170505/DDEX311-The-Quest-for-Sporedome-5e?affiliate_id=759617","The Quest for Sporedome")</f>
        <v>The Quest for Sporedome</v>
      </c>
      <c r="C55" s="29">
        <v>2</v>
      </c>
      <c r="D55" s="27">
        <v>2</v>
      </c>
      <c r="E55" s="27" t="s">
        <v>83</v>
      </c>
      <c r="F55" s="27">
        <v>2000</v>
      </c>
      <c r="G55" s="9" t="str">
        <f t="shared" si="0"/>
        <v>2250</v>
      </c>
      <c r="H55" s="9" t="str">
        <f t="shared" si="1"/>
        <v>3000</v>
      </c>
      <c r="I55" s="30">
        <v>2250</v>
      </c>
      <c r="J55" s="30">
        <v>3000</v>
      </c>
      <c r="K55" s="8">
        <f t="shared" si="2"/>
        <v>2625</v>
      </c>
      <c r="L55" s="8">
        <f t="shared" si="3"/>
        <v>1312.5</v>
      </c>
      <c r="M55" s="8">
        <f t="shared" si="4"/>
        <v>1000</v>
      </c>
    </row>
    <row r="56" spans="1:13" x14ac:dyDescent="0.25">
      <c r="A56" s="27" t="s">
        <v>77</v>
      </c>
      <c r="B56" s="26" t="str">
        <f>HYPERLINK("http://www.dmsguild.com/product/177567/DDEX312-Hillsfar-Reclaimed-5e?affiliate_id=759617","Hillsfar Reclaimed")</f>
        <v>Hillsfar Reclaimed</v>
      </c>
      <c r="C56" s="29">
        <v>1</v>
      </c>
      <c r="D56" s="27">
        <v>2</v>
      </c>
      <c r="E56" s="27" t="s">
        <v>10</v>
      </c>
      <c r="F56" s="27">
        <v>315</v>
      </c>
      <c r="G56" s="9" t="str">
        <f t="shared" si="0"/>
        <v>450</v>
      </c>
      <c r="H56" s="9" t="str">
        <f t="shared" si="1"/>
        <v>600</v>
      </c>
      <c r="I56" s="30">
        <v>450</v>
      </c>
      <c r="J56" s="30">
        <v>600</v>
      </c>
      <c r="K56" s="8">
        <f t="shared" si="2"/>
        <v>525</v>
      </c>
      <c r="L56" s="8">
        <f t="shared" si="3"/>
        <v>262.5</v>
      </c>
      <c r="M56" s="8">
        <f t="shared" si="4"/>
        <v>157.5</v>
      </c>
    </row>
    <row r="57" spans="1:13" x14ac:dyDescent="0.25">
      <c r="A57" s="27" t="s">
        <v>78</v>
      </c>
      <c r="B57" s="26" t="str">
        <f>HYPERLINK("http://www.dmsguild.com/product/177568/DDEX0313-Writhing-in-the-Dark-5e?affiliate_id=759617","Writhing in the Dark")</f>
        <v>Writhing in the Dark</v>
      </c>
      <c r="C57" s="29">
        <v>2</v>
      </c>
      <c r="D57" s="27">
        <v>2</v>
      </c>
      <c r="E57" s="27" t="s">
        <v>83</v>
      </c>
      <c r="F57" s="27">
        <v>1585</v>
      </c>
      <c r="G57" s="9" t="str">
        <f t="shared" si="0"/>
        <v>2250</v>
      </c>
      <c r="H57" s="9" t="str">
        <f t="shared" si="1"/>
        <v>3000</v>
      </c>
      <c r="I57" s="30">
        <v>2250</v>
      </c>
      <c r="J57" s="30">
        <v>3000</v>
      </c>
      <c r="K57" s="8">
        <f t="shared" si="2"/>
        <v>2625</v>
      </c>
      <c r="L57" s="8">
        <f t="shared" si="3"/>
        <v>1312.5</v>
      </c>
      <c r="M57" s="8">
        <f t="shared" si="4"/>
        <v>792.5</v>
      </c>
    </row>
    <row r="58" spans="1:13" x14ac:dyDescent="0.25">
      <c r="A58" s="27" t="s">
        <v>79</v>
      </c>
      <c r="B58" s="26" t="str">
        <f>HYPERLINK("http://www.dmsguild.com/product/177569/DDEX0314-Death-on-the-Wall-5e?affiliate_id=759617","Death on the Wall")</f>
        <v>Death on the Wall</v>
      </c>
      <c r="C58" s="29">
        <v>1</v>
      </c>
      <c r="D58" s="27">
        <v>2</v>
      </c>
      <c r="E58" s="27" t="s">
        <v>10</v>
      </c>
      <c r="F58" s="27">
        <v>350</v>
      </c>
      <c r="G58" s="9" t="str">
        <f t="shared" si="0"/>
        <v>450</v>
      </c>
      <c r="H58" s="9" t="str">
        <f t="shared" si="1"/>
        <v>600</v>
      </c>
      <c r="I58" s="30">
        <v>450</v>
      </c>
      <c r="J58" s="30">
        <v>600</v>
      </c>
      <c r="K58" s="8">
        <f t="shared" si="2"/>
        <v>525</v>
      </c>
      <c r="L58" s="8">
        <f t="shared" si="3"/>
        <v>262.5</v>
      </c>
      <c r="M58" s="8">
        <f t="shared" si="4"/>
        <v>175</v>
      </c>
    </row>
    <row r="59" spans="1:13" x14ac:dyDescent="0.25">
      <c r="A59" s="27" t="s">
        <v>80</v>
      </c>
      <c r="B59" s="26" t="str">
        <f>HYPERLINK("http://www.dmsguild.com/product/177570/DDEX0315-Szith-Morcane-Unbound-5e?affiliate_id=759617","Szith Morcane Unbound")</f>
        <v>Szith Morcane Unbound</v>
      </c>
      <c r="C59" s="29">
        <v>2</v>
      </c>
      <c r="D59" s="27">
        <v>4</v>
      </c>
      <c r="E59" s="27" t="s">
        <v>13</v>
      </c>
      <c r="F59" s="27">
        <v>7000</v>
      </c>
      <c r="G59" s="9" t="str">
        <f t="shared" si="0"/>
        <v>4500</v>
      </c>
      <c r="H59" s="9" t="str">
        <f t="shared" si="1"/>
        <v>6000</v>
      </c>
      <c r="I59" s="30">
        <v>4500</v>
      </c>
      <c r="J59" s="30">
        <v>6000</v>
      </c>
      <c r="K59" s="8">
        <f t="shared" si="2"/>
        <v>5250</v>
      </c>
      <c r="L59" s="8">
        <f t="shared" si="3"/>
        <v>1312.5</v>
      </c>
      <c r="M59" s="8">
        <f t="shared" si="4"/>
        <v>1750</v>
      </c>
    </row>
    <row r="60" spans="1:13" x14ac:dyDescent="0.25">
      <c r="A60" s="27" t="s">
        <v>81</v>
      </c>
      <c r="B60" s="26" t="str">
        <f>HYPERLINK("http://www.dmsguild.com/product/177572/DDEX0316-Assault-on-Maerimydra-5e?affiliate_id=759617","Assault on Maermydra")</f>
        <v>Assault on Maermydra</v>
      </c>
      <c r="C60" s="29">
        <v>3</v>
      </c>
      <c r="D60" s="27">
        <v>8</v>
      </c>
      <c r="E60" s="27" t="s">
        <v>82</v>
      </c>
      <c r="F60" s="27">
        <v>18300</v>
      </c>
      <c r="G60" s="9" t="str">
        <f t="shared" si="0"/>
        <v>17250</v>
      </c>
      <c r="H60" s="9" t="str">
        <f t="shared" si="1"/>
        <v>23000</v>
      </c>
      <c r="I60" s="30">
        <v>17250</v>
      </c>
      <c r="J60" s="30">
        <v>23000</v>
      </c>
      <c r="K60" s="8">
        <f t="shared" si="2"/>
        <v>20125</v>
      </c>
      <c r="L60" s="8">
        <f t="shared" si="3"/>
        <v>2515.625</v>
      </c>
      <c r="M60" s="8">
        <f t="shared" si="4"/>
        <v>2287.5</v>
      </c>
    </row>
    <row r="61" spans="1:13" x14ac:dyDescent="0.25">
      <c r="A61" s="27" t="s">
        <v>84</v>
      </c>
      <c r="B61" s="26" t="str">
        <f>HYPERLINK("http://www.dmsguild.com/product/177576/DDAL401-Suits-of-the-Mists-5e?affiliate_id=759617","Suits of the Mists*")</f>
        <v>Suits of the Mists*</v>
      </c>
      <c r="C61" s="29">
        <v>1</v>
      </c>
      <c r="D61" s="33">
        <v>5</v>
      </c>
      <c r="E61" s="32" t="s">
        <v>62</v>
      </c>
      <c r="F61" s="27">
        <v>1250</v>
      </c>
      <c r="G61" s="9" t="str">
        <f t="shared" si="0"/>
        <v>375</v>
      </c>
      <c r="H61" s="9" t="str">
        <f t="shared" si="1"/>
        <v>500</v>
      </c>
      <c r="I61" s="30">
        <v>375</v>
      </c>
      <c r="J61" s="30">
        <v>500</v>
      </c>
      <c r="K61" s="8">
        <f t="shared" si="2"/>
        <v>437.5</v>
      </c>
      <c r="L61" s="8">
        <f t="shared" si="3"/>
        <v>87.5</v>
      </c>
      <c r="M61" s="8">
        <f t="shared" si="4"/>
        <v>250</v>
      </c>
    </row>
    <row r="62" spans="1:13" x14ac:dyDescent="0.25">
      <c r="A62" s="27" t="s">
        <v>85</v>
      </c>
      <c r="B62" s="26" t="str">
        <f>HYPERLINK("http://www.dmsguild.com/product/178793/DDAL0402-The-Beast-5e?affiliate_id=759617","The Beast")</f>
        <v>The Beast</v>
      </c>
      <c r="C62" s="29">
        <v>1</v>
      </c>
      <c r="D62" s="27">
        <v>2</v>
      </c>
      <c r="E62" s="27" t="s">
        <v>65</v>
      </c>
      <c r="F62" s="27">
        <v>492</v>
      </c>
      <c r="G62" s="9" t="str">
        <f t="shared" si="0"/>
        <v>225</v>
      </c>
      <c r="H62" s="9" t="str">
        <f t="shared" si="1"/>
        <v>300</v>
      </c>
      <c r="I62" s="30">
        <v>225</v>
      </c>
      <c r="J62" s="30">
        <v>300</v>
      </c>
      <c r="K62" s="8">
        <f t="shared" si="2"/>
        <v>262.5</v>
      </c>
      <c r="L62" s="8">
        <f t="shared" si="3"/>
        <v>131.25</v>
      </c>
      <c r="M62" s="8">
        <f t="shared" si="4"/>
        <v>246</v>
      </c>
    </row>
    <row r="63" spans="1:13" x14ac:dyDescent="0.25">
      <c r="A63" s="27" t="s">
        <v>86</v>
      </c>
      <c r="B63" s="26" t="str">
        <f>HYPERLINK("http://www.dmsguild.com/product/178794/DDAL0403-The-Executioner-5e?affiliate_id=759617","The Executioner")</f>
        <v>The Executioner</v>
      </c>
      <c r="C63" s="29">
        <v>1</v>
      </c>
      <c r="D63" s="27">
        <v>2</v>
      </c>
      <c r="E63" s="27" t="s">
        <v>10</v>
      </c>
      <c r="F63" s="27">
        <v>250</v>
      </c>
      <c r="G63" s="9" t="str">
        <f t="shared" si="0"/>
        <v>450</v>
      </c>
      <c r="H63" s="9" t="str">
        <f t="shared" si="1"/>
        <v>600</v>
      </c>
      <c r="I63" s="30">
        <v>450</v>
      </c>
      <c r="J63" s="30">
        <v>600</v>
      </c>
      <c r="K63" s="8">
        <f t="shared" si="2"/>
        <v>525</v>
      </c>
      <c r="L63" s="8">
        <f t="shared" si="3"/>
        <v>262.5</v>
      </c>
      <c r="M63" s="8">
        <f t="shared" si="4"/>
        <v>125</v>
      </c>
    </row>
    <row r="64" spans="1:13" x14ac:dyDescent="0.25">
      <c r="A64" s="27" t="s">
        <v>87</v>
      </c>
      <c r="B64" s="26" t="str">
        <f>HYPERLINK("http://www.dmsguild.com/product/178795/DDAL0404-The-Marionette-5e?affiliate_id=759617","The Marionette")</f>
        <v>The Marionette</v>
      </c>
      <c r="C64" s="29">
        <v>1</v>
      </c>
      <c r="D64" s="27">
        <v>4</v>
      </c>
      <c r="E64" s="27" t="s">
        <v>63</v>
      </c>
      <c r="F64" s="27">
        <v>1070</v>
      </c>
      <c r="G64" s="9" t="str">
        <f t="shared" si="0"/>
        <v>900</v>
      </c>
      <c r="H64" s="9" t="str">
        <f t="shared" si="1"/>
        <v>1200</v>
      </c>
      <c r="I64" s="30">
        <v>900</v>
      </c>
      <c r="J64" s="30">
        <v>1200</v>
      </c>
      <c r="K64" s="8">
        <f t="shared" si="2"/>
        <v>1050</v>
      </c>
      <c r="L64" s="8">
        <f t="shared" si="3"/>
        <v>262.5</v>
      </c>
      <c r="M64" s="8">
        <f t="shared" si="4"/>
        <v>267.5</v>
      </c>
    </row>
    <row r="65" spans="1:13" x14ac:dyDescent="0.25">
      <c r="A65" s="27" t="s">
        <v>88</v>
      </c>
      <c r="B65" s="26" t="str">
        <f>HYPERLINK("http://www.dmsguild.com/product/178796/DDAL0405-The-Seer-5e?affiliate_id=759617","The Seer")</f>
        <v>The Seer</v>
      </c>
      <c r="C65" s="29">
        <v>1</v>
      </c>
      <c r="D65" s="27">
        <v>2</v>
      </c>
      <c r="E65" s="27" t="s">
        <v>98</v>
      </c>
      <c r="F65" s="27">
        <v>400</v>
      </c>
      <c r="G65" s="9" t="str">
        <f t="shared" si="0"/>
        <v>635</v>
      </c>
      <c r="H65" s="9" t="str">
        <f t="shared" si="1"/>
        <v>850</v>
      </c>
      <c r="I65" s="30">
        <v>635</v>
      </c>
      <c r="J65" s="30">
        <v>850</v>
      </c>
      <c r="K65" s="8">
        <f t="shared" si="2"/>
        <v>742.5</v>
      </c>
      <c r="L65" s="8">
        <f t="shared" si="3"/>
        <v>371.25</v>
      </c>
      <c r="M65" s="8">
        <f t="shared" si="4"/>
        <v>200</v>
      </c>
    </row>
    <row r="66" spans="1:13" x14ac:dyDescent="0.25">
      <c r="A66" s="27" t="s">
        <v>89</v>
      </c>
      <c r="B66" s="26" t="str">
        <f>HYPERLINK("http://www.dmsguild.com/product/182769/DDAL0406-The-Ghost-5e?affiliate_id=759617","The Ghost")</f>
        <v>The Ghost</v>
      </c>
      <c r="C66" s="29">
        <v>1</v>
      </c>
      <c r="D66" s="27">
        <v>4</v>
      </c>
      <c r="E66" s="27" t="s">
        <v>99</v>
      </c>
      <c r="F66" s="27">
        <v>315</v>
      </c>
      <c r="G66" s="9" t="str">
        <f t="shared" si="0"/>
        <v>4275</v>
      </c>
      <c r="H66" s="9" t="str">
        <f t="shared" si="1"/>
        <v>4700</v>
      </c>
      <c r="I66" s="30">
        <v>4275</v>
      </c>
      <c r="J66" s="30">
        <v>4700</v>
      </c>
      <c r="K66" s="8">
        <f t="shared" si="2"/>
        <v>4487.5</v>
      </c>
      <c r="L66" s="8">
        <f t="shared" si="3"/>
        <v>1121.875</v>
      </c>
      <c r="M66" s="8">
        <f t="shared" si="4"/>
        <v>78.75</v>
      </c>
    </row>
    <row r="67" spans="1:13" x14ac:dyDescent="0.25">
      <c r="A67" s="27" t="s">
        <v>90</v>
      </c>
      <c r="B67" s="26" t="str">
        <f>HYPERLINK("http://www.dmsguild.com/product/182770/DDAL0407-The-Innocent-5e?affiliate_id=759617","The Innocent")</f>
        <v>The Innocent</v>
      </c>
      <c r="C67" s="29">
        <v>2</v>
      </c>
      <c r="D67" s="27">
        <v>4</v>
      </c>
      <c r="E67" s="27" t="s">
        <v>100</v>
      </c>
      <c r="F67" s="27">
        <v>2000</v>
      </c>
      <c r="G67" s="9" t="str">
        <f t="shared" ref="G67:G122" si="5">LEFT(E67,SEARCH("/",E67,1)-1)</f>
        <v>2625</v>
      </c>
      <c r="H67" s="9" t="str">
        <f t="shared" ref="H67:H122" si="6">RIGHT(E67,LEN(E67)-SEARCH("/",E67,1))</f>
        <v>3500</v>
      </c>
      <c r="I67" s="30">
        <v>2625</v>
      </c>
      <c r="J67" s="30">
        <v>3500</v>
      </c>
      <c r="K67" s="8">
        <f t="shared" ref="K67:K122" si="7">AVERAGE(I67:J67)</f>
        <v>3062.5</v>
      </c>
      <c r="L67" s="8">
        <f t="shared" ref="L67:L122" si="8">K67/D67</f>
        <v>765.625</v>
      </c>
      <c r="M67" s="8">
        <f t="shared" ref="M67:M122" si="9">F67/D67</f>
        <v>500</v>
      </c>
    </row>
    <row r="68" spans="1:13" x14ac:dyDescent="0.25">
      <c r="A68" s="27" t="s">
        <v>91</v>
      </c>
      <c r="B68" s="26" t="str">
        <f>HYPERLINK("http://www.dmsguild.com/product/182771/DDAL48-The-Broken-One-5e?affiliate_id=759617","The Broken One")</f>
        <v>The Broken One</v>
      </c>
      <c r="C68" s="29">
        <v>2</v>
      </c>
      <c r="D68" s="27">
        <v>2</v>
      </c>
      <c r="E68" s="27" t="s">
        <v>101</v>
      </c>
      <c r="F68" s="27">
        <v>355</v>
      </c>
      <c r="G68" s="9" t="str">
        <f t="shared" si="5"/>
        <v>1312</v>
      </c>
      <c r="H68" s="9" t="str">
        <f t="shared" si="6"/>
        <v>1750</v>
      </c>
      <c r="I68" s="30">
        <v>1312</v>
      </c>
      <c r="J68" s="30">
        <v>1750</v>
      </c>
      <c r="K68" s="8">
        <f t="shared" si="7"/>
        <v>1531</v>
      </c>
      <c r="L68" s="8">
        <f t="shared" si="8"/>
        <v>765.5</v>
      </c>
      <c r="M68" s="8">
        <f t="shared" si="9"/>
        <v>177.5</v>
      </c>
    </row>
    <row r="69" spans="1:13" x14ac:dyDescent="0.25">
      <c r="A69" s="27" t="s">
        <v>92</v>
      </c>
      <c r="B69" s="26" t="str">
        <f>HYPERLINK("http://www.dmsguild.com/product/184342/DDAL0409-The-Tempter-5e?affiliate_id=759617","The Tempter")</f>
        <v>The Tempter</v>
      </c>
      <c r="C69" s="29">
        <v>2</v>
      </c>
      <c r="D69" s="27">
        <v>2</v>
      </c>
      <c r="E69" s="27" t="s">
        <v>102</v>
      </c>
      <c r="F69" s="27">
        <v>6060</v>
      </c>
      <c r="G69" s="9" t="str">
        <f t="shared" si="5"/>
        <v>1310</v>
      </c>
      <c r="H69" s="9" t="str">
        <f t="shared" si="6"/>
        <v>1750</v>
      </c>
      <c r="I69" s="30">
        <v>1310</v>
      </c>
      <c r="J69" s="30">
        <v>1750</v>
      </c>
      <c r="K69" s="8">
        <f t="shared" si="7"/>
        <v>1530</v>
      </c>
      <c r="L69" s="8">
        <f t="shared" si="8"/>
        <v>765</v>
      </c>
      <c r="M69" s="8">
        <f t="shared" si="9"/>
        <v>3030</v>
      </c>
    </row>
    <row r="70" spans="1:13" x14ac:dyDescent="0.25">
      <c r="A70" s="27" t="s">
        <v>93</v>
      </c>
      <c r="B70" s="26" t="str">
        <f>HYPERLINK("http://www.dmsguild.com/product/184341/DDAL0410-The-Artifact-5e?affiliate_id=759617","The Artifact")</f>
        <v>The Artifact</v>
      </c>
      <c r="C70" s="29">
        <v>2</v>
      </c>
      <c r="D70" s="27">
        <v>4</v>
      </c>
      <c r="E70" s="27" t="s">
        <v>43</v>
      </c>
      <c r="F70" s="27">
        <v>2390</v>
      </c>
      <c r="G70" s="9" t="str">
        <f t="shared" si="5"/>
        <v>3000</v>
      </c>
      <c r="H70" s="9" t="str">
        <f t="shared" si="6"/>
        <v>4000</v>
      </c>
      <c r="I70" s="30">
        <v>3000</v>
      </c>
      <c r="J70" s="30">
        <v>4000</v>
      </c>
      <c r="K70" s="8">
        <f t="shared" si="7"/>
        <v>3500</v>
      </c>
      <c r="L70" s="8">
        <f t="shared" si="8"/>
        <v>875</v>
      </c>
      <c r="M70" s="8">
        <f t="shared" si="9"/>
        <v>597.5</v>
      </c>
    </row>
    <row r="71" spans="1:13" x14ac:dyDescent="0.25">
      <c r="A71" s="27" t="s">
        <v>94</v>
      </c>
      <c r="B71" s="26" t="str">
        <f>HYPERLINK("http://www.dmsguild.com/product/184344/DDAL0411-The-Donjon-5e?affiliate_id=759617","The Donjon")</f>
        <v>The Donjon</v>
      </c>
      <c r="C71" s="29">
        <v>2</v>
      </c>
      <c r="D71" s="27">
        <v>4</v>
      </c>
      <c r="E71" s="27" t="s">
        <v>45</v>
      </c>
      <c r="F71" s="27">
        <v>4203</v>
      </c>
      <c r="G71" s="9" t="str">
        <f t="shared" si="5"/>
        <v>3000</v>
      </c>
      <c r="H71" s="9" t="str">
        <f t="shared" si="6"/>
        <v>5000</v>
      </c>
      <c r="I71" s="30">
        <v>3000</v>
      </c>
      <c r="J71" s="30">
        <v>5000</v>
      </c>
      <c r="K71" s="8">
        <f t="shared" si="7"/>
        <v>4000</v>
      </c>
      <c r="L71" s="8">
        <f t="shared" si="8"/>
        <v>1000</v>
      </c>
      <c r="M71" s="8">
        <f t="shared" si="9"/>
        <v>1050.75</v>
      </c>
    </row>
    <row r="72" spans="1:13" x14ac:dyDescent="0.25">
      <c r="A72" s="27" t="s">
        <v>95</v>
      </c>
      <c r="B72" s="26" t="str">
        <f>HYPERLINK("http://www.dmsguild.com/product/186783/DDAL0412-The-Raven-5e?affiliate_id=759617","The Raven")</f>
        <v>The Raven</v>
      </c>
      <c r="C72" s="29">
        <v>2</v>
      </c>
      <c r="D72" s="27">
        <v>2</v>
      </c>
      <c r="E72" s="27" t="s">
        <v>15</v>
      </c>
      <c r="F72" s="27">
        <v>1706</v>
      </c>
      <c r="G72" s="9" t="str">
        <f t="shared" si="5"/>
        <v>1875</v>
      </c>
      <c r="H72" s="9" t="str">
        <f t="shared" si="6"/>
        <v>2500</v>
      </c>
      <c r="I72" s="30">
        <v>1875</v>
      </c>
      <c r="J72" s="30">
        <v>2500</v>
      </c>
      <c r="K72" s="8">
        <f t="shared" si="7"/>
        <v>2187.5</v>
      </c>
      <c r="L72" s="8">
        <f t="shared" si="8"/>
        <v>1093.75</v>
      </c>
      <c r="M72" s="8">
        <f t="shared" si="9"/>
        <v>853</v>
      </c>
    </row>
    <row r="73" spans="1:13" x14ac:dyDescent="0.25">
      <c r="A73" s="27" t="s">
        <v>96</v>
      </c>
      <c r="B73" s="26" t="str">
        <f>HYPERLINK("http://www.dmsguild.com/product/186786/DDAL0413-The-Horseman-5e?affiliate_id=759617","The Horseman")</f>
        <v>The Horseman</v>
      </c>
      <c r="C73" s="29">
        <v>2</v>
      </c>
      <c r="D73" s="27">
        <v>2</v>
      </c>
      <c r="E73" s="27" t="s">
        <v>15</v>
      </c>
      <c r="F73" s="27">
        <v>4350</v>
      </c>
      <c r="G73" s="9" t="str">
        <f t="shared" si="5"/>
        <v>1875</v>
      </c>
      <c r="H73" s="9" t="str">
        <f t="shared" si="6"/>
        <v>2500</v>
      </c>
      <c r="I73" s="30">
        <v>1875</v>
      </c>
      <c r="J73" s="30">
        <v>2500</v>
      </c>
      <c r="K73" s="8">
        <f t="shared" si="7"/>
        <v>2187.5</v>
      </c>
      <c r="L73" s="8">
        <f t="shared" si="8"/>
        <v>1093.75</v>
      </c>
      <c r="M73" s="8">
        <f t="shared" si="9"/>
        <v>2175</v>
      </c>
    </row>
    <row r="74" spans="1:13" x14ac:dyDescent="0.25">
      <c r="A74" s="27" t="s">
        <v>97</v>
      </c>
      <c r="B74" s="26" t="str">
        <f>HYPERLINK("http://www.dmsguild.com/product/186787/DDAL0414-The-Darklord-5e?affiliate_id=759617","The Darklord")</f>
        <v>The Darklord</v>
      </c>
      <c r="C74" s="29">
        <v>2</v>
      </c>
      <c r="D74" s="27">
        <v>4</v>
      </c>
      <c r="E74" s="27" t="s">
        <v>13</v>
      </c>
      <c r="F74" s="27">
        <v>2495</v>
      </c>
      <c r="G74" s="9" t="str">
        <f t="shared" si="5"/>
        <v>4500</v>
      </c>
      <c r="H74" s="9" t="str">
        <f t="shared" si="6"/>
        <v>6000</v>
      </c>
      <c r="I74" s="30">
        <v>4500</v>
      </c>
      <c r="J74" s="30">
        <v>6000</v>
      </c>
      <c r="K74" s="8">
        <f t="shared" si="7"/>
        <v>5250</v>
      </c>
      <c r="L74" s="8">
        <f t="shared" si="8"/>
        <v>1312.5</v>
      </c>
      <c r="M74" s="8">
        <f t="shared" si="9"/>
        <v>623.75</v>
      </c>
    </row>
    <row r="75" spans="1:13" x14ac:dyDescent="0.25">
      <c r="A75" s="27" t="s">
        <v>103</v>
      </c>
      <c r="B75" s="26" t="str">
        <f>HYPERLINK("http://www.dmsguild.com/product/189132/DDAL0501-Treasure-of-the-Broken-Hoard-5e?affiliate_id=759617","Treasures of the Broken Hoard")</f>
        <v>Treasures of the Broken Hoard</v>
      </c>
      <c r="C75" s="29">
        <v>1</v>
      </c>
      <c r="D75" s="33">
        <v>5</v>
      </c>
      <c r="E75" s="32" t="s">
        <v>62</v>
      </c>
      <c r="F75" s="27">
        <v>1000</v>
      </c>
      <c r="G75" s="9" t="str">
        <f t="shared" si="5"/>
        <v>375</v>
      </c>
      <c r="H75" s="9" t="str">
        <f t="shared" si="6"/>
        <v>500</v>
      </c>
      <c r="I75" s="30">
        <v>375</v>
      </c>
      <c r="J75" s="30">
        <v>500</v>
      </c>
      <c r="K75" s="8">
        <f t="shared" si="7"/>
        <v>437.5</v>
      </c>
      <c r="L75" s="8">
        <f t="shared" si="8"/>
        <v>87.5</v>
      </c>
      <c r="M75" s="8">
        <f t="shared" si="9"/>
        <v>200</v>
      </c>
    </row>
    <row r="76" spans="1:13" x14ac:dyDescent="0.25">
      <c r="A76" s="27" t="s">
        <v>104</v>
      </c>
      <c r="B76" s="26" t="str">
        <f>HYPERLINK("http://www.dmsguild.com/product/193201/DDAL0502-The-Black-Road-5e?affiliate_id=759617","The Black Road")</f>
        <v>The Black Road</v>
      </c>
      <c r="C76" s="29">
        <v>1</v>
      </c>
      <c r="D76" s="27">
        <v>2</v>
      </c>
      <c r="E76" s="27" t="s">
        <v>10</v>
      </c>
      <c r="F76" s="27">
        <v>255</v>
      </c>
      <c r="G76" s="9" t="str">
        <f t="shared" si="5"/>
        <v>450</v>
      </c>
      <c r="H76" s="9" t="str">
        <f t="shared" si="6"/>
        <v>600</v>
      </c>
      <c r="I76" s="30">
        <v>450</v>
      </c>
      <c r="J76" s="30">
        <v>600</v>
      </c>
      <c r="K76" s="8">
        <f t="shared" si="7"/>
        <v>525</v>
      </c>
      <c r="L76" s="8">
        <f t="shared" si="8"/>
        <v>262.5</v>
      </c>
      <c r="M76" s="8">
        <f t="shared" si="9"/>
        <v>127.5</v>
      </c>
    </row>
    <row r="77" spans="1:13" x14ac:dyDescent="0.25">
      <c r="A77" s="27" t="s">
        <v>105</v>
      </c>
      <c r="B77" s="26" t="str">
        <f>HYPERLINK("http://www.dmsguild.com/product/193202/DDAL0503-Uninvited-Guests-5e?affiliate_id=759617","Uninvited Guests")</f>
        <v>Uninvited Guests</v>
      </c>
      <c r="C77" s="29">
        <v>1</v>
      </c>
      <c r="D77" s="27">
        <v>2</v>
      </c>
      <c r="E77" s="27" t="s">
        <v>10</v>
      </c>
      <c r="F77" s="27">
        <v>500</v>
      </c>
      <c r="G77" s="9" t="str">
        <f t="shared" si="5"/>
        <v>450</v>
      </c>
      <c r="H77" s="9" t="str">
        <f t="shared" si="6"/>
        <v>600</v>
      </c>
      <c r="I77" s="30">
        <v>450</v>
      </c>
      <c r="J77" s="30">
        <v>600</v>
      </c>
      <c r="K77" s="8">
        <f t="shared" si="7"/>
        <v>525</v>
      </c>
      <c r="L77" s="8">
        <f t="shared" si="8"/>
        <v>262.5</v>
      </c>
      <c r="M77" s="8">
        <f t="shared" si="9"/>
        <v>250</v>
      </c>
    </row>
    <row r="78" spans="1:13" x14ac:dyDescent="0.25">
      <c r="A78" s="27" t="s">
        <v>106</v>
      </c>
      <c r="B78" s="26" t="str">
        <f>HYPERLINK("http://www.dmsguild.com/product/195810/DDAL0504-In-Dire-Need-5e?affiliate_id=759617","In Dire Need")</f>
        <v>In Dire Need</v>
      </c>
      <c r="C78" s="29">
        <v>2</v>
      </c>
      <c r="D78" s="27">
        <v>2</v>
      </c>
      <c r="E78" s="27" t="s">
        <v>122</v>
      </c>
      <c r="F78" s="27">
        <v>1600</v>
      </c>
      <c r="G78" s="9" t="str">
        <f t="shared" si="5"/>
        <v>1875</v>
      </c>
      <c r="H78" s="9" t="str">
        <f t="shared" si="6"/>
        <v>3125</v>
      </c>
      <c r="I78" s="30">
        <v>1875</v>
      </c>
      <c r="J78" s="30">
        <v>3125</v>
      </c>
      <c r="K78" s="8">
        <f t="shared" si="7"/>
        <v>2500</v>
      </c>
      <c r="L78" s="8">
        <f t="shared" si="8"/>
        <v>1250</v>
      </c>
      <c r="M78" s="8">
        <f t="shared" si="9"/>
        <v>800</v>
      </c>
    </row>
    <row r="79" spans="1:13" x14ac:dyDescent="0.25">
      <c r="A79" s="27" t="s">
        <v>107</v>
      </c>
      <c r="B79" s="26" t="str">
        <f>HYPERLINK("http://www.dmsguild.com/product/195811/DDAL0505-A-Dish-Best-Served-Cold-5e?affiliate_id=759617","A Dish Best Served Cold")</f>
        <v>A Dish Best Served Cold</v>
      </c>
      <c r="C79" s="29">
        <v>2</v>
      </c>
      <c r="D79" s="27">
        <v>2</v>
      </c>
      <c r="E79" s="27" t="s">
        <v>83</v>
      </c>
      <c r="F79" s="27">
        <v>1400</v>
      </c>
      <c r="G79" s="9" t="str">
        <f t="shared" si="5"/>
        <v>2250</v>
      </c>
      <c r="H79" s="9" t="str">
        <f t="shared" si="6"/>
        <v>3000</v>
      </c>
      <c r="I79" s="30">
        <v>2250</v>
      </c>
      <c r="J79" s="30">
        <v>3000</v>
      </c>
      <c r="K79" s="8">
        <f t="shared" si="7"/>
        <v>2625</v>
      </c>
      <c r="L79" s="8">
        <f t="shared" si="8"/>
        <v>1312.5</v>
      </c>
      <c r="M79" s="8">
        <f t="shared" si="9"/>
        <v>700</v>
      </c>
    </row>
    <row r="80" spans="1:13" x14ac:dyDescent="0.25">
      <c r="A80" s="27" t="s">
        <v>108</v>
      </c>
      <c r="B80" s="26" t="str">
        <f>HYPERLINK("http://www.dmsguild.com/product/197743/DDAL0506-Beneath-the-Fetid-Chelimber-5e?affiliate_id=759617","Beneath the Fetid Chelimber")</f>
        <v>Beneath the Fetid Chelimber</v>
      </c>
      <c r="C80" s="29">
        <v>1</v>
      </c>
      <c r="D80" s="27">
        <v>2</v>
      </c>
      <c r="E80" s="27" t="s">
        <v>123</v>
      </c>
      <c r="F80" s="27">
        <v>400</v>
      </c>
      <c r="G80" s="9" t="str">
        <f t="shared" si="5"/>
        <v>450</v>
      </c>
      <c r="H80" s="9" t="str">
        <f t="shared" si="6"/>
        <v>740</v>
      </c>
      <c r="I80" s="30">
        <v>450</v>
      </c>
      <c r="J80" s="30">
        <v>740</v>
      </c>
      <c r="K80" s="8">
        <f t="shared" si="7"/>
        <v>595</v>
      </c>
      <c r="L80" s="8">
        <f t="shared" si="8"/>
        <v>297.5</v>
      </c>
      <c r="M80" s="8">
        <f t="shared" si="9"/>
        <v>200</v>
      </c>
    </row>
    <row r="81" spans="1:13" x14ac:dyDescent="0.25">
      <c r="A81" s="27" t="s">
        <v>109</v>
      </c>
      <c r="B81" s="26" t="str">
        <f>HYPERLINK("http://www.dmsguild.com/product/197746/DDAL0507-Chelimbers-Descent-5e?affiliate_id=759617","Chelimber's Descent")</f>
        <v>Chelimber's Descent</v>
      </c>
      <c r="C81" s="29">
        <v>1</v>
      </c>
      <c r="D81" s="27">
        <v>2</v>
      </c>
      <c r="E81" s="27" t="s">
        <v>124</v>
      </c>
      <c r="F81" s="27">
        <v>430</v>
      </c>
      <c r="G81" s="9" t="str">
        <f t="shared" si="5"/>
        <v xml:space="preserve"> 450</v>
      </c>
      <c r="H81" s="9" t="str">
        <f t="shared" si="6"/>
        <v>600</v>
      </c>
      <c r="I81" s="30">
        <v>450</v>
      </c>
      <c r="J81" s="30">
        <v>600</v>
      </c>
      <c r="K81" s="8">
        <f t="shared" si="7"/>
        <v>525</v>
      </c>
      <c r="L81" s="8">
        <f t="shared" si="8"/>
        <v>262.5</v>
      </c>
      <c r="M81" s="8">
        <f t="shared" si="9"/>
        <v>215</v>
      </c>
    </row>
    <row r="82" spans="1:13" x14ac:dyDescent="0.25">
      <c r="A82" s="27" t="s">
        <v>110</v>
      </c>
      <c r="B82" s="26" t="str">
        <f>HYPERLINK("http://www.dmsguild.com/product/199490/DDAL0508-Durlags-Tower-5e?affiliate_id=759617","Durlag's Tower")</f>
        <v>Durlag's Tower</v>
      </c>
      <c r="C82" s="29">
        <v>3</v>
      </c>
      <c r="D82" s="27">
        <v>4</v>
      </c>
      <c r="E82" s="27" t="s">
        <v>125</v>
      </c>
      <c r="F82" s="27">
        <v>6250</v>
      </c>
      <c r="G82" s="9" t="str">
        <f t="shared" si="5"/>
        <v>10300</v>
      </c>
      <c r="H82" s="9" t="str">
        <f t="shared" si="6"/>
        <v>13800</v>
      </c>
      <c r="I82" s="30">
        <v>10300</v>
      </c>
      <c r="J82" s="30">
        <v>13800</v>
      </c>
      <c r="K82" s="8">
        <f t="shared" si="7"/>
        <v>12050</v>
      </c>
      <c r="L82" s="8">
        <f t="shared" si="8"/>
        <v>3012.5</v>
      </c>
      <c r="M82" s="8">
        <f t="shared" si="9"/>
        <v>1562.5</v>
      </c>
    </row>
    <row r="83" spans="1:13" x14ac:dyDescent="0.25">
      <c r="A83" s="27" t="s">
        <v>111</v>
      </c>
      <c r="B83" s="26" t="str">
        <f>HYPERLINK("http://www.dmsguild.com/product/199491/DDAL0509-Durlags-Tomb-5e?affiliate_id=759617","Durlag's Tomb")</f>
        <v>Durlag's Tomb</v>
      </c>
      <c r="C83" s="29">
        <v>3</v>
      </c>
      <c r="D83" s="27">
        <v>4</v>
      </c>
      <c r="E83" s="27" t="s">
        <v>126</v>
      </c>
      <c r="F83" s="27">
        <v>6750</v>
      </c>
      <c r="G83" s="9" t="str">
        <f t="shared" si="5"/>
        <v>10125</v>
      </c>
      <c r="H83" s="9" t="str">
        <f t="shared" si="6"/>
        <v>13290</v>
      </c>
      <c r="I83" s="30">
        <v>10125</v>
      </c>
      <c r="J83" s="30">
        <v>13290</v>
      </c>
      <c r="K83" s="8">
        <f t="shared" si="7"/>
        <v>11707.5</v>
      </c>
      <c r="L83" s="8">
        <f t="shared" si="8"/>
        <v>2926.875</v>
      </c>
      <c r="M83" s="8">
        <f t="shared" si="9"/>
        <v>1687.5</v>
      </c>
    </row>
    <row r="84" spans="1:13" x14ac:dyDescent="0.25">
      <c r="A84" s="27" t="s">
        <v>112</v>
      </c>
      <c r="B84" s="26" t="str">
        <f>HYPERLINK("http://www.dmsguild.com/product/199492/DDAL0510-Giant-Diplomacy-5e?affiliate_id=759617","Giant Diplomacy")</f>
        <v>Giant Diplomacy</v>
      </c>
      <c r="C84" s="29">
        <v>1</v>
      </c>
      <c r="D84" s="27">
        <v>2</v>
      </c>
      <c r="E84" s="27" t="s">
        <v>127</v>
      </c>
      <c r="F84" s="27">
        <v>270</v>
      </c>
      <c r="G84" s="9" t="str">
        <f t="shared" si="5"/>
        <v>1275</v>
      </c>
      <c r="H84" s="9" t="str">
        <f t="shared" si="6"/>
        <v>1700</v>
      </c>
      <c r="I84" s="30">
        <v>1275</v>
      </c>
      <c r="J84" s="30">
        <v>1700</v>
      </c>
      <c r="K84" s="8">
        <f t="shared" si="7"/>
        <v>1487.5</v>
      </c>
      <c r="L84" s="8">
        <f t="shared" si="8"/>
        <v>743.75</v>
      </c>
      <c r="M84" s="8">
        <f t="shared" si="9"/>
        <v>135</v>
      </c>
    </row>
    <row r="85" spans="1:13" x14ac:dyDescent="0.25">
      <c r="A85" s="27" t="s">
        <v>113</v>
      </c>
      <c r="B85" s="26" t="str">
        <f>HYPERLINK("http://www.dmsguild.com/product/199495/DDAL0511-Forgotten-Traditions-5e?affiliate_id=759617","Forgotten Traditions")</f>
        <v>Forgotten Traditions</v>
      </c>
      <c r="C85" s="29">
        <v>2</v>
      </c>
      <c r="D85" s="27">
        <v>4</v>
      </c>
      <c r="E85" s="27" t="s">
        <v>128</v>
      </c>
      <c r="F85" s="27">
        <v>3200</v>
      </c>
      <c r="G85" s="9" t="str">
        <f t="shared" si="5"/>
        <v>3750</v>
      </c>
      <c r="H85" s="9" t="str">
        <f t="shared" si="6"/>
        <v>5000</v>
      </c>
      <c r="I85" s="30">
        <v>3750</v>
      </c>
      <c r="J85" s="30">
        <v>5000</v>
      </c>
      <c r="K85" s="8">
        <f t="shared" si="7"/>
        <v>4375</v>
      </c>
      <c r="L85" s="8">
        <f t="shared" si="8"/>
        <v>1093.75</v>
      </c>
      <c r="M85" s="8">
        <f t="shared" si="9"/>
        <v>800</v>
      </c>
    </row>
    <row r="86" spans="1:13" x14ac:dyDescent="0.25">
      <c r="A86" s="27" t="s">
        <v>114</v>
      </c>
      <c r="B86" s="26" t="str">
        <f>HYPERLINK("http://www.dmsguild.com/product/202446/DDAL0512-Bad-Business-in-Parnast-5e?affiliate_id=759617","Bad Business in Parnast")</f>
        <v>Bad Business in Parnast</v>
      </c>
      <c r="C86" s="29">
        <v>1</v>
      </c>
      <c r="D86" s="27">
        <v>2</v>
      </c>
      <c r="E86" s="27" t="s">
        <v>129</v>
      </c>
      <c r="F86" s="27">
        <v>940</v>
      </c>
      <c r="G86" s="9" t="str">
        <f t="shared" si="5"/>
        <v>640</v>
      </c>
      <c r="H86" s="9" t="str">
        <f t="shared" si="6"/>
        <v>850</v>
      </c>
      <c r="I86" s="30">
        <v>640</v>
      </c>
      <c r="J86" s="30">
        <v>850</v>
      </c>
      <c r="K86" s="8">
        <f t="shared" si="7"/>
        <v>745</v>
      </c>
      <c r="L86" s="8">
        <f t="shared" si="8"/>
        <v>372.5</v>
      </c>
      <c r="M86" s="8">
        <f t="shared" si="9"/>
        <v>470</v>
      </c>
    </row>
    <row r="87" spans="1:13" x14ac:dyDescent="0.25">
      <c r="A87" s="27" t="s">
        <v>115</v>
      </c>
      <c r="B87" s="26" t="str">
        <f>HYPERLINK("http://www.dmsguild.com/product/202448/DDAL0513-Jarl-Rising-5e?affiliate_id=759617","Jarl Rising")</f>
        <v>Jarl Rising</v>
      </c>
      <c r="C87" s="29">
        <v>2</v>
      </c>
      <c r="D87" s="27">
        <v>4</v>
      </c>
      <c r="E87" s="27" t="s">
        <v>6</v>
      </c>
      <c r="F87" s="27">
        <v>3500</v>
      </c>
      <c r="G87" s="9" t="str">
        <f t="shared" si="5"/>
        <v>6750</v>
      </c>
      <c r="H87" s="9" t="str">
        <f t="shared" si="6"/>
        <v>9000</v>
      </c>
      <c r="I87" s="30">
        <v>6750</v>
      </c>
      <c r="J87" s="30">
        <v>9000</v>
      </c>
      <c r="K87" s="8">
        <f t="shared" si="7"/>
        <v>7875</v>
      </c>
      <c r="L87" s="8">
        <f t="shared" si="8"/>
        <v>1968.75</v>
      </c>
      <c r="M87" s="8">
        <f t="shared" si="9"/>
        <v>875</v>
      </c>
    </row>
    <row r="88" spans="1:13" x14ac:dyDescent="0.25">
      <c r="A88" s="27" t="s">
        <v>116</v>
      </c>
      <c r="B88" s="26" t="str">
        <f>HYPERLINK("http://www.dmsguild.com/product/202449/DDAL0514-Reeducation-5e?affiliate_id=759617","Reeducation")</f>
        <v>Reeducation</v>
      </c>
      <c r="C88" s="29">
        <v>3</v>
      </c>
      <c r="D88" s="27">
        <v>4</v>
      </c>
      <c r="E88" s="27" t="s">
        <v>130</v>
      </c>
      <c r="F88" s="27">
        <v>8300</v>
      </c>
      <c r="G88" s="9" t="str">
        <f t="shared" si="5"/>
        <v>11250</v>
      </c>
      <c r="H88" s="9" t="str">
        <f t="shared" si="6"/>
        <v>15000</v>
      </c>
      <c r="I88" s="30">
        <v>11250</v>
      </c>
      <c r="J88" s="30">
        <v>15000</v>
      </c>
      <c r="K88" s="8">
        <f t="shared" si="7"/>
        <v>13125</v>
      </c>
      <c r="L88" s="8">
        <f t="shared" si="8"/>
        <v>3281.25</v>
      </c>
      <c r="M88" s="8">
        <f t="shared" si="9"/>
        <v>2075</v>
      </c>
    </row>
    <row r="89" spans="1:13" x14ac:dyDescent="0.25">
      <c r="A89" s="27" t="s">
        <v>117</v>
      </c>
      <c r="B89" s="26" t="str">
        <f>HYPERLINK("http://www.dmsguild.com/product/202450/DDAL0515-Reclamation-5e?affiliate_id=759617","Reclamation")</f>
        <v>Reclamation</v>
      </c>
      <c r="C89" s="29">
        <v>3</v>
      </c>
      <c r="D89" s="27">
        <v>4</v>
      </c>
      <c r="E89" s="27" t="s">
        <v>130</v>
      </c>
      <c r="F89" s="27">
        <v>5000</v>
      </c>
      <c r="G89" s="9" t="str">
        <f t="shared" si="5"/>
        <v>11250</v>
      </c>
      <c r="H89" s="9" t="str">
        <f t="shared" si="6"/>
        <v>15000</v>
      </c>
      <c r="I89" s="30">
        <v>11250</v>
      </c>
      <c r="J89" s="30">
        <v>15000</v>
      </c>
      <c r="K89" s="8">
        <f t="shared" si="7"/>
        <v>13125</v>
      </c>
      <c r="L89" s="8">
        <f t="shared" si="8"/>
        <v>3281.25</v>
      </c>
      <c r="M89" s="8">
        <f t="shared" si="9"/>
        <v>1250</v>
      </c>
    </row>
    <row r="90" spans="1:13" x14ac:dyDescent="0.25">
      <c r="A90" s="27" t="s">
        <v>118</v>
      </c>
      <c r="B90" s="26" t="str">
        <f>HYPERLINK("http://www.dmsguild.com/product/204801/DDAL0516-Parnast-Under-Siege-5e?affiliate_id=759617","Parnast Under Siege")</f>
        <v>Parnast Under Siege</v>
      </c>
      <c r="C90" s="29">
        <v>1</v>
      </c>
      <c r="D90" s="27">
        <v>4</v>
      </c>
      <c r="E90" s="27" t="s">
        <v>127</v>
      </c>
      <c r="F90" s="27">
        <v>1450</v>
      </c>
      <c r="G90" s="9" t="str">
        <f t="shared" si="5"/>
        <v>1275</v>
      </c>
      <c r="H90" s="9" t="str">
        <f t="shared" si="6"/>
        <v>1700</v>
      </c>
      <c r="I90" s="30">
        <v>1275</v>
      </c>
      <c r="J90" s="30">
        <v>1700</v>
      </c>
      <c r="K90" s="8">
        <f t="shared" si="7"/>
        <v>1487.5</v>
      </c>
      <c r="L90" s="8">
        <f t="shared" si="8"/>
        <v>371.875</v>
      </c>
      <c r="M90" s="8">
        <f t="shared" si="9"/>
        <v>362.5</v>
      </c>
    </row>
    <row r="91" spans="1:13" x14ac:dyDescent="0.25">
      <c r="A91" s="27" t="s">
        <v>119</v>
      </c>
      <c r="B91" s="26" t="str">
        <f>HYPERLINK("http://www.dmsguild.com/product/206285/DDAL0517-Hartkillers-Horn-5e?affiliate_id=759617","Hartkiller's Horn")</f>
        <v>Hartkiller's Horn</v>
      </c>
      <c r="C91" s="29">
        <v>2</v>
      </c>
      <c r="D91" s="27">
        <v>4</v>
      </c>
      <c r="E91" s="27" t="s">
        <v>13</v>
      </c>
      <c r="F91" s="27">
        <v>1200</v>
      </c>
      <c r="G91" s="9" t="str">
        <f t="shared" si="5"/>
        <v>4500</v>
      </c>
      <c r="H91" s="9" t="str">
        <f t="shared" si="6"/>
        <v>6000</v>
      </c>
      <c r="I91" s="30">
        <v>4500</v>
      </c>
      <c r="J91" s="30">
        <v>6000</v>
      </c>
      <c r="K91" s="8">
        <f t="shared" si="7"/>
        <v>5250</v>
      </c>
      <c r="L91" s="8">
        <f t="shared" si="8"/>
        <v>1312.5</v>
      </c>
      <c r="M91" s="8">
        <f t="shared" si="9"/>
        <v>300</v>
      </c>
    </row>
    <row r="92" spans="1:13" x14ac:dyDescent="0.25">
      <c r="A92" s="27" t="s">
        <v>120</v>
      </c>
      <c r="B92" s="26" t="str">
        <f>HYPERLINK("http://www.dmsguild.com/product/204803/DDAL0518-The-Mysterious-Isle-5e?affiliate_id=759617","The Mysterious Isle")</f>
        <v>The Mysterious Isle</v>
      </c>
      <c r="C92" s="29">
        <v>4</v>
      </c>
      <c r="D92" s="27">
        <v>4</v>
      </c>
      <c r="E92" s="27" t="s">
        <v>131</v>
      </c>
      <c r="F92" s="27">
        <v>100000</v>
      </c>
      <c r="G92" s="9" t="str">
        <f t="shared" si="5"/>
        <v>18750</v>
      </c>
      <c r="H92" s="9" t="str">
        <f t="shared" si="6"/>
        <v>25000</v>
      </c>
      <c r="I92" s="30">
        <v>18750</v>
      </c>
      <c r="J92" s="30">
        <v>25000</v>
      </c>
      <c r="K92" s="8">
        <f t="shared" si="7"/>
        <v>21875</v>
      </c>
      <c r="L92" s="8">
        <f t="shared" si="8"/>
        <v>5468.75</v>
      </c>
      <c r="M92" s="8">
        <f t="shared" si="9"/>
        <v>25000</v>
      </c>
    </row>
    <row r="93" spans="1:13" x14ac:dyDescent="0.25">
      <c r="A93" s="27" t="s">
        <v>121</v>
      </c>
      <c r="B93" s="26" t="str">
        <f>HYPERLINK("http://www.dmsguild.com/product/204805/DDAL0519-Eye-of-Xxiphu-5e?affiliate_id=759617","Eye of Xxiphu")</f>
        <v>Eye of Xxiphu</v>
      </c>
      <c r="C93" s="29">
        <v>4</v>
      </c>
      <c r="D93" s="27">
        <v>4</v>
      </c>
      <c r="E93" s="27" t="s">
        <v>131</v>
      </c>
      <c r="F93" s="27">
        <v>200000</v>
      </c>
      <c r="G93" s="9" t="str">
        <f t="shared" si="5"/>
        <v>18750</v>
      </c>
      <c r="H93" s="9" t="str">
        <f t="shared" si="6"/>
        <v>25000</v>
      </c>
      <c r="I93" s="30">
        <v>18750</v>
      </c>
      <c r="J93" s="30">
        <v>25000</v>
      </c>
      <c r="K93" s="8">
        <f t="shared" si="7"/>
        <v>21875</v>
      </c>
      <c r="L93" s="8">
        <f t="shared" si="8"/>
        <v>5468.75</v>
      </c>
      <c r="M93" s="8">
        <f t="shared" si="9"/>
        <v>50000</v>
      </c>
    </row>
    <row r="94" spans="1:13" x14ac:dyDescent="0.25">
      <c r="A94" s="34" t="s">
        <v>132</v>
      </c>
      <c r="B94" s="26" t="str">
        <f>HYPERLINK("http://www.dmsguild.com/product/209228/DDAL0601-A-Thousand-Tiny-Deaths-5e?affiliate_id=759617","A Thousand Tiny Deaths")</f>
        <v>A Thousand Tiny Deaths</v>
      </c>
      <c r="C94" s="29">
        <v>1</v>
      </c>
      <c r="D94" s="27">
        <v>2</v>
      </c>
      <c r="E94" s="27" t="s">
        <v>10</v>
      </c>
      <c r="F94" s="27">
        <v>359</v>
      </c>
      <c r="G94" s="9" t="str">
        <f t="shared" si="5"/>
        <v>450</v>
      </c>
      <c r="H94" s="9" t="str">
        <f t="shared" si="6"/>
        <v>600</v>
      </c>
      <c r="I94" s="30">
        <v>450</v>
      </c>
      <c r="J94" s="30">
        <v>600</v>
      </c>
      <c r="K94" s="8">
        <f t="shared" si="7"/>
        <v>525</v>
      </c>
      <c r="L94" s="8">
        <f t="shared" si="8"/>
        <v>262.5</v>
      </c>
      <c r="M94" s="8">
        <f t="shared" si="9"/>
        <v>179.5</v>
      </c>
    </row>
    <row r="95" spans="1:13" x14ac:dyDescent="0.25">
      <c r="A95" s="27" t="s">
        <v>133</v>
      </c>
      <c r="B95" s="24" t="str">
        <f>HYPERLINK("http://www.dmsguild.com/product/211249/DDAL0602-The-Redemption-of-Kelvan-5e?affiliate_id=759617","The Redemption of Kelvan")</f>
        <v>The Redemption of Kelvan</v>
      </c>
      <c r="C95" s="29">
        <v>2</v>
      </c>
      <c r="D95" s="27">
        <v>2</v>
      </c>
      <c r="E95" s="27" t="s">
        <v>13</v>
      </c>
      <c r="F95" s="27">
        <v>1457</v>
      </c>
      <c r="G95" s="9" t="str">
        <f t="shared" si="5"/>
        <v>4500</v>
      </c>
      <c r="H95" s="9" t="str">
        <f t="shared" si="6"/>
        <v>6000</v>
      </c>
      <c r="I95" s="30">
        <v>4500</v>
      </c>
      <c r="J95" s="30">
        <v>6000</v>
      </c>
      <c r="K95" s="8">
        <f t="shared" si="7"/>
        <v>5250</v>
      </c>
      <c r="L95" s="8">
        <f t="shared" si="8"/>
        <v>2625</v>
      </c>
      <c r="M95" s="8">
        <f t="shared" si="9"/>
        <v>728.5</v>
      </c>
    </row>
    <row r="96" spans="1:13" x14ac:dyDescent="0.25">
      <c r="A96" s="27" t="s">
        <v>134</v>
      </c>
      <c r="B96" s="26" t="str">
        <f>HYPERLINK("http://www.dmsguild.com/product/213029/DDAL0603-Crypt-of-the-Death-Giants-5e?affiliate_id=759617","Crypt of the Death Giants")</f>
        <v>Crypt of the Death Giants</v>
      </c>
      <c r="C96" s="29">
        <v>4</v>
      </c>
      <c r="D96" s="27">
        <v>2</v>
      </c>
      <c r="E96" s="27" t="s">
        <v>136</v>
      </c>
      <c r="F96" s="27">
        <v>15500</v>
      </c>
      <c r="G96" s="9" t="str">
        <f t="shared" si="5"/>
        <v>10125</v>
      </c>
      <c r="H96" s="9" t="str">
        <f t="shared" si="6"/>
        <v>16875</v>
      </c>
      <c r="I96" s="30">
        <v>10125</v>
      </c>
      <c r="J96" s="30">
        <v>16875</v>
      </c>
      <c r="K96" s="8">
        <f t="shared" si="7"/>
        <v>13500</v>
      </c>
      <c r="L96" s="8">
        <f t="shared" si="8"/>
        <v>6750</v>
      </c>
      <c r="M96" s="8">
        <f t="shared" si="9"/>
        <v>7750</v>
      </c>
    </row>
    <row r="97" spans="1:13" x14ac:dyDescent="0.25">
      <c r="A97" s="44" t="s">
        <v>137</v>
      </c>
      <c r="B97" s="43" t="str">
        <f>HYPERLINK("http://www.dmsguild.com/product/214058/DDAL0701-A-City-on-the-Edge-5e?affiliate_id=759617","A City on the Edge (5 parts) ")</f>
        <v xml:space="preserve">A City on the Edge (5 parts) </v>
      </c>
      <c r="C97" s="39">
        <v>1</v>
      </c>
      <c r="D97" s="27">
        <v>1</v>
      </c>
      <c r="E97" s="27" t="s">
        <v>41</v>
      </c>
      <c r="F97" s="27">
        <v>100</v>
      </c>
      <c r="G97" s="9" t="str">
        <f t="shared" si="5"/>
        <v>75</v>
      </c>
      <c r="H97" s="9" t="str">
        <f t="shared" si="6"/>
        <v>100</v>
      </c>
      <c r="I97" s="30">
        <v>75</v>
      </c>
      <c r="J97" s="30">
        <v>100</v>
      </c>
      <c r="K97" s="8">
        <f t="shared" si="7"/>
        <v>87.5</v>
      </c>
      <c r="L97" s="8">
        <f t="shared" si="8"/>
        <v>87.5</v>
      </c>
      <c r="M97" s="8">
        <f t="shared" si="9"/>
        <v>100</v>
      </c>
    </row>
    <row r="98" spans="1:13" x14ac:dyDescent="0.25">
      <c r="A98" s="42"/>
      <c r="B98" s="42"/>
      <c r="C98" s="40"/>
      <c r="D98" s="27">
        <v>1</v>
      </c>
      <c r="E98" s="27" t="s">
        <v>41</v>
      </c>
      <c r="F98" s="27">
        <v>110</v>
      </c>
      <c r="G98" s="9" t="str">
        <f t="shared" si="5"/>
        <v>75</v>
      </c>
      <c r="H98" s="9" t="str">
        <f t="shared" si="6"/>
        <v>100</v>
      </c>
      <c r="I98" s="30">
        <v>75</v>
      </c>
      <c r="J98" s="30">
        <v>100</v>
      </c>
      <c r="K98" s="8">
        <f t="shared" si="7"/>
        <v>87.5</v>
      </c>
      <c r="L98" s="8">
        <f t="shared" si="8"/>
        <v>87.5</v>
      </c>
      <c r="M98" s="8">
        <f t="shared" si="9"/>
        <v>110</v>
      </c>
    </row>
    <row r="99" spans="1:13" x14ac:dyDescent="0.25">
      <c r="A99" s="42"/>
      <c r="B99" s="42"/>
      <c r="C99" s="40"/>
      <c r="D99" s="27">
        <v>1</v>
      </c>
      <c r="E99" s="27" t="s">
        <v>41</v>
      </c>
      <c r="F99" s="27">
        <v>90</v>
      </c>
      <c r="G99" s="9" t="str">
        <f t="shared" si="5"/>
        <v>75</v>
      </c>
      <c r="H99" s="9" t="str">
        <f t="shared" si="6"/>
        <v>100</v>
      </c>
      <c r="I99" s="30">
        <v>75</v>
      </c>
      <c r="J99" s="30">
        <v>100</v>
      </c>
      <c r="K99" s="8">
        <f t="shared" si="7"/>
        <v>87.5</v>
      </c>
      <c r="L99" s="8">
        <f t="shared" si="8"/>
        <v>87.5</v>
      </c>
      <c r="M99" s="8">
        <f t="shared" si="9"/>
        <v>90</v>
      </c>
    </row>
    <row r="100" spans="1:13" x14ac:dyDescent="0.25">
      <c r="A100" s="42"/>
      <c r="B100" s="42"/>
      <c r="C100" s="40"/>
      <c r="D100" s="27">
        <v>1</v>
      </c>
      <c r="E100" s="27" t="s">
        <v>41</v>
      </c>
      <c r="F100" s="27">
        <v>100</v>
      </c>
      <c r="G100" s="9" t="str">
        <f t="shared" si="5"/>
        <v>75</v>
      </c>
      <c r="H100" s="9" t="str">
        <f t="shared" si="6"/>
        <v>100</v>
      </c>
      <c r="I100" s="30">
        <v>75</v>
      </c>
      <c r="J100" s="30">
        <v>100</v>
      </c>
      <c r="K100" s="8">
        <f t="shared" si="7"/>
        <v>87.5</v>
      </c>
      <c r="L100" s="8">
        <f t="shared" si="8"/>
        <v>87.5</v>
      </c>
      <c r="M100" s="8">
        <f t="shared" si="9"/>
        <v>100</v>
      </c>
    </row>
    <row r="101" spans="1:13" x14ac:dyDescent="0.25">
      <c r="A101" s="42"/>
      <c r="B101" s="42"/>
      <c r="C101" s="40"/>
      <c r="D101" s="27">
        <v>1</v>
      </c>
      <c r="E101" s="27" t="s">
        <v>41</v>
      </c>
      <c r="F101" s="27">
        <v>150</v>
      </c>
      <c r="G101" s="9" t="str">
        <f t="shared" si="5"/>
        <v>75</v>
      </c>
      <c r="H101" s="9" t="str">
        <f t="shared" si="6"/>
        <v>100</v>
      </c>
      <c r="I101" s="30">
        <v>75</v>
      </c>
      <c r="J101" s="30">
        <v>100</v>
      </c>
      <c r="K101" s="8">
        <f t="shared" si="7"/>
        <v>87.5</v>
      </c>
      <c r="L101" s="8">
        <f t="shared" si="8"/>
        <v>87.5</v>
      </c>
      <c r="M101" s="8">
        <f t="shared" si="9"/>
        <v>150</v>
      </c>
    </row>
    <row r="102" spans="1:13" x14ac:dyDescent="0.25">
      <c r="A102" s="41" t="s">
        <v>138</v>
      </c>
      <c r="B102" s="43" t="str">
        <f>HYPERLINK("http://www.dmsguild.com/product/215579/DDAL0702-Over-the-Edge-5e?affiliate_id=759617","Over the Edge (5 parts)")</f>
        <v>Over the Edge (5 parts)</v>
      </c>
      <c r="C102" s="39">
        <v>2</v>
      </c>
      <c r="D102" s="27">
        <v>1</v>
      </c>
      <c r="E102" s="27" t="s">
        <v>155</v>
      </c>
      <c r="F102" s="27">
        <v>4100</v>
      </c>
      <c r="G102" s="9" t="str">
        <f t="shared" si="5"/>
        <v>750</v>
      </c>
      <c r="H102" s="9" t="str">
        <f t="shared" si="6"/>
        <v>1000</v>
      </c>
      <c r="I102" s="30">
        <v>750</v>
      </c>
      <c r="J102" s="30">
        <v>1000</v>
      </c>
      <c r="K102" s="8">
        <f t="shared" si="7"/>
        <v>875</v>
      </c>
      <c r="L102" s="8">
        <f t="shared" si="8"/>
        <v>875</v>
      </c>
      <c r="M102" s="8">
        <f t="shared" si="9"/>
        <v>4100</v>
      </c>
    </row>
    <row r="103" spans="1:13" x14ac:dyDescent="0.25">
      <c r="A103" s="42"/>
      <c r="B103" s="42"/>
      <c r="C103" s="40"/>
      <c r="D103" s="27">
        <v>1</v>
      </c>
      <c r="E103" s="27" t="s">
        <v>155</v>
      </c>
      <c r="F103" s="27">
        <v>2100</v>
      </c>
      <c r="G103" s="9" t="str">
        <f t="shared" si="5"/>
        <v>750</v>
      </c>
      <c r="H103" s="9" t="str">
        <f t="shared" si="6"/>
        <v>1000</v>
      </c>
      <c r="I103" s="30">
        <v>750</v>
      </c>
      <c r="J103" s="30">
        <v>1000</v>
      </c>
      <c r="K103" s="8">
        <f t="shared" si="7"/>
        <v>875</v>
      </c>
      <c r="L103" s="8">
        <f t="shared" si="8"/>
        <v>875</v>
      </c>
      <c r="M103" s="8">
        <f t="shared" si="9"/>
        <v>2100</v>
      </c>
    </row>
    <row r="104" spans="1:13" x14ac:dyDescent="0.25">
      <c r="A104" s="42"/>
      <c r="B104" s="42"/>
      <c r="C104" s="40"/>
      <c r="D104" s="27">
        <v>1</v>
      </c>
      <c r="E104" s="27" t="s">
        <v>155</v>
      </c>
      <c r="F104" s="27">
        <v>2600</v>
      </c>
      <c r="G104" s="9" t="str">
        <f t="shared" si="5"/>
        <v>750</v>
      </c>
      <c r="H104" s="9" t="str">
        <f t="shared" si="6"/>
        <v>1000</v>
      </c>
      <c r="I104" s="30">
        <v>750</v>
      </c>
      <c r="J104" s="30">
        <v>1000</v>
      </c>
      <c r="K104" s="8">
        <f t="shared" si="7"/>
        <v>875</v>
      </c>
      <c r="L104" s="8">
        <f t="shared" si="8"/>
        <v>875</v>
      </c>
      <c r="M104" s="8">
        <f t="shared" si="9"/>
        <v>2600</v>
      </c>
    </row>
    <row r="105" spans="1:13" x14ac:dyDescent="0.25">
      <c r="A105" s="42"/>
      <c r="B105" s="42"/>
      <c r="C105" s="40"/>
      <c r="D105" s="27">
        <v>1</v>
      </c>
      <c r="E105" s="27" t="s">
        <v>155</v>
      </c>
      <c r="F105" s="27">
        <v>3600</v>
      </c>
      <c r="G105" s="9" t="str">
        <f t="shared" si="5"/>
        <v>750</v>
      </c>
      <c r="H105" s="9" t="str">
        <f t="shared" si="6"/>
        <v>1000</v>
      </c>
      <c r="I105" s="30">
        <v>750</v>
      </c>
      <c r="J105" s="30">
        <v>1000</v>
      </c>
      <c r="K105" s="8">
        <f t="shared" si="7"/>
        <v>875</v>
      </c>
      <c r="L105" s="8">
        <f t="shared" si="8"/>
        <v>875</v>
      </c>
      <c r="M105" s="8">
        <f t="shared" si="9"/>
        <v>3600</v>
      </c>
    </row>
    <row r="106" spans="1:13" x14ac:dyDescent="0.25">
      <c r="A106" s="42"/>
      <c r="B106" s="42"/>
      <c r="C106" s="40"/>
      <c r="D106" s="27">
        <v>1</v>
      </c>
      <c r="E106" s="27" t="s">
        <v>155</v>
      </c>
      <c r="F106" s="27">
        <v>2100</v>
      </c>
      <c r="G106" s="9" t="str">
        <f t="shared" si="5"/>
        <v>750</v>
      </c>
      <c r="H106" s="9" t="str">
        <f t="shared" si="6"/>
        <v>1000</v>
      </c>
      <c r="I106" s="30">
        <v>750</v>
      </c>
      <c r="J106" s="30">
        <v>1000</v>
      </c>
      <c r="K106" s="8">
        <f t="shared" si="7"/>
        <v>875</v>
      </c>
      <c r="L106" s="8">
        <f t="shared" si="8"/>
        <v>875</v>
      </c>
      <c r="M106" s="8">
        <f t="shared" si="9"/>
        <v>2100</v>
      </c>
    </row>
    <row r="107" spans="1:13" x14ac:dyDescent="0.25">
      <c r="A107" s="27" t="s">
        <v>139</v>
      </c>
      <c r="B107" s="26" t="str">
        <f>HYPERLINK("http://www.dmsguild.com/product/222716/DDAL0703-A-Day-at-the-Races-5e?affiliate_id=759617","A Day at the Races")</f>
        <v>A Day at the Races</v>
      </c>
      <c r="C107" s="29">
        <v>1</v>
      </c>
      <c r="D107" s="27">
        <v>2</v>
      </c>
      <c r="E107" s="27" t="s">
        <v>10</v>
      </c>
      <c r="F107" s="27">
        <f>500+50+250+25+100+10+50+50</f>
        <v>1035</v>
      </c>
      <c r="G107" s="9" t="str">
        <f t="shared" si="5"/>
        <v>450</v>
      </c>
      <c r="H107" s="9" t="str">
        <f t="shared" si="6"/>
        <v>600</v>
      </c>
      <c r="I107" s="30">
        <v>450</v>
      </c>
      <c r="J107" s="30">
        <v>600</v>
      </c>
      <c r="K107" s="8">
        <f t="shared" si="7"/>
        <v>525</v>
      </c>
      <c r="L107" s="8">
        <f t="shared" si="8"/>
        <v>262.5</v>
      </c>
      <c r="M107" s="8">
        <f t="shared" si="9"/>
        <v>517.5</v>
      </c>
    </row>
    <row r="108" spans="1:13" x14ac:dyDescent="0.25">
      <c r="A108" s="27" t="s">
        <v>140</v>
      </c>
      <c r="B108" s="26" t="str">
        <f>HYPERLINK("http://www.dmsguild.com/product/222717/DDAL0704-A-Walk-in-the-Park-5e","A Walk in the Park")</f>
        <v>A Walk in the Park</v>
      </c>
      <c r="C108" s="29">
        <v>1</v>
      </c>
      <c r="D108" s="27">
        <v>2</v>
      </c>
      <c r="E108" s="27" t="s">
        <v>10</v>
      </c>
      <c r="F108" s="27">
        <v>200</v>
      </c>
      <c r="G108" s="9" t="str">
        <f t="shared" si="5"/>
        <v>450</v>
      </c>
      <c r="H108" s="9" t="str">
        <f t="shared" si="6"/>
        <v>600</v>
      </c>
      <c r="I108" s="30">
        <v>450</v>
      </c>
      <c r="J108" s="30">
        <v>600</v>
      </c>
      <c r="K108" s="8">
        <f t="shared" si="7"/>
        <v>525</v>
      </c>
      <c r="L108" s="8">
        <f t="shared" si="8"/>
        <v>262.5</v>
      </c>
      <c r="M108" s="8">
        <f t="shared" si="9"/>
        <v>100</v>
      </c>
    </row>
    <row r="109" spans="1:13" x14ac:dyDescent="0.25">
      <c r="A109" s="27" t="s">
        <v>141</v>
      </c>
      <c r="B109" s="26" t="str">
        <f>HYPERLINK("http://www.dmsguild.com/product/222718/DDAL0705-Whispers-in-the-Dark-5e?affiliate_id=759617","Whispers in the Dark")</f>
        <v>Whispers in the Dark</v>
      </c>
      <c r="C109" s="29">
        <v>1</v>
      </c>
      <c r="D109" s="27">
        <v>2</v>
      </c>
      <c r="E109" s="27" t="s">
        <v>10</v>
      </c>
      <c r="F109" s="27">
        <f>100+50+50</f>
        <v>200</v>
      </c>
      <c r="G109" s="9" t="str">
        <f t="shared" si="5"/>
        <v>450</v>
      </c>
      <c r="H109" s="9" t="str">
        <f t="shared" si="6"/>
        <v>600</v>
      </c>
      <c r="I109" s="30">
        <v>450</v>
      </c>
      <c r="J109" s="30">
        <v>600</v>
      </c>
      <c r="K109" s="8">
        <f t="shared" si="7"/>
        <v>525</v>
      </c>
      <c r="L109" s="8">
        <f t="shared" si="8"/>
        <v>262.5</v>
      </c>
      <c r="M109" s="8">
        <f t="shared" si="9"/>
        <v>100</v>
      </c>
    </row>
    <row r="110" spans="1:13" x14ac:dyDescent="0.25">
      <c r="A110" s="27" t="s">
        <v>142</v>
      </c>
      <c r="B110" s="26" t="str">
        <f>HYPERLINK("http://www.dmsguild.com/product/224832/DDAL0706-Fester-and-Burn-5e?affiliate_id=759617","Fester and Burn")</f>
        <v>Fester and Burn</v>
      </c>
      <c r="C110" s="29">
        <v>2</v>
      </c>
      <c r="D110" s="27">
        <v>2</v>
      </c>
      <c r="E110" s="27" t="s">
        <v>83</v>
      </c>
      <c r="F110" s="27">
        <f>200+200+300+50+1000</f>
        <v>1750</v>
      </c>
      <c r="G110" s="9" t="str">
        <f t="shared" si="5"/>
        <v>2250</v>
      </c>
      <c r="H110" s="9" t="str">
        <f t="shared" si="6"/>
        <v>3000</v>
      </c>
      <c r="I110" s="30">
        <v>2250</v>
      </c>
      <c r="J110" s="30">
        <v>3000</v>
      </c>
      <c r="K110" s="8">
        <f t="shared" si="7"/>
        <v>2625</v>
      </c>
      <c r="L110" s="8">
        <f t="shared" si="8"/>
        <v>1312.5</v>
      </c>
      <c r="M110" s="8">
        <f t="shared" si="9"/>
        <v>875</v>
      </c>
    </row>
    <row r="111" spans="1:13" x14ac:dyDescent="0.25">
      <c r="A111" s="27" t="s">
        <v>143</v>
      </c>
      <c r="B111" s="26" t="str">
        <f>HYPERLINK("http://www.dmsguild.com/product/224833/DDAL0707-Rotting-Roots-5e?affiliate_id=759617","Rotting Roots")</f>
        <v>Rotting Roots</v>
      </c>
      <c r="C111" s="29">
        <v>2</v>
      </c>
      <c r="D111" s="27">
        <v>2</v>
      </c>
      <c r="E111" s="27" t="s">
        <v>83</v>
      </c>
      <c r="F111" s="27">
        <f>25+200+100+25+100+200+500+200+500*5</f>
        <v>3850</v>
      </c>
      <c r="G111" s="9" t="str">
        <f t="shared" si="5"/>
        <v>2250</v>
      </c>
      <c r="H111" s="9" t="str">
        <f t="shared" si="6"/>
        <v>3000</v>
      </c>
      <c r="I111" s="30">
        <v>2250</v>
      </c>
      <c r="J111" s="30">
        <v>3000</v>
      </c>
      <c r="K111" s="8">
        <f t="shared" si="7"/>
        <v>2625</v>
      </c>
      <c r="L111" s="8">
        <f t="shared" si="8"/>
        <v>1312.5</v>
      </c>
      <c r="M111" s="8">
        <f t="shared" si="9"/>
        <v>1925</v>
      </c>
    </row>
    <row r="112" spans="1:13" x14ac:dyDescent="0.25">
      <c r="A112" s="27" t="s">
        <v>144</v>
      </c>
      <c r="B112" s="26" t="str">
        <f>HYPERLINK("http://www.dmsguild.com/product/224834/DDAL0708-Putting-the-Dead-to-Rest-5e?affiliate_id=759617","Putting the Dead to Rest")</f>
        <v>Putting the Dead to Rest</v>
      </c>
      <c r="C112" s="29">
        <v>2</v>
      </c>
      <c r="D112" s="27">
        <v>2</v>
      </c>
      <c r="E112" s="27" t="s">
        <v>83</v>
      </c>
      <c r="F112" s="27">
        <f>100+100+100+300+1000+50*2*0.5</f>
        <v>1650</v>
      </c>
      <c r="G112" s="9" t="str">
        <f t="shared" si="5"/>
        <v>2250</v>
      </c>
      <c r="H112" s="9" t="str">
        <f t="shared" si="6"/>
        <v>3000</v>
      </c>
      <c r="I112" s="30">
        <v>2250</v>
      </c>
      <c r="J112" s="30">
        <v>3000</v>
      </c>
      <c r="K112" s="8">
        <f t="shared" si="7"/>
        <v>2625</v>
      </c>
      <c r="L112" s="8">
        <f t="shared" si="8"/>
        <v>1312.5</v>
      </c>
      <c r="M112" s="8">
        <f t="shared" si="9"/>
        <v>825</v>
      </c>
    </row>
    <row r="113" spans="1:13" x14ac:dyDescent="0.25">
      <c r="A113" s="27" t="s">
        <v>145</v>
      </c>
      <c r="B113" s="26" t="str">
        <f>HYPERLINK("http://www.dmsguild.com/product/230789/DDAL0709-Unusual-Opposition-5e?affiliate_id=759617","Unusual Opposition")</f>
        <v>Unusual Opposition</v>
      </c>
      <c r="C113" s="29">
        <v>3</v>
      </c>
      <c r="D113" s="27">
        <v>4</v>
      </c>
      <c r="E113" s="27" t="s">
        <v>156</v>
      </c>
      <c r="F113" s="27">
        <v>7212</v>
      </c>
      <c r="G113" s="9" t="str">
        <f t="shared" si="5"/>
        <v>10125</v>
      </c>
      <c r="H113" s="9" t="str">
        <f t="shared" si="6"/>
        <v>13500</v>
      </c>
      <c r="I113" s="30">
        <v>10125</v>
      </c>
      <c r="J113" s="30">
        <v>13500</v>
      </c>
      <c r="K113" s="8">
        <f t="shared" si="7"/>
        <v>11812.5</v>
      </c>
      <c r="L113" s="8">
        <f t="shared" si="8"/>
        <v>2953.125</v>
      </c>
      <c r="M113" s="8">
        <f t="shared" si="9"/>
        <v>1803</v>
      </c>
    </row>
    <row r="114" spans="1:13" x14ac:dyDescent="0.25">
      <c r="A114" s="27" t="s">
        <v>146</v>
      </c>
      <c r="B114" s="26" t="str">
        <f>HYPERLINK("http://www.dmsguild.com/product/230794/DDAL0710-Fire-Ash-and-Ruin-5e?affiliate_id=759617","Fire, Ash, and Ruin")</f>
        <v>Fire, Ash, and Ruin</v>
      </c>
      <c r="C114" s="29">
        <v>3</v>
      </c>
      <c r="D114" s="27">
        <v>4</v>
      </c>
      <c r="E114" s="27" t="s">
        <v>156</v>
      </c>
      <c r="F114" s="27">
        <v>12220</v>
      </c>
      <c r="G114" s="9" t="str">
        <f t="shared" si="5"/>
        <v>10125</v>
      </c>
      <c r="H114" s="9" t="str">
        <f t="shared" si="6"/>
        <v>13500</v>
      </c>
      <c r="I114" s="30">
        <v>10125</v>
      </c>
      <c r="J114" s="30">
        <v>13500</v>
      </c>
      <c r="K114" s="8">
        <f t="shared" si="7"/>
        <v>11812.5</v>
      </c>
      <c r="L114" s="8">
        <f t="shared" si="8"/>
        <v>2953.125</v>
      </c>
      <c r="M114" s="8">
        <f t="shared" si="9"/>
        <v>3055</v>
      </c>
    </row>
    <row r="115" spans="1:13" x14ac:dyDescent="0.25">
      <c r="A115" s="27" t="s">
        <v>147</v>
      </c>
      <c r="B115" s="26" t="str">
        <f>HYPERLINK("http://www.dmsguild.com/product/232624/DDAL0711-A-Lesson-in-Love-5e?affiliate_id=759617","A Lesson in Love")</f>
        <v>A Lesson in Love</v>
      </c>
      <c r="C115" s="29">
        <v>3</v>
      </c>
      <c r="D115" s="27">
        <v>4</v>
      </c>
      <c r="E115" s="27" t="s">
        <v>156</v>
      </c>
      <c r="F115" s="27">
        <f>1500+500+800+5000+4000+16000</f>
        <v>27800</v>
      </c>
      <c r="G115" s="9" t="str">
        <f t="shared" si="5"/>
        <v>10125</v>
      </c>
      <c r="H115" s="9" t="str">
        <f t="shared" si="6"/>
        <v>13500</v>
      </c>
      <c r="I115" s="30">
        <v>10125</v>
      </c>
      <c r="J115" s="30">
        <v>13500</v>
      </c>
      <c r="K115" s="8">
        <f t="shared" si="7"/>
        <v>11812.5</v>
      </c>
      <c r="L115" s="8">
        <f t="shared" si="8"/>
        <v>2953.125</v>
      </c>
      <c r="M115" s="8">
        <f t="shared" si="9"/>
        <v>6950</v>
      </c>
    </row>
    <row r="116" spans="1:13" x14ac:dyDescent="0.25">
      <c r="A116" s="27" t="s">
        <v>148</v>
      </c>
      <c r="B116" s="26" t="str">
        <f>HYPERLINK("http://www.dmsguild.com/product/232625/DDAL0712-In-Search-of-Secrets-5e?affiliate_id=759617","In Search of Secrets")</f>
        <v>In Search of Secrets</v>
      </c>
      <c r="C116" s="29">
        <v>3</v>
      </c>
      <c r="D116" s="27">
        <v>4</v>
      </c>
      <c r="E116" s="27" t="s">
        <v>156</v>
      </c>
      <c r="F116" s="27">
        <f>300+500+800+800+3000+400*5</f>
        <v>7400</v>
      </c>
      <c r="G116" s="9" t="str">
        <f t="shared" si="5"/>
        <v>10125</v>
      </c>
      <c r="H116" s="9" t="str">
        <f t="shared" si="6"/>
        <v>13500</v>
      </c>
      <c r="I116" s="30">
        <v>10125</v>
      </c>
      <c r="J116" s="30">
        <v>13500</v>
      </c>
      <c r="K116" s="8">
        <f t="shared" si="7"/>
        <v>11812.5</v>
      </c>
      <c r="L116" s="8">
        <f t="shared" si="8"/>
        <v>2953.125</v>
      </c>
      <c r="M116" s="8">
        <f t="shared" si="9"/>
        <v>1850</v>
      </c>
    </row>
    <row r="117" spans="1:13" x14ac:dyDescent="0.25">
      <c r="A117" s="27" t="s">
        <v>149</v>
      </c>
      <c r="B117" s="26" t="str">
        <f>HYPERLINK("http://www.dmsguild.com/product/235128/DDAL0713-Old-Bones-and-Older-Tomes?affiliate_id=759617","Old Bones and Older Tomes")</f>
        <v>Old Bones and Older Tomes</v>
      </c>
      <c r="C117" s="29">
        <v>3</v>
      </c>
      <c r="D117" s="27">
        <v>4</v>
      </c>
      <c r="E117" s="27" t="s">
        <v>156</v>
      </c>
      <c r="F117" s="27">
        <f>1500+1400+1600+1000+1500+2500</f>
        <v>9500</v>
      </c>
      <c r="G117" s="9" t="str">
        <f t="shared" si="5"/>
        <v>10125</v>
      </c>
      <c r="H117" s="9" t="str">
        <f t="shared" si="6"/>
        <v>13500</v>
      </c>
      <c r="I117" s="30">
        <v>10125</v>
      </c>
      <c r="J117" s="30">
        <v>13500</v>
      </c>
      <c r="K117" s="8">
        <f t="shared" si="7"/>
        <v>11812.5</v>
      </c>
      <c r="L117" s="8">
        <f t="shared" si="8"/>
        <v>2953.125</v>
      </c>
      <c r="M117" s="8">
        <f t="shared" si="9"/>
        <v>2375</v>
      </c>
    </row>
    <row r="118" spans="1:13" x14ac:dyDescent="0.25">
      <c r="A118" s="27" t="s">
        <v>150</v>
      </c>
      <c r="B118" s="26" t="str">
        <f>HYPERLINK("http://www.dmsguild.com/product/235134/DDAL0714-Fathomless-Pits-of-Ill-Intent?affiliate_id=759617","Fathomless Pits of Ill Intent")</f>
        <v>Fathomless Pits of Ill Intent</v>
      </c>
      <c r="C118" s="29">
        <v>3</v>
      </c>
      <c r="D118" s="27">
        <v>4</v>
      </c>
      <c r="E118" s="27" t="s">
        <v>156</v>
      </c>
      <c r="F118" s="27">
        <f>100+1000+400+100+800+1600+600+200+1000+200</f>
        <v>6000</v>
      </c>
      <c r="G118" s="9" t="str">
        <f t="shared" si="5"/>
        <v>10125</v>
      </c>
      <c r="H118" s="9" t="str">
        <f t="shared" si="6"/>
        <v>13500</v>
      </c>
      <c r="I118" s="30">
        <v>10125</v>
      </c>
      <c r="J118" s="30">
        <v>13500</v>
      </c>
      <c r="K118" s="8">
        <f t="shared" si="7"/>
        <v>11812.5</v>
      </c>
      <c r="L118" s="8">
        <f t="shared" si="8"/>
        <v>2953.125</v>
      </c>
      <c r="M118" s="8">
        <f t="shared" si="9"/>
        <v>1500</v>
      </c>
    </row>
    <row r="119" spans="1:13" x14ac:dyDescent="0.25">
      <c r="A119" s="27" t="s">
        <v>151</v>
      </c>
      <c r="B119" s="26" t="str">
        <f>HYPERLINK("http://www.dmsguild.com/product/238650/DDAL0715-Streams-of-Crimson?affiliate_id=759617","Streams of Crimson")</f>
        <v>Streams of Crimson</v>
      </c>
      <c r="C119" s="29">
        <v>4</v>
      </c>
      <c r="D119" s="27">
        <v>4</v>
      </c>
      <c r="E119" s="27" t="s">
        <v>157</v>
      </c>
      <c r="F119" s="27">
        <f>3000+2000+10000+18000+7000+15000+12000+40000+10000+10000+10000</f>
        <v>137000</v>
      </c>
      <c r="G119" s="9" t="str">
        <f t="shared" si="5"/>
        <v>20250</v>
      </c>
      <c r="H119" s="9" t="str">
        <f t="shared" si="6"/>
        <v>27000</v>
      </c>
      <c r="I119" s="30">
        <v>20250</v>
      </c>
      <c r="J119" s="30">
        <v>27000</v>
      </c>
      <c r="K119" s="8">
        <f t="shared" si="7"/>
        <v>23625</v>
      </c>
      <c r="L119" s="8">
        <f t="shared" si="8"/>
        <v>5906.25</v>
      </c>
      <c r="M119" s="8">
        <f t="shared" si="9"/>
        <v>34250</v>
      </c>
    </row>
    <row r="120" spans="1:13" x14ac:dyDescent="0.25">
      <c r="A120" s="27" t="s">
        <v>152</v>
      </c>
      <c r="B120" s="26" t="str">
        <f>HYPERLINK("http://www.dmsguild.com/product/238651/DDAL0716-Pools-of-Cerulean?affiliate_id=759617","Pools of Cerulean")</f>
        <v>Pools of Cerulean</v>
      </c>
      <c r="C120" s="29">
        <v>4</v>
      </c>
      <c r="D120" s="27">
        <v>4</v>
      </c>
      <c r="E120" s="27" t="s">
        <v>157</v>
      </c>
      <c r="F120" s="27">
        <f>15000+15000</f>
        <v>30000</v>
      </c>
      <c r="G120" s="9" t="str">
        <f t="shared" si="5"/>
        <v>20250</v>
      </c>
      <c r="H120" s="9" t="str">
        <f t="shared" si="6"/>
        <v>27000</v>
      </c>
      <c r="I120" s="30">
        <v>20250</v>
      </c>
      <c r="J120" s="30">
        <v>27000</v>
      </c>
      <c r="K120" s="8">
        <f t="shared" si="7"/>
        <v>23625</v>
      </c>
      <c r="L120" s="8">
        <f t="shared" si="8"/>
        <v>5906.25</v>
      </c>
      <c r="M120" s="8">
        <f t="shared" si="9"/>
        <v>7500</v>
      </c>
    </row>
    <row r="121" spans="1:13" x14ac:dyDescent="0.25">
      <c r="A121" s="27" t="s">
        <v>153</v>
      </c>
      <c r="B121" s="26" t="str">
        <f>HYPERLINK("http://www.dmsguild.com/product/241653/DDAL0717-Cauldrons-of-Sapphire?affiliate_id=759617","Cauldron of Sapphire")</f>
        <v>Cauldron of Sapphire</v>
      </c>
      <c r="C121" s="29">
        <v>4</v>
      </c>
      <c r="D121" s="27">
        <v>4</v>
      </c>
      <c r="E121" s="27" t="s">
        <v>157</v>
      </c>
      <c r="F121" s="27">
        <f>3000+15000*7+15000+15000</f>
        <v>138000</v>
      </c>
      <c r="G121" s="9" t="str">
        <f t="shared" si="5"/>
        <v>20250</v>
      </c>
      <c r="H121" s="9" t="str">
        <f t="shared" si="6"/>
        <v>27000</v>
      </c>
      <c r="I121" s="30">
        <v>20250</v>
      </c>
      <c r="J121" s="30">
        <v>27000</v>
      </c>
      <c r="K121" s="8">
        <f t="shared" si="7"/>
        <v>23625</v>
      </c>
      <c r="L121" s="8">
        <f t="shared" si="8"/>
        <v>5906.25</v>
      </c>
      <c r="M121" s="8">
        <f t="shared" si="9"/>
        <v>34500</v>
      </c>
    </row>
    <row r="122" spans="1:13" x14ac:dyDescent="0.25">
      <c r="A122" s="27" t="s">
        <v>154</v>
      </c>
      <c r="B122" s="26" t="str">
        <f>HYPERLINK("http://www.dmsguild.com/product/241654/DDAL0718-Turn-Back-the-Endless-Night?affiliate_id=759617","Turn Back the Endless Night")</f>
        <v>Turn Back the Endless Night</v>
      </c>
      <c r="C122" s="29">
        <v>4</v>
      </c>
      <c r="D122" s="27">
        <v>4</v>
      </c>
      <c r="E122" s="27" t="s">
        <v>157</v>
      </c>
      <c r="F122" s="27">
        <f>20000+28000</f>
        <v>48000</v>
      </c>
      <c r="G122" s="9" t="str">
        <f t="shared" si="5"/>
        <v>20250</v>
      </c>
      <c r="H122" s="9" t="str">
        <f t="shared" si="6"/>
        <v>27000</v>
      </c>
      <c r="I122" s="30">
        <v>20250</v>
      </c>
      <c r="J122" s="30">
        <v>27000</v>
      </c>
      <c r="K122" s="8">
        <f t="shared" si="7"/>
        <v>23625</v>
      </c>
      <c r="L122" s="8">
        <f t="shared" si="8"/>
        <v>5906.25</v>
      </c>
      <c r="M122" s="8">
        <f t="shared" si="9"/>
        <v>12000</v>
      </c>
    </row>
    <row r="123" spans="1:13" x14ac:dyDescent="0.25">
      <c r="C123" s="13">
        <f>SUMIFS(C$2:C$122,$C$2:$C$122,results!$A2)</f>
        <v>0</v>
      </c>
    </row>
    <row r="124" spans="1:13" x14ac:dyDescent="0.25">
      <c r="C124" s="13">
        <f>SUMIFS(C$2:C$122,$C$2:$C$122,results!$A3)</f>
        <v>48</v>
      </c>
      <c r="D124" s="13">
        <f>SUMIFS(D$2:D$122,$C$2:$C$122,results!$A3)</f>
        <v>149</v>
      </c>
      <c r="E124" s="13">
        <f>D124/C124*results!E3</f>
        <v>3.1041666666666665</v>
      </c>
    </row>
    <row r="125" spans="1:13" x14ac:dyDescent="0.25">
      <c r="C125" s="13">
        <f>SUMIFS(C$2:C$122,$C$2:$C$122,results!$A4)</f>
        <v>80</v>
      </c>
      <c r="D125" s="13">
        <f>SUMIFS(D$2:D$122,$C$2:$C$122,results!$A4)</f>
        <v>137</v>
      </c>
      <c r="E125" s="13">
        <f>D125/C125*results!E4</f>
        <v>3.4249999999999998</v>
      </c>
    </row>
    <row r="126" spans="1:13" x14ac:dyDescent="0.25">
      <c r="C126" s="13">
        <f>SUMIFS(C$2:C$122,$C$2:$C$122,results!$A5)</f>
        <v>45</v>
      </c>
      <c r="D126" s="13">
        <f>SUMIFS(D$2:D$122,$C$2:$C$122,results!$A5)</f>
        <v>66</v>
      </c>
      <c r="E126" s="13">
        <f>D126/C126*results!E5</f>
        <v>4.3999999999999995</v>
      </c>
    </row>
    <row r="127" spans="1:13" x14ac:dyDescent="0.25">
      <c r="C127" s="13">
        <f>SUMIFS(C$2:C$122,$C$2:$C$122,results!$A6)</f>
        <v>40</v>
      </c>
      <c r="D127" s="13">
        <f>SUMIFS(D$2:D$122,$C$2:$C$122,results!$A6)</f>
        <v>36</v>
      </c>
      <c r="E127" s="13">
        <f>D127/C127*results!E6</f>
        <v>3.6</v>
      </c>
    </row>
    <row r="132" spans="17:17" x14ac:dyDescent="0.25">
      <c r="Q132">
        <v>7</v>
      </c>
    </row>
    <row r="133" spans="17:17" x14ac:dyDescent="0.25">
      <c r="Q133">
        <v>16</v>
      </c>
    </row>
    <row r="134" spans="17:17" x14ac:dyDescent="0.25">
      <c r="Q134">
        <v>12</v>
      </c>
    </row>
    <row r="135" spans="17:17" x14ac:dyDescent="0.25">
      <c r="Q135">
        <v>6</v>
      </c>
    </row>
  </sheetData>
  <autoFilter ref="A1:F122"/>
  <mergeCells count="11">
    <mergeCell ref="A2:A4"/>
    <mergeCell ref="B2:B4"/>
    <mergeCell ref="B5:B10"/>
    <mergeCell ref="A11:A12"/>
    <mergeCell ref="B11:B12"/>
    <mergeCell ref="C97:C101"/>
    <mergeCell ref="A102:A106"/>
    <mergeCell ref="B102:B106"/>
    <mergeCell ref="C102:C106"/>
    <mergeCell ref="A97:A101"/>
    <mergeCell ref="B97:B1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1089"/>
  <sheetViews>
    <sheetView topLeftCell="B1" workbookViewId="0">
      <selection activeCell="E7" sqref="E7"/>
    </sheetView>
  </sheetViews>
  <sheetFormatPr defaultColWidth="14.42578125" defaultRowHeight="15" x14ac:dyDescent="0.25"/>
  <cols>
    <col min="1" max="1" width="15.42578125" style="1" customWidth="1"/>
    <col min="2" max="2" width="28.85546875" style="1" customWidth="1"/>
    <col min="3" max="3" width="9" style="1" customWidth="1"/>
    <col min="4" max="4" width="14.42578125" style="1"/>
    <col min="5" max="5" width="11.85546875" style="1" customWidth="1"/>
    <col min="6" max="6" width="13.28515625" style="1" customWidth="1"/>
    <col min="7" max="16384" width="14.42578125" style="1"/>
  </cols>
  <sheetData>
    <row r="1" spans="1:19" ht="15.75" customHeight="1" x14ac:dyDescent="0.25">
      <c r="A1" s="23" t="s">
        <v>0</v>
      </c>
      <c r="B1" s="25" t="s">
        <v>1</v>
      </c>
      <c r="C1" s="28" t="s">
        <v>353</v>
      </c>
      <c r="D1" s="25" t="s">
        <v>2</v>
      </c>
      <c r="E1" s="25" t="s">
        <v>3</v>
      </c>
      <c r="F1" s="25" t="s">
        <v>4</v>
      </c>
      <c r="G1" s="25" t="s">
        <v>168</v>
      </c>
      <c r="H1" s="25" t="s">
        <v>169</v>
      </c>
      <c r="I1" s="25" t="s">
        <v>170</v>
      </c>
      <c r="J1" s="25" t="s">
        <v>171</v>
      </c>
      <c r="K1" s="25" t="s">
        <v>158</v>
      </c>
      <c r="L1" s="21" t="s">
        <v>172</v>
      </c>
      <c r="M1" s="25" t="s">
        <v>173</v>
      </c>
      <c r="N1" s="15"/>
      <c r="O1" s="15"/>
      <c r="P1" s="15"/>
      <c r="Q1" s="15"/>
      <c r="R1" s="15"/>
      <c r="S1" s="15"/>
    </row>
    <row r="2" spans="1:19" ht="15.75" customHeight="1" x14ac:dyDescent="0.25">
      <c r="A2" s="16" t="s">
        <v>194</v>
      </c>
      <c r="B2" s="37" t="str">
        <f>HYPERLINK("http://www.dmsguild.com/product/247005/CCCAMER01-Asleep-and-Awake?affiliate_id=759617"," Asleep and Awake")</f>
        <v xml:space="preserve"> Asleep and Awake</v>
      </c>
      <c r="C2" s="38">
        <v>1</v>
      </c>
      <c r="D2" s="32">
        <v>4</v>
      </c>
      <c r="E2" s="32" t="s">
        <v>127</v>
      </c>
      <c r="F2" s="32">
        <f>200+200+50+10*8</f>
        <v>530</v>
      </c>
      <c r="G2" s="9" t="str">
        <f>LEFT(E2,SEARCH("/",E2,1)-1)</f>
        <v>1275</v>
      </c>
      <c r="H2" s="9" t="str">
        <f>RIGHT(E2,LEN(E2)-SEARCH("/",E2,1))</f>
        <v>1700</v>
      </c>
      <c r="I2" s="38">
        <v>1275</v>
      </c>
      <c r="J2" s="38">
        <v>1700</v>
      </c>
      <c r="K2" s="8">
        <f>AVERAGE(I2:J2)</f>
        <v>1487.5</v>
      </c>
      <c r="L2" s="8">
        <f>K2/D2</f>
        <v>371.875</v>
      </c>
      <c r="M2" s="8">
        <f>F2/D2</f>
        <v>132.5</v>
      </c>
      <c r="N2" s="15"/>
      <c r="O2" s="15"/>
      <c r="P2" s="15"/>
      <c r="Q2" s="15"/>
      <c r="R2" s="15"/>
      <c r="S2" s="15"/>
    </row>
    <row r="3" spans="1:19" ht="15.75" customHeight="1" x14ac:dyDescent="0.25">
      <c r="A3" s="16" t="s">
        <v>195</v>
      </c>
      <c r="B3" s="37" t="str">
        <f>HYPERLINK("http://www.dmsguild.com/product/236786/CCC--Anime--11-Legend-of-the-Sword-Bandit-Surprise?affiliate_id=759617","Legend of the Sword Bandit Surprise")</f>
        <v>Legend of the Sword Bandit Surprise</v>
      </c>
      <c r="C3" s="38">
        <v>1</v>
      </c>
      <c r="D3" s="32">
        <v>2</v>
      </c>
      <c r="E3" s="32" t="s">
        <v>10</v>
      </c>
      <c r="F3" s="32">
        <f>400+300</f>
        <v>700</v>
      </c>
      <c r="G3" s="9" t="str">
        <f t="shared" ref="G3:G61" si="0">LEFT(E3,SEARCH("/",E3,1)-1)</f>
        <v>450</v>
      </c>
      <c r="H3" s="9" t="str">
        <f t="shared" ref="H3:H61" si="1">RIGHT(E3,LEN(E3)-SEARCH("/",E3,1))</f>
        <v>600</v>
      </c>
      <c r="I3" s="38">
        <v>450</v>
      </c>
      <c r="J3" s="38">
        <v>600</v>
      </c>
      <c r="K3" s="8">
        <f t="shared" ref="K3:K66" si="2">AVERAGE(I3:J3)</f>
        <v>525</v>
      </c>
      <c r="L3" s="8">
        <f t="shared" ref="L3:L66" si="3">K3/D3</f>
        <v>262.5</v>
      </c>
      <c r="M3" s="8">
        <f t="shared" ref="M3:M66" si="4">F3/D3</f>
        <v>350</v>
      </c>
      <c r="N3" s="15"/>
      <c r="O3" s="15"/>
      <c r="P3" s="15"/>
      <c r="Q3" s="15"/>
      <c r="R3" s="15"/>
      <c r="S3" s="15"/>
    </row>
    <row r="4" spans="1:19" ht="15.75" customHeight="1" x14ac:dyDescent="0.25">
      <c r="A4" s="16" t="s">
        <v>196</v>
      </c>
      <c r="B4" s="37" t="str">
        <f>HYPERLINK("http://www.dmsguild.com/product/236787/CCC--Anime--12-Lets-Find-the-Sword-GO?affiliate_id=759617","Let's Find the Sword, GO!")</f>
        <v>Let's Find the Sword, GO!</v>
      </c>
      <c r="C4" s="38">
        <v>2</v>
      </c>
      <c r="D4" s="32">
        <v>2</v>
      </c>
      <c r="E4" s="32" t="s">
        <v>83</v>
      </c>
      <c r="F4" s="32">
        <f>300+100+400+200+800+250</f>
        <v>2050</v>
      </c>
      <c r="G4" s="9" t="str">
        <f t="shared" si="0"/>
        <v>2250</v>
      </c>
      <c r="H4" s="9" t="str">
        <f t="shared" si="1"/>
        <v>3000</v>
      </c>
      <c r="I4" s="38">
        <v>2250</v>
      </c>
      <c r="J4" s="38">
        <v>3000</v>
      </c>
      <c r="K4" s="8">
        <f t="shared" si="2"/>
        <v>2625</v>
      </c>
      <c r="L4" s="8">
        <f t="shared" si="3"/>
        <v>1312.5</v>
      </c>
      <c r="M4" s="8">
        <f t="shared" si="4"/>
        <v>1025</v>
      </c>
      <c r="N4" s="15"/>
      <c r="O4" s="15"/>
      <c r="P4" s="15"/>
      <c r="Q4" s="15"/>
      <c r="R4" s="15"/>
      <c r="S4" s="15"/>
    </row>
    <row r="5" spans="1:19" ht="15.75" customHeight="1" x14ac:dyDescent="0.25">
      <c r="A5" s="16" t="s">
        <v>197</v>
      </c>
      <c r="B5" s="37" t="str">
        <f>HYPERLINK("http://www.dmsguild.com/product/236788/CCC--Anime--13-Star-Sword-Return?affiliate_id=759617","Star Sword Return")</f>
        <v>Star Sword Return</v>
      </c>
      <c r="C5" s="38">
        <v>2</v>
      </c>
      <c r="D5" s="32">
        <v>2</v>
      </c>
      <c r="E5" s="32" t="s">
        <v>128</v>
      </c>
      <c r="F5" s="32">
        <f>575+757+1750</f>
        <v>3082</v>
      </c>
      <c r="G5" s="9" t="str">
        <f t="shared" si="0"/>
        <v>3750</v>
      </c>
      <c r="H5" s="9" t="str">
        <f t="shared" si="1"/>
        <v>5000</v>
      </c>
      <c r="I5" s="38">
        <v>3750</v>
      </c>
      <c r="J5" s="38">
        <v>5000</v>
      </c>
      <c r="K5" s="8">
        <f t="shared" si="2"/>
        <v>4375</v>
      </c>
      <c r="L5" s="8">
        <f t="shared" si="3"/>
        <v>2187.5</v>
      </c>
      <c r="M5" s="8">
        <f t="shared" si="4"/>
        <v>1541</v>
      </c>
      <c r="N5" s="15"/>
      <c r="O5" s="15"/>
      <c r="P5" s="15"/>
      <c r="Q5" s="15"/>
      <c r="R5" s="15"/>
      <c r="S5" s="15"/>
    </row>
    <row r="6" spans="1:19" ht="15.75" customHeight="1" x14ac:dyDescent="0.25">
      <c r="A6" s="16" t="s">
        <v>198</v>
      </c>
      <c r="B6" s="37" t="str">
        <f>HYPERLINK("http://www.dmsguild.com/product/218024/CCCBLD-11-Bleeding-Gate-Pandemonium?affiliate_id=759617","Bleeding Gate: Pandemonium")</f>
        <v>Bleeding Gate: Pandemonium</v>
      </c>
      <c r="C6" s="38">
        <v>1</v>
      </c>
      <c r="D6" s="32">
        <v>2</v>
      </c>
      <c r="E6" s="32" t="s">
        <v>199</v>
      </c>
      <c r="F6" s="32">
        <v>200</v>
      </c>
      <c r="G6" s="9" t="str">
        <f t="shared" si="0"/>
        <v>220</v>
      </c>
      <c r="H6" s="9" t="str">
        <f t="shared" si="1"/>
        <v>850</v>
      </c>
      <c r="I6" s="38">
        <v>220</v>
      </c>
      <c r="J6" s="38">
        <v>850</v>
      </c>
      <c r="K6" s="8">
        <f t="shared" si="2"/>
        <v>535</v>
      </c>
      <c r="L6" s="8">
        <f t="shared" si="3"/>
        <v>267.5</v>
      </c>
      <c r="M6" s="8">
        <f t="shared" si="4"/>
        <v>100</v>
      </c>
      <c r="N6" s="15"/>
      <c r="O6" s="15"/>
      <c r="P6" s="15"/>
      <c r="Q6" s="15"/>
      <c r="R6" s="15"/>
      <c r="S6" s="15"/>
    </row>
    <row r="7" spans="1:19" ht="15.75" customHeight="1" x14ac:dyDescent="0.25">
      <c r="A7" s="16" t="s">
        <v>200</v>
      </c>
      <c r="B7" s="37" t="str">
        <f>HYPERLINK("http://www.dmsguild.com/product/218099/CCCBLD-12-Bleeding-Gate-Amalgamation?affiliate_id=759617","Bleeding Gate: Amalgamation")</f>
        <v>Bleeding Gate: Amalgamation</v>
      </c>
      <c r="C7" s="38">
        <v>1</v>
      </c>
      <c r="D7" s="32">
        <v>2</v>
      </c>
      <c r="E7" s="32" t="s">
        <v>201</v>
      </c>
      <c r="F7" s="32">
        <v>487</v>
      </c>
      <c r="G7" s="9" t="str">
        <f t="shared" si="0"/>
        <v>800</v>
      </c>
      <c r="H7" s="9" t="str">
        <f t="shared" si="1"/>
        <v>1200</v>
      </c>
      <c r="I7" s="38">
        <v>800</v>
      </c>
      <c r="J7" s="38">
        <v>1200</v>
      </c>
      <c r="K7" s="8">
        <f t="shared" si="2"/>
        <v>1000</v>
      </c>
      <c r="L7" s="8">
        <f t="shared" si="3"/>
        <v>500</v>
      </c>
      <c r="M7" s="8">
        <f t="shared" si="4"/>
        <v>243.5</v>
      </c>
      <c r="N7" s="15"/>
      <c r="O7" s="15"/>
      <c r="P7" s="15"/>
      <c r="Q7" s="15"/>
      <c r="R7" s="15"/>
      <c r="S7" s="15"/>
    </row>
    <row r="8" spans="1:19" ht="15.75" customHeight="1" x14ac:dyDescent="0.25">
      <c r="A8" s="16" t="s">
        <v>202</v>
      </c>
      <c r="B8" s="37" t="str">
        <f>HYPERLINK("http://www.dmsguild.com/product/231700/CCCBLD-0103-Bleeding-Gate-Lineage?affiliate_id=759617","Bleeding Gate: Lineage")</f>
        <v>Bleeding Gate: Lineage</v>
      </c>
      <c r="C8" s="38">
        <v>2</v>
      </c>
      <c r="D8" s="32">
        <v>4</v>
      </c>
      <c r="E8" s="32" t="s">
        <v>203</v>
      </c>
      <c r="F8" s="32">
        <f>100*7</f>
        <v>700</v>
      </c>
      <c r="G8" s="9" t="str">
        <f t="shared" si="0"/>
        <v>2000</v>
      </c>
      <c r="H8" s="9" t="str">
        <f t="shared" si="1"/>
        <v>20000</v>
      </c>
      <c r="I8" s="38">
        <v>2000</v>
      </c>
      <c r="J8" s="38">
        <v>20000</v>
      </c>
      <c r="K8" s="8">
        <f t="shared" si="2"/>
        <v>11000</v>
      </c>
      <c r="L8" s="8">
        <f t="shared" si="3"/>
        <v>2750</v>
      </c>
      <c r="M8" s="8">
        <f t="shared" si="4"/>
        <v>175</v>
      </c>
      <c r="N8" s="15"/>
      <c r="O8" s="15"/>
      <c r="P8" s="15"/>
      <c r="Q8" s="15"/>
      <c r="R8" s="15"/>
      <c r="S8" s="15"/>
    </row>
    <row r="9" spans="1:19" ht="15.75" customHeight="1" x14ac:dyDescent="0.25">
      <c r="A9" s="16" t="s">
        <v>204</v>
      </c>
      <c r="B9" s="37" t="str">
        <f>HYPERLINK("http://www.dmsguild.com/product/184998/CORE-11-A-Scream-in-the-Night?affiliate_id=759617","CORE1-1 A Scream in the Night")</f>
        <v>CORE1-1 A Scream in the Night</v>
      </c>
      <c r="C9" s="38">
        <v>1</v>
      </c>
      <c r="D9" s="32">
        <v>4</v>
      </c>
      <c r="E9" s="32" t="s">
        <v>65</v>
      </c>
      <c r="F9" s="32">
        <v>250</v>
      </c>
      <c r="G9" s="9" t="str">
        <f t="shared" si="0"/>
        <v>225</v>
      </c>
      <c r="H9" s="9" t="str">
        <f t="shared" si="1"/>
        <v>300</v>
      </c>
      <c r="I9" s="38">
        <v>225</v>
      </c>
      <c r="J9" s="38">
        <v>300</v>
      </c>
      <c r="K9" s="8">
        <f t="shared" si="2"/>
        <v>262.5</v>
      </c>
      <c r="L9" s="8">
        <f t="shared" si="3"/>
        <v>65.625</v>
      </c>
      <c r="M9" s="8">
        <f t="shared" si="4"/>
        <v>62.5</v>
      </c>
      <c r="N9" s="15"/>
      <c r="O9" s="15"/>
      <c r="P9" s="15"/>
      <c r="Q9" s="15"/>
      <c r="R9" s="15"/>
      <c r="S9" s="15"/>
    </row>
    <row r="10" spans="1:19" ht="15.75" customHeight="1" x14ac:dyDescent="0.25">
      <c r="A10" s="16" t="s">
        <v>205</v>
      </c>
      <c r="B10" s="37" t="str">
        <f>HYPERLINK("http://www.dmsguild.com/product/185274/CORE-12-A-Cog-in-the-Wheel?affiliate_id=759617","CORE 1-2 A Cog in the Wheel")</f>
        <v>CORE 1-2 A Cog in the Wheel</v>
      </c>
      <c r="C10" s="38">
        <v>1</v>
      </c>
      <c r="D10" s="32">
        <v>4</v>
      </c>
      <c r="E10" s="32" t="s">
        <v>10</v>
      </c>
      <c r="F10" s="32">
        <v>1000</v>
      </c>
      <c r="G10" s="9" t="str">
        <f t="shared" si="0"/>
        <v>450</v>
      </c>
      <c r="H10" s="9" t="str">
        <f t="shared" si="1"/>
        <v>600</v>
      </c>
      <c r="I10" s="38">
        <v>450</v>
      </c>
      <c r="J10" s="38">
        <v>600</v>
      </c>
      <c r="K10" s="8">
        <f t="shared" si="2"/>
        <v>525</v>
      </c>
      <c r="L10" s="8">
        <f t="shared" si="3"/>
        <v>131.25</v>
      </c>
      <c r="M10" s="8">
        <f t="shared" si="4"/>
        <v>250</v>
      </c>
      <c r="N10" s="15"/>
      <c r="O10" s="15"/>
      <c r="P10" s="15"/>
      <c r="Q10" s="15"/>
      <c r="R10" s="15"/>
      <c r="S10" s="15"/>
    </row>
    <row r="11" spans="1:19" ht="15.75" customHeight="1" x14ac:dyDescent="0.25">
      <c r="A11" s="16" t="s">
        <v>206</v>
      </c>
      <c r="B11" s="37" t="str">
        <f>HYPERLINK("http://www.dmsguild.com/product/185275/CORE-13-A-Hole-in-the-World?affiliate_id=759617","CORE1-3 A Hole in the World")</f>
        <v>CORE1-3 A Hole in the World</v>
      </c>
      <c r="C11" s="38">
        <v>1</v>
      </c>
      <c r="D11" s="32">
        <v>4</v>
      </c>
      <c r="E11" s="32" t="s">
        <v>63</v>
      </c>
      <c r="F11" s="32">
        <v>900</v>
      </c>
      <c r="G11" s="9" t="str">
        <f t="shared" si="0"/>
        <v>900</v>
      </c>
      <c r="H11" s="9" t="str">
        <f t="shared" si="1"/>
        <v>1200</v>
      </c>
      <c r="I11" s="38">
        <v>900</v>
      </c>
      <c r="J11" s="38">
        <v>1200</v>
      </c>
      <c r="K11" s="8">
        <f t="shared" si="2"/>
        <v>1050</v>
      </c>
      <c r="L11" s="8">
        <f t="shared" si="3"/>
        <v>262.5</v>
      </c>
      <c r="M11" s="8">
        <f t="shared" si="4"/>
        <v>225</v>
      </c>
      <c r="N11" s="15"/>
      <c r="O11" s="15"/>
      <c r="P11" s="15"/>
      <c r="Q11" s="15"/>
      <c r="R11" s="15"/>
      <c r="S11" s="15"/>
    </row>
    <row r="12" spans="1:19" ht="15.75" customHeight="1" x14ac:dyDescent="0.25">
      <c r="A12" s="16" t="s">
        <v>207</v>
      </c>
      <c r="B12" s="37" t="str">
        <f>HYPERLINK("http://www.dmsguild.com/product/189087/CORE-21-Tales-of-Good--Evil?affiliate_id=759617","CORE2-1 Tales of Good and Evil")</f>
        <v>CORE2-1 Tales of Good and Evil</v>
      </c>
      <c r="C12" s="38">
        <v>1</v>
      </c>
      <c r="D12" s="32">
        <v>4</v>
      </c>
      <c r="E12" s="32" t="s">
        <v>208</v>
      </c>
      <c r="F12" s="32">
        <v>450</v>
      </c>
      <c r="G12" s="9" t="str">
        <f t="shared" si="0"/>
        <v>450</v>
      </c>
      <c r="H12" s="9" t="str">
        <f t="shared" si="1"/>
        <v>600*</v>
      </c>
      <c r="I12" s="38">
        <v>450</v>
      </c>
      <c r="J12" s="32" t="s">
        <v>354</v>
      </c>
      <c r="K12" s="8">
        <f t="shared" si="2"/>
        <v>450</v>
      </c>
      <c r="L12" s="8">
        <f t="shared" si="3"/>
        <v>112.5</v>
      </c>
      <c r="M12" s="8">
        <f t="shared" si="4"/>
        <v>112.5</v>
      </c>
      <c r="N12" s="15"/>
      <c r="O12" s="15"/>
      <c r="P12" s="15"/>
      <c r="Q12" s="15"/>
      <c r="R12" s="15"/>
      <c r="S12" s="15"/>
    </row>
    <row r="13" spans="1:19" ht="15.75" customHeight="1" x14ac:dyDescent="0.25">
      <c r="A13" s="16" t="s">
        <v>209</v>
      </c>
      <c r="B13" s="37" t="str">
        <f>HYPERLINK("http://www.dmsguild.com/product/189088/CORE-22-Songs-of-Law--Chaos?affiliate_id=759617","CORE2-2 Songs of Law &amp; Chaos")</f>
        <v>CORE2-2 Songs of Law &amp; Chaos</v>
      </c>
      <c r="C13" s="38">
        <v>1</v>
      </c>
      <c r="D13" s="32">
        <v>4</v>
      </c>
      <c r="E13" s="32" t="s">
        <v>63</v>
      </c>
      <c r="F13" s="32">
        <v>2915</v>
      </c>
      <c r="G13" s="9" t="str">
        <f t="shared" si="0"/>
        <v>900</v>
      </c>
      <c r="H13" s="9" t="str">
        <f t="shared" si="1"/>
        <v>1200</v>
      </c>
      <c r="I13" s="38">
        <v>900</v>
      </c>
      <c r="J13" s="38">
        <v>1200</v>
      </c>
      <c r="K13" s="8">
        <f t="shared" si="2"/>
        <v>1050</v>
      </c>
      <c r="L13" s="8">
        <f t="shared" si="3"/>
        <v>262.5</v>
      </c>
      <c r="M13" s="8">
        <f t="shared" si="4"/>
        <v>728.75</v>
      </c>
      <c r="N13" s="15"/>
      <c r="O13" s="15"/>
      <c r="P13" s="15"/>
      <c r="Q13" s="15"/>
      <c r="R13" s="15"/>
      <c r="S13" s="15"/>
    </row>
    <row r="14" spans="1:19" ht="15.75" customHeight="1" x14ac:dyDescent="0.25">
      <c r="A14" s="16" t="s">
        <v>210</v>
      </c>
      <c r="B14" s="37" t="str">
        <f>HYPERLINK("http://www.dmsguild.com/product/189089/CORE-23-Edicts-of-Neutrality?affiliate_id=759617","CORE2-3 Edicts of Neutrality")</f>
        <v>CORE2-3 Edicts of Neutrality</v>
      </c>
      <c r="C14" s="38">
        <v>1</v>
      </c>
      <c r="D14" s="32">
        <v>4</v>
      </c>
      <c r="E14" s="32" t="s">
        <v>127</v>
      </c>
      <c r="F14" s="32">
        <v>1200</v>
      </c>
      <c r="G14" s="9" t="str">
        <f t="shared" si="0"/>
        <v>1275</v>
      </c>
      <c r="H14" s="9" t="str">
        <f t="shared" si="1"/>
        <v>1700</v>
      </c>
      <c r="I14" s="38">
        <v>1275</v>
      </c>
      <c r="J14" s="38">
        <v>1700</v>
      </c>
      <c r="K14" s="8">
        <f t="shared" si="2"/>
        <v>1487.5</v>
      </c>
      <c r="L14" s="8">
        <f t="shared" si="3"/>
        <v>371.875</v>
      </c>
      <c r="M14" s="8">
        <f t="shared" si="4"/>
        <v>300</v>
      </c>
      <c r="N14" s="15"/>
      <c r="O14" s="15"/>
      <c r="P14" s="15"/>
      <c r="Q14" s="15"/>
      <c r="R14" s="15"/>
      <c r="S14" s="15"/>
    </row>
    <row r="15" spans="1:19" ht="15.75" customHeight="1" x14ac:dyDescent="0.25">
      <c r="A15" s="16" t="s">
        <v>211</v>
      </c>
      <c r="B15" s="37" t="str">
        <f>HYPERLINK("http://www.dmsguild.com/product/189329/HULB-11-Hulburg-Rebuilding?affiliate_id=759617","HULB1-1 Hulburg Rebuilding")</f>
        <v>HULB1-1 Hulburg Rebuilding</v>
      </c>
      <c r="C15" s="38">
        <v>2</v>
      </c>
      <c r="D15" s="32">
        <v>4</v>
      </c>
      <c r="E15" s="32" t="s">
        <v>13</v>
      </c>
      <c r="F15" s="32">
        <v>1665</v>
      </c>
      <c r="G15" s="9" t="str">
        <f t="shared" si="0"/>
        <v>4500</v>
      </c>
      <c r="H15" s="9" t="str">
        <f t="shared" si="1"/>
        <v>6000</v>
      </c>
      <c r="I15" s="38">
        <v>4500</v>
      </c>
      <c r="J15" s="38">
        <v>6000</v>
      </c>
      <c r="K15" s="8">
        <f t="shared" si="2"/>
        <v>5250</v>
      </c>
      <c r="L15" s="8">
        <f t="shared" si="3"/>
        <v>1312.5</v>
      </c>
      <c r="M15" s="8">
        <f t="shared" si="4"/>
        <v>416.25</v>
      </c>
      <c r="N15" s="15"/>
      <c r="O15" s="15"/>
      <c r="P15" s="15"/>
      <c r="Q15" s="15"/>
      <c r="R15" s="15"/>
      <c r="S15" s="15"/>
    </row>
    <row r="16" spans="1:19" ht="15.75" customHeight="1" x14ac:dyDescent="0.25">
      <c r="A16" s="16" t="s">
        <v>212</v>
      </c>
      <c r="B16" s="37" t="str">
        <f>HYPERLINK("http://www.dmsguild.com/product/189330/HULB-12-Hulburg-Burning?affiliate_id=759617","HULB1-2 Hulburg Burning")</f>
        <v>HULB1-2 Hulburg Burning</v>
      </c>
      <c r="C16" s="38">
        <v>2</v>
      </c>
      <c r="D16" s="32">
        <v>4</v>
      </c>
      <c r="E16" s="32" t="s">
        <v>13</v>
      </c>
      <c r="F16" s="32">
        <v>2250</v>
      </c>
      <c r="G16" s="9" t="str">
        <f t="shared" si="0"/>
        <v>4500</v>
      </c>
      <c r="H16" s="9" t="str">
        <f t="shared" si="1"/>
        <v>6000</v>
      </c>
      <c r="I16" s="38">
        <v>4500</v>
      </c>
      <c r="J16" s="38">
        <v>6000</v>
      </c>
      <c r="K16" s="8">
        <f t="shared" si="2"/>
        <v>5250</v>
      </c>
      <c r="L16" s="8">
        <f t="shared" si="3"/>
        <v>1312.5</v>
      </c>
      <c r="M16" s="8">
        <f t="shared" si="4"/>
        <v>562.5</v>
      </c>
      <c r="N16" s="15"/>
      <c r="O16" s="15"/>
      <c r="P16" s="15"/>
      <c r="Q16" s="15"/>
      <c r="R16" s="15"/>
      <c r="S16" s="15"/>
    </row>
    <row r="17" spans="1:19" ht="15.75" customHeight="1" x14ac:dyDescent="0.25">
      <c r="A17" s="16" t="s">
        <v>213</v>
      </c>
      <c r="B17" s="37" t="str">
        <f>HYPERLINK("http://www.dmsguild.com/product/189331/HULB-13-Hulburg-Rising?affiliate_id=759617","HULB1-3 Hulburg Rising")</f>
        <v>HULB1-3 Hulburg Rising</v>
      </c>
      <c r="C17" s="38">
        <v>2</v>
      </c>
      <c r="D17" s="32">
        <v>4</v>
      </c>
      <c r="E17" s="32" t="s">
        <v>13</v>
      </c>
      <c r="F17" s="32">
        <v>1470</v>
      </c>
      <c r="G17" s="9" t="str">
        <f t="shared" si="0"/>
        <v>4500</v>
      </c>
      <c r="H17" s="9" t="str">
        <f t="shared" si="1"/>
        <v>6000</v>
      </c>
      <c r="I17" s="38">
        <v>4500</v>
      </c>
      <c r="J17" s="38">
        <v>6000</v>
      </c>
      <c r="K17" s="8">
        <f t="shared" si="2"/>
        <v>5250</v>
      </c>
      <c r="L17" s="8">
        <f t="shared" si="3"/>
        <v>1312.5</v>
      </c>
      <c r="M17" s="8">
        <f t="shared" si="4"/>
        <v>367.5</v>
      </c>
      <c r="N17" s="15"/>
      <c r="O17" s="15"/>
      <c r="P17" s="15"/>
      <c r="Q17" s="15"/>
      <c r="R17" s="15"/>
      <c r="S17" s="15"/>
    </row>
    <row r="18" spans="1:19" ht="15.75" customHeight="1" x14ac:dyDescent="0.25">
      <c r="A18" s="16" t="s">
        <v>214</v>
      </c>
      <c r="B18" s="37" t="str">
        <f>HYPERLINK("http://www.dmsguild.com/product/184953/HILL-11-Arrival?affiliate_id=759617","HILL1-1 Arrival ")</f>
        <v xml:space="preserve">HILL1-1 Arrival </v>
      </c>
      <c r="C18" s="38">
        <v>2</v>
      </c>
      <c r="D18" s="32">
        <v>4</v>
      </c>
      <c r="E18" s="32" t="s">
        <v>43</v>
      </c>
      <c r="F18" s="32">
        <v>3400</v>
      </c>
      <c r="G18" s="9" t="str">
        <f t="shared" si="0"/>
        <v>3000</v>
      </c>
      <c r="H18" s="9" t="str">
        <f t="shared" si="1"/>
        <v>4000</v>
      </c>
      <c r="I18" s="38">
        <v>3000</v>
      </c>
      <c r="J18" s="38">
        <v>4000</v>
      </c>
      <c r="K18" s="8">
        <f t="shared" si="2"/>
        <v>3500</v>
      </c>
      <c r="L18" s="8">
        <f t="shared" si="3"/>
        <v>875</v>
      </c>
      <c r="M18" s="8">
        <f t="shared" si="4"/>
        <v>850</v>
      </c>
      <c r="N18" s="15"/>
      <c r="O18" s="15"/>
      <c r="P18" s="15"/>
      <c r="Q18" s="15"/>
      <c r="R18" s="15"/>
      <c r="S18" s="15"/>
    </row>
    <row r="19" spans="1:19" ht="15.75" customHeight="1" x14ac:dyDescent="0.25">
      <c r="A19" s="16" t="s">
        <v>215</v>
      </c>
      <c r="B19" s="37" t="str">
        <f>HYPERLINK("http://www.dmsguild.com/product/184994/HILL-12-Exodus?affiliate_id=759617","HILL1-2 Exodus")</f>
        <v>HILL1-2 Exodus</v>
      </c>
      <c r="C19" s="38">
        <v>2</v>
      </c>
      <c r="D19" s="32">
        <v>4</v>
      </c>
      <c r="E19" s="32" t="s">
        <v>128</v>
      </c>
      <c r="F19" s="32">
        <v>3200</v>
      </c>
      <c r="G19" s="9" t="str">
        <f t="shared" si="0"/>
        <v>3750</v>
      </c>
      <c r="H19" s="9" t="str">
        <f t="shared" si="1"/>
        <v>5000</v>
      </c>
      <c r="I19" s="38">
        <v>3750</v>
      </c>
      <c r="J19" s="38">
        <v>5000</v>
      </c>
      <c r="K19" s="8">
        <f t="shared" si="2"/>
        <v>4375</v>
      </c>
      <c r="L19" s="8">
        <f t="shared" si="3"/>
        <v>1093.75</v>
      </c>
      <c r="M19" s="8">
        <f t="shared" si="4"/>
        <v>800</v>
      </c>
      <c r="N19" s="15"/>
      <c r="O19" s="15"/>
      <c r="P19" s="15"/>
      <c r="Q19" s="15"/>
      <c r="R19" s="15"/>
      <c r="S19" s="15"/>
    </row>
    <row r="20" spans="1:19" ht="15.75" customHeight="1" x14ac:dyDescent="0.25">
      <c r="A20" s="16" t="s">
        <v>216</v>
      </c>
      <c r="B20" s="37" t="str">
        <f>HYPERLINK("http://www.dmsguild.com/product/185273/HILL-13-Resurgence?affiliate_id=759617","HILL1-3 Resurgance")</f>
        <v>HILL1-3 Resurgance</v>
      </c>
      <c r="C20" s="38">
        <v>2</v>
      </c>
      <c r="D20" s="32">
        <v>4</v>
      </c>
      <c r="E20" s="32" t="s">
        <v>13</v>
      </c>
      <c r="F20" s="32">
        <v>2300</v>
      </c>
      <c r="G20" s="9" t="str">
        <f t="shared" si="0"/>
        <v>4500</v>
      </c>
      <c r="H20" s="9" t="str">
        <f t="shared" si="1"/>
        <v>6000</v>
      </c>
      <c r="I20" s="38">
        <v>4500</v>
      </c>
      <c r="J20" s="38">
        <v>6000</v>
      </c>
      <c r="K20" s="8">
        <f t="shared" si="2"/>
        <v>5250</v>
      </c>
      <c r="L20" s="8">
        <f t="shared" si="3"/>
        <v>1312.5</v>
      </c>
      <c r="M20" s="8">
        <f t="shared" si="4"/>
        <v>575</v>
      </c>
      <c r="N20" s="15"/>
      <c r="O20" s="15"/>
      <c r="P20" s="15"/>
      <c r="Q20" s="15"/>
      <c r="R20" s="15"/>
      <c r="S20" s="15"/>
    </row>
    <row r="21" spans="1:19" ht="15.75" customHeight="1" x14ac:dyDescent="0.25">
      <c r="A21" s="16" t="s">
        <v>217</v>
      </c>
      <c r="B21" s="32" t="s">
        <v>218</v>
      </c>
      <c r="C21" s="38">
        <v>2</v>
      </c>
      <c r="D21" s="32">
        <v>4</v>
      </c>
      <c r="E21" s="32" t="s">
        <v>13</v>
      </c>
      <c r="F21" s="32">
        <v>1000</v>
      </c>
      <c r="G21" s="9" t="str">
        <f t="shared" si="0"/>
        <v>4500</v>
      </c>
      <c r="H21" s="9" t="str">
        <f t="shared" si="1"/>
        <v>6000</v>
      </c>
      <c r="I21" s="38">
        <v>4500</v>
      </c>
      <c r="J21" s="38">
        <v>6000</v>
      </c>
      <c r="K21" s="8">
        <f t="shared" si="2"/>
        <v>5250</v>
      </c>
      <c r="L21" s="8">
        <f t="shared" si="3"/>
        <v>1312.5</v>
      </c>
      <c r="M21" s="8">
        <f t="shared" si="4"/>
        <v>250</v>
      </c>
      <c r="N21" s="15"/>
      <c r="O21" s="15"/>
      <c r="P21" s="15"/>
      <c r="Q21" s="15"/>
      <c r="R21" s="15"/>
      <c r="S21" s="15"/>
    </row>
    <row r="22" spans="1:19" ht="15.75" customHeight="1" x14ac:dyDescent="0.25">
      <c r="A22" s="16" t="s">
        <v>219</v>
      </c>
      <c r="B22" s="37" t="str">
        <f>HYPERLINK("http://www.dmsguild.com/product/189520/PHLAN-11-Sepulture?affiliate_id=759617","PHLAN1-1 Sepulture")</f>
        <v>PHLAN1-1 Sepulture</v>
      </c>
      <c r="C22" s="38">
        <v>3</v>
      </c>
      <c r="D22" s="32">
        <v>4</v>
      </c>
      <c r="E22" s="32" t="s">
        <v>220</v>
      </c>
      <c r="F22" s="32">
        <v>6000</v>
      </c>
      <c r="G22" s="9" t="str">
        <f t="shared" si="0"/>
        <v>8625</v>
      </c>
      <c r="H22" s="9" t="str">
        <f t="shared" si="1"/>
        <v>11500</v>
      </c>
      <c r="I22" s="38">
        <v>8625</v>
      </c>
      <c r="J22" s="38">
        <v>11500</v>
      </c>
      <c r="K22" s="8">
        <f t="shared" si="2"/>
        <v>10062.5</v>
      </c>
      <c r="L22" s="8">
        <f t="shared" si="3"/>
        <v>2515.625</v>
      </c>
      <c r="M22" s="8">
        <f t="shared" si="4"/>
        <v>1500</v>
      </c>
      <c r="N22" s="15"/>
      <c r="O22" s="15"/>
      <c r="P22" s="15"/>
      <c r="Q22" s="15"/>
      <c r="R22" s="15"/>
      <c r="S22" s="15"/>
    </row>
    <row r="23" spans="1:19" x14ac:dyDescent="0.25">
      <c r="A23" s="16" t="s">
        <v>221</v>
      </c>
      <c r="B23" s="37" t="str">
        <f>HYPERLINK("http://www.dmsguild.com/product/189522/PHLAN-12-Enemy-of-my-Enemy?affiliate_id=759617","PHLAN1-2 Enemy of my Enemy")</f>
        <v>PHLAN1-2 Enemy of my Enemy</v>
      </c>
      <c r="C23" s="38">
        <v>3</v>
      </c>
      <c r="D23" s="32">
        <v>4</v>
      </c>
      <c r="E23" s="32" t="s">
        <v>222</v>
      </c>
      <c r="F23" s="32">
        <v>10500</v>
      </c>
      <c r="G23" s="9" t="str">
        <f t="shared" si="0"/>
        <v>8625</v>
      </c>
      <c r="H23" s="9" t="str">
        <f t="shared" si="1"/>
        <v>11000</v>
      </c>
      <c r="I23" s="38">
        <v>8625</v>
      </c>
      <c r="J23" s="38">
        <v>11000</v>
      </c>
      <c r="K23" s="8">
        <f t="shared" si="2"/>
        <v>9812.5</v>
      </c>
      <c r="L23" s="8">
        <f t="shared" si="3"/>
        <v>2453.125</v>
      </c>
      <c r="M23" s="8">
        <f t="shared" si="4"/>
        <v>2625</v>
      </c>
      <c r="N23" s="15"/>
      <c r="O23" s="15"/>
      <c r="P23" s="15"/>
      <c r="Q23" s="15"/>
      <c r="R23" s="15"/>
      <c r="S23" s="15"/>
    </row>
    <row r="24" spans="1:19" x14ac:dyDescent="0.25">
      <c r="A24" s="16" t="s">
        <v>223</v>
      </c>
      <c r="B24" s="37" t="str">
        <f>HYPERLINK("http://www.dmsguild.com/product/189523/PHLAN-13-Subterfuge?affiliate_id=759617","PHLAN1-3 Subterfuge")</f>
        <v>PHLAN1-3 Subterfuge</v>
      </c>
      <c r="C24" s="38">
        <v>3</v>
      </c>
      <c r="D24" s="32">
        <v>4</v>
      </c>
      <c r="E24" s="32" t="s">
        <v>222</v>
      </c>
      <c r="F24" s="32">
        <v>14350</v>
      </c>
      <c r="G24" s="9" t="str">
        <f t="shared" si="0"/>
        <v>8625</v>
      </c>
      <c r="H24" s="9" t="str">
        <f t="shared" si="1"/>
        <v>11000</v>
      </c>
      <c r="I24" s="38">
        <v>8625</v>
      </c>
      <c r="J24" s="38">
        <v>11000</v>
      </c>
      <c r="K24" s="8">
        <f t="shared" si="2"/>
        <v>9812.5</v>
      </c>
      <c r="L24" s="8">
        <f t="shared" si="3"/>
        <v>2453.125</v>
      </c>
      <c r="M24" s="8">
        <f t="shared" si="4"/>
        <v>3587.5</v>
      </c>
      <c r="N24" s="15"/>
      <c r="O24" s="15"/>
      <c r="P24" s="15"/>
      <c r="Q24" s="15"/>
      <c r="R24" s="15"/>
      <c r="S24" s="15"/>
    </row>
    <row r="25" spans="1:19" x14ac:dyDescent="0.25">
      <c r="A25" s="16" t="s">
        <v>224</v>
      </c>
      <c r="B25" s="37" t="str">
        <f>HYPERLINK("http://www.dmsguild.com/product/203366/CCCBMG16-ELM-11-The-Sage-of-Cormanthor?affiliate_id=759617","ELM1-1 The Sage of Cormathor")</f>
        <v>ELM1-1 The Sage of Cormathor</v>
      </c>
      <c r="C25" s="38">
        <v>2</v>
      </c>
      <c r="D25" s="32">
        <v>4</v>
      </c>
      <c r="E25" s="32" t="s">
        <v>13</v>
      </c>
      <c r="F25" s="32">
        <v>3000</v>
      </c>
      <c r="G25" s="9" t="str">
        <f t="shared" si="0"/>
        <v>4500</v>
      </c>
      <c r="H25" s="9" t="str">
        <f t="shared" si="1"/>
        <v>6000</v>
      </c>
      <c r="I25" s="38">
        <v>4500</v>
      </c>
      <c r="J25" s="38">
        <v>6000</v>
      </c>
      <c r="K25" s="8">
        <f t="shared" si="2"/>
        <v>5250</v>
      </c>
      <c r="L25" s="8">
        <f t="shared" si="3"/>
        <v>1312.5</v>
      </c>
      <c r="M25" s="8">
        <f t="shared" si="4"/>
        <v>750</v>
      </c>
      <c r="N25" s="15"/>
      <c r="O25" s="15"/>
      <c r="P25" s="15"/>
      <c r="Q25" s="15"/>
      <c r="R25" s="15"/>
      <c r="S25" s="18"/>
    </row>
    <row r="26" spans="1:19" x14ac:dyDescent="0.25">
      <c r="A26" s="16" t="s">
        <v>225</v>
      </c>
      <c r="B26" s="37" t="str">
        <f>HYPERLINK("http://www.dmsguild.com/product/204921/CCCBMG17-ELM-12-The-Lost-Sanctum?affiliate_id=759617","ELM1-2 The Lost Sanctum")</f>
        <v>ELM1-2 The Lost Sanctum</v>
      </c>
      <c r="C26" s="38">
        <v>2</v>
      </c>
      <c r="D26" s="32">
        <v>4</v>
      </c>
      <c r="E26" s="32" t="s">
        <v>13</v>
      </c>
      <c r="F26" s="32">
        <v>2500</v>
      </c>
      <c r="G26" s="9" t="str">
        <f t="shared" si="0"/>
        <v>4500</v>
      </c>
      <c r="H26" s="9" t="str">
        <f t="shared" si="1"/>
        <v>6000</v>
      </c>
      <c r="I26" s="38">
        <v>4500</v>
      </c>
      <c r="J26" s="38">
        <v>6000</v>
      </c>
      <c r="K26" s="8">
        <f t="shared" si="2"/>
        <v>5250</v>
      </c>
      <c r="L26" s="8">
        <f t="shared" si="3"/>
        <v>1312.5</v>
      </c>
      <c r="M26" s="8">
        <f t="shared" si="4"/>
        <v>625</v>
      </c>
      <c r="N26" s="15"/>
      <c r="O26" s="15"/>
      <c r="P26" s="15"/>
      <c r="Q26" s="15"/>
      <c r="R26" s="15"/>
      <c r="S26" s="15"/>
    </row>
    <row r="27" spans="1:19" x14ac:dyDescent="0.25">
      <c r="A27" s="16" t="s">
        <v>226</v>
      </c>
      <c r="B27" s="37" t="str">
        <f>HYPERLINK("https://www.dmsguild.com/product/204922/CCCBMG18-ELM-13-The-Battle-of-Elmwood?affiliate_id=759617","ELM1-3 The Battle of Elmwood")</f>
        <v>ELM1-3 The Battle of Elmwood</v>
      </c>
      <c r="C27" s="38">
        <v>2</v>
      </c>
      <c r="D27" s="32">
        <v>4</v>
      </c>
      <c r="E27" s="32" t="s">
        <v>13</v>
      </c>
      <c r="F27" s="32">
        <v>3000</v>
      </c>
      <c r="G27" s="9" t="str">
        <f t="shared" si="0"/>
        <v>4500</v>
      </c>
      <c r="H27" s="9" t="str">
        <f t="shared" si="1"/>
        <v>6000</v>
      </c>
      <c r="I27" s="38">
        <v>4500</v>
      </c>
      <c r="J27" s="38">
        <v>6000</v>
      </c>
      <c r="K27" s="8">
        <f t="shared" si="2"/>
        <v>5250</v>
      </c>
      <c r="L27" s="8">
        <f t="shared" si="3"/>
        <v>1312.5</v>
      </c>
      <c r="M27" s="8">
        <f t="shared" si="4"/>
        <v>750</v>
      </c>
      <c r="N27" s="15"/>
      <c r="O27" s="15"/>
      <c r="P27" s="15"/>
      <c r="Q27" s="15"/>
      <c r="R27" s="15"/>
      <c r="S27" s="15"/>
    </row>
    <row r="28" spans="1:19" x14ac:dyDescent="0.25">
      <c r="A28" s="16" t="s">
        <v>227</v>
      </c>
      <c r="B28" s="37" t="str">
        <f>HYPERLINK("http://www.dmsguild.com/product/225183/CCCBMG19-HULB21-Winters-Frosty-Kiss?affiliate_id=759617","HULB2-1 Winter’s Frosty Kiss")</f>
        <v>HULB2-1 Winter’s Frosty Kiss</v>
      </c>
      <c r="C28" s="38">
        <v>2</v>
      </c>
      <c r="D28" s="32">
        <v>4</v>
      </c>
      <c r="E28" s="32" t="s">
        <v>13</v>
      </c>
      <c r="F28" s="32">
        <f>100+100+75+1000+23+110</f>
        <v>1408</v>
      </c>
      <c r="G28" s="9" t="str">
        <f t="shared" si="0"/>
        <v>4500</v>
      </c>
      <c r="H28" s="9" t="str">
        <f t="shared" si="1"/>
        <v>6000</v>
      </c>
      <c r="I28" s="38">
        <v>4500</v>
      </c>
      <c r="J28" s="38">
        <v>6000</v>
      </c>
      <c r="K28" s="8">
        <f t="shared" si="2"/>
        <v>5250</v>
      </c>
      <c r="L28" s="8">
        <f t="shared" si="3"/>
        <v>1312.5</v>
      </c>
      <c r="M28" s="8">
        <f t="shared" si="4"/>
        <v>352</v>
      </c>
      <c r="N28" s="15"/>
      <c r="O28" s="15"/>
      <c r="P28" s="15"/>
      <c r="Q28" s="15"/>
      <c r="R28" s="15"/>
      <c r="S28" s="15"/>
    </row>
    <row r="29" spans="1:19" x14ac:dyDescent="0.25">
      <c r="A29" s="16" t="s">
        <v>228</v>
      </c>
      <c r="B29" s="37" t="str">
        <f>HYPERLINK("http://www.dmsguild.com/product/225184/CCCBMG20-HULB-22-Winters-Frigid-Wrath?affiliate_id=759617","HULB2-2 Winter’s Frigid Wrath")</f>
        <v>HULB2-2 Winter’s Frigid Wrath</v>
      </c>
      <c r="C29" s="38">
        <v>2</v>
      </c>
      <c r="D29" s="32">
        <v>4</v>
      </c>
      <c r="E29" s="32" t="s">
        <v>13</v>
      </c>
      <c r="F29" s="32">
        <v>1536</v>
      </c>
      <c r="G29" s="9" t="str">
        <f t="shared" si="0"/>
        <v>4500</v>
      </c>
      <c r="H29" s="9" t="str">
        <f t="shared" si="1"/>
        <v>6000</v>
      </c>
      <c r="I29" s="38">
        <v>4500</v>
      </c>
      <c r="J29" s="38">
        <v>6000</v>
      </c>
      <c r="K29" s="8">
        <f t="shared" si="2"/>
        <v>5250</v>
      </c>
      <c r="L29" s="8">
        <f t="shared" si="3"/>
        <v>1312.5</v>
      </c>
      <c r="M29" s="8">
        <f t="shared" si="4"/>
        <v>384</v>
      </c>
      <c r="N29" s="15"/>
      <c r="O29" s="15"/>
      <c r="P29" s="15"/>
      <c r="Q29" s="15"/>
      <c r="R29" s="15"/>
      <c r="S29" s="15"/>
    </row>
    <row r="30" spans="1:19" x14ac:dyDescent="0.25">
      <c r="A30" s="16" t="s">
        <v>229</v>
      </c>
      <c r="B30" s="37" t="str">
        <f>HYPERLINK("http://www.dmsguild.com/product/225185/CCCBMG21-HULB-23-Winters-Sharp-Bite?affiliate_id=759617","HULB2-3 Winter’s Sharp Bite")</f>
        <v>HULB2-3 Winter’s Sharp Bite</v>
      </c>
      <c r="C30" s="38">
        <v>2</v>
      </c>
      <c r="D30" s="32">
        <v>4</v>
      </c>
      <c r="E30" s="32" t="s">
        <v>13</v>
      </c>
      <c r="F30" s="32">
        <f>1000+350+425+210+80</f>
        <v>2065</v>
      </c>
      <c r="G30" s="9" t="str">
        <f t="shared" si="0"/>
        <v>4500</v>
      </c>
      <c r="H30" s="9" t="str">
        <f t="shared" si="1"/>
        <v>6000</v>
      </c>
      <c r="I30" s="38">
        <v>4500</v>
      </c>
      <c r="J30" s="38">
        <v>6000</v>
      </c>
      <c r="K30" s="8">
        <f t="shared" si="2"/>
        <v>5250</v>
      </c>
      <c r="L30" s="8">
        <f t="shared" si="3"/>
        <v>1312.5</v>
      </c>
      <c r="M30" s="8">
        <f t="shared" si="4"/>
        <v>516.25</v>
      </c>
      <c r="N30" s="15"/>
      <c r="O30" s="15"/>
      <c r="P30" s="15"/>
      <c r="Q30" s="15"/>
      <c r="R30" s="15"/>
      <c r="S30" s="15"/>
    </row>
    <row r="31" spans="1:19" x14ac:dyDescent="0.25">
      <c r="A31" s="16" t="s">
        <v>230</v>
      </c>
      <c r="B31" s="37" t="str">
        <f>HYPERLINK("http://www.dmsguild.com/product/230627/CCCBMG22-PHLAN-21-Demagogue?affiliate_id=759617","PHLAN2-1 Demogogue")</f>
        <v>PHLAN2-1 Demogogue</v>
      </c>
      <c r="C31" s="38">
        <v>3</v>
      </c>
      <c r="D31" s="32">
        <v>4</v>
      </c>
      <c r="E31" s="32" t="s">
        <v>220</v>
      </c>
      <c r="F31" s="32">
        <v>6000</v>
      </c>
      <c r="G31" s="9" t="str">
        <f t="shared" si="0"/>
        <v>8625</v>
      </c>
      <c r="H31" s="9" t="str">
        <f t="shared" si="1"/>
        <v>11500</v>
      </c>
      <c r="I31" s="38">
        <v>8625</v>
      </c>
      <c r="J31" s="38">
        <v>11500</v>
      </c>
      <c r="K31" s="8">
        <f t="shared" si="2"/>
        <v>10062.5</v>
      </c>
      <c r="L31" s="8">
        <f t="shared" si="3"/>
        <v>2515.625</v>
      </c>
      <c r="M31" s="8">
        <f t="shared" si="4"/>
        <v>1500</v>
      </c>
      <c r="N31" s="15"/>
      <c r="O31" s="15"/>
      <c r="P31" s="15"/>
      <c r="Q31" s="15"/>
      <c r="R31" s="15"/>
      <c r="S31" s="15"/>
    </row>
    <row r="32" spans="1:19" x14ac:dyDescent="0.25">
      <c r="A32" s="16" t="s">
        <v>231</v>
      </c>
      <c r="B32" s="37" t="str">
        <f>HYPERLINK("http://www.dmsguild.com/product/230628/CCCBMG23-PHLAN-22-Hatemaster?affiliate_id=759617","PHLAN2-2 Hatemaster")</f>
        <v>PHLAN2-2 Hatemaster</v>
      </c>
      <c r="C32" s="38">
        <v>3</v>
      </c>
      <c r="D32" s="32">
        <v>4</v>
      </c>
      <c r="E32" s="32" t="s">
        <v>220</v>
      </c>
      <c r="F32" s="32">
        <v>6000</v>
      </c>
      <c r="G32" s="9" t="str">
        <f t="shared" si="0"/>
        <v>8625</v>
      </c>
      <c r="H32" s="9" t="str">
        <f t="shared" si="1"/>
        <v>11500</v>
      </c>
      <c r="I32" s="38">
        <v>8625</v>
      </c>
      <c r="J32" s="38">
        <v>11500</v>
      </c>
      <c r="K32" s="8">
        <f t="shared" si="2"/>
        <v>10062.5</v>
      </c>
      <c r="L32" s="8">
        <f t="shared" si="3"/>
        <v>2515.625</v>
      </c>
      <c r="M32" s="8">
        <f t="shared" si="4"/>
        <v>1500</v>
      </c>
      <c r="N32" s="15"/>
      <c r="O32" s="15"/>
      <c r="P32" s="15"/>
      <c r="Q32" s="15"/>
      <c r="R32" s="15"/>
      <c r="S32" s="15"/>
    </row>
    <row r="33" spans="1:19" x14ac:dyDescent="0.25">
      <c r="A33" s="16" t="s">
        <v>232</v>
      </c>
      <c r="B33" s="37" t="str">
        <f>HYPERLINK("http://www.dmsguild.com/product/230629/CCCBMG24-PHLAN-23-The-Royal-We?affiliate_id=759617","PHLAN2-3 The Royal We")</f>
        <v>PHLAN2-3 The Royal We</v>
      </c>
      <c r="C33" s="38">
        <v>3</v>
      </c>
      <c r="D33" s="32">
        <v>4</v>
      </c>
      <c r="E33" s="32" t="s">
        <v>220</v>
      </c>
      <c r="F33" s="32">
        <v>6000</v>
      </c>
      <c r="G33" s="9" t="str">
        <f t="shared" si="0"/>
        <v>8625</v>
      </c>
      <c r="H33" s="9" t="str">
        <f t="shared" si="1"/>
        <v>11500</v>
      </c>
      <c r="I33" s="38">
        <v>8625</v>
      </c>
      <c r="J33" s="38">
        <v>11500</v>
      </c>
      <c r="K33" s="8">
        <f t="shared" si="2"/>
        <v>10062.5</v>
      </c>
      <c r="L33" s="8">
        <f t="shared" si="3"/>
        <v>2515.625</v>
      </c>
      <c r="M33" s="8">
        <f t="shared" si="4"/>
        <v>1500</v>
      </c>
      <c r="N33" s="15"/>
      <c r="O33" s="15"/>
      <c r="P33" s="15"/>
      <c r="Q33" s="15"/>
      <c r="R33" s="15"/>
      <c r="S33" s="15"/>
    </row>
    <row r="34" spans="1:19" x14ac:dyDescent="0.25">
      <c r="A34" s="16" t="s">
        <v>233</v>
      </c>
      <c r="B34" s="37" t="str">
        <f>HYPERLINK("http://www.dmsguild.com/product/239572/CCCBMG25-CORE-31-The-Spectral-Incursion?affiliate_id=759617","The Spectral Incursion")</f>
        <v>The Spectral Incursion</v>
      </c>
      <c r="C34" s="38">
        <v>1</v>
      </c>
      <c r="D34" s="32">
        <v>4</v>
      </c>
      <c r="E34" s="32" t="s">
        <v>65</v>
      </c>
      <c r="F34" s="32">
        <f>500+200+25*7</f>
        <v>875</v>
      </c>
      <c r="G34" s="9" t="str">
        <f t="shared" si="0"/>
        <v>225</v>
      </c>
      <c r="H34" s="9" t="str">
        <f t="shared" si="1"/>
        <v>300</v>
      </c>
      <c r="I34" s="38">
        <v>225</v>
      </c>
      <c r="J34" s="38">
        <v>300</v>
      </c>
      <c r="K34" s="8">
        <f t="shared" si="2"/>
        <v>262.5</v>
      </c>
      <c r="L34" s="8">
        <f t="shared" si="3"/>
        <v>65.625</v>
      </c>
      <c r="M34" s="8">
        <f t="shared" si="4"/>
        <v>218.75</v>
      </c>
      <c r="N34" s="15"/>
      <c r="O34" s="15"/>
      <c r="P34" s="15"/>
      <c r="Q34" s="15"/>
      <c r="R34" s="15"/>
      <c r="S34" s="15"/>
    </row>
    <row r="35" spans="1:19" x14ac:dyDescent="0.25">
      <c r="A35" s="16" t="s">
        <v>234</v>
      </c>
      <c r="B35" s="37" t="str">
        <f>HYPERLINK("http://www.dmsguild.com/product/239577/CCCBMG26-CORE-32-The-Ghostly-Infestation?affiliate_id=759617","The Ghostly Infestation")</f>
        <v>The Ghostly Infestation</v>
      </c>
      <c r="C35" s="38">
        <v>1</v>
      </c>
      <c r="D35" s="32">
        <v>4</v>
      </c>
      <c r="E35" s="32" t="s">
        <v>10</v>
      </c>
      <c r="F35" s="32">
        <f>50*7+500</f>
        <v>850</v>
      </c>
      <c r="G35" s="9" t="str">
        <f t="shared" si="0"/>
        <v>450</v>
      </c>
      <c r="H35" s="9" t="str">
        <f t="shared" si="1"/>
        <v>600</v>
      </c>
      <c r="I35" s="38">
        <v>450</v>
      </c>
      <c r="J35" s="38">
        <v>600</v>
      </c>
      <c r="K35" s="8">
        <f t="shared" si="2"/>
        <v>525</v>
      </c>
      <c r="L35" s="8">
        <f t="shared" si="3"/>
        <v>131.25</v>
      </c>
      <c r="M35" s="8">
        <f t="shared" si="4"/>
        <v>212.5</v>
      </c>
      <c r="N35" s="15"/>
      <c r="O35" s="15"/>
      <c r="P35" s="15"/>
      <c r="Q35" s="15"/>
      <c r="R35" s="15"/>
      <c r="S35" s="15"/>
    </row>
    <row r="36" spans="1:19" x14ac:dyDescent="0.25">
      <c r="A36" s="16" t="s">
        <v>235</v>
      </c>
      <c r="B36" s="37" t="str">
        <f>HYPERLINK("http://www.dmsguild.com/product/239578/CCCBMG27-CORE-33-The-Spirited-Investigation?affiliate_id=759617","The Spirited Investigation")</f>
        <v>The Spirited Investigation</v>
      </c>
      <c r="C36" s="38">
        <v>1</v>
      </c>
      <c r="D36" s="32">
        <v>4</v>
      </c>
      <c r="E36" s="32" t="s">
        <v>63</v>
      </c>
      <c r="F36" s="32">
        <f>25*7+25+100</f>
        <v>300</v>
      </c>
      <c r="G36" s="9" t="str">
        <f t="shared" si="0"/>
        <v>900</v>
      </c>
      <c r="H36" s="9" t="str">
        <f t="shared" si="1"/>
        <v>1200</v>
      </c>
      <c r="I36" s="38">
        <v>900</v>
      </c>
      <c r="J36" s="38">
        <v>1200</v>
      </c>
      <c r="K36" s="8">
        <f t="shared" si="2"/>
        <v>1050</v>
      </c>
      <c r="L36" s="8">
        <f t="shared" si="3"/>
        <v>262.5</v>
      </c>
      <c r="M36" s="8">
        <f t="shared" si="4"/>
        <v>75</v>
      </c>
      <c r="N36" s="15"/>
      <c r="O36" s="15"/>
      <c r="P36" s="15"/>
      <c r="Q36" s="15"/>
      <c r="R36" s="15"/>
      <c r="S36" s="15"/>
    </row>
    <row r="37" spans="1:19" x14ac:dyDescent="0.25">
      <c r="A37" s="16" t="s">
        <v>236</v>
      </c>
      <c r="B37" s="37" t="str">
        <f>HYPERLINK("http://www.dmsguild.com/product/240059/CCCBMG28-Hill-21-The-Red-Gathering?src=newest_community&amp;affiliate_id=759617","Hill 2-1 The Red Gathering")</f>
        <v>Hill 2-1 The Red Gathering</v>
      </c>
      <c r="C37" s="38">
        <v>2</v>
      </c>
      <c r="D37" s="32">
        <v>4</v>
      </c>
      <c r="E37" s="32" t="s">
        <v>26</v>
      </c>
      <c r="F37" s="32">
        <f>500+75+75+2000+1000</f>
        <v>3650</v>
      </c>
      <c r="G37" s="9" t="str">
        <f t="shared" si="0"/>
        <v>4500</v>
      </c>
      <c r="H37" s="9" t="str">
        <f t="shared" si="1"/>
        <v>7500</v>
      </c>
      <c r="I37" s="38">
        <v>4500</v>
      </c>
      <c r="J37" s="38">
        <v>7500</v>
      </c>
      <c r="K37" s="8">
        <f t="shared" si="2"/>
        <v>6000</v>
      </c>
      <c r="L37" s="8">
        <f t="shared" si="3"/>
        <v>1500</v>
      </c>
      <c r="M37" s="8">
        <f t="shared" si="4"/>
        <v>912.5</v>
      </c>
      <c r="N37" s="15"/>
      <c r="O37" s="15"/>
      <c r="P37" s="15"/>
      <c r="Q37" s="15"/>
      <c r="R37" s="15"/>
      <c r="S37" s="15"/>
    </row>
    <row r="38" spans="1:19" x14ac:dyDescent="0.25">
      <c r="A38" s="16" t="s">
        <v>237</v>
      </c>
      <c r="B38" s="37" t="str">
        <f>HYPERLINK("http://www.dmsguild.com/product/240422/CCCBMG29-Hill-22-The-Red-Herring?affiliate_id=759617","Hill 2-2 The Red Herring")</f>
        <v>Hill 2-2 The Red Herring</v>
      </c>
      <c r="C38" s="38">
        <v>2</v>
      </c>
      <c r="D38" s="32">
        <v>4</v>
      </c>
      <c r="E38" s="32" t="s">
        <v>26</v>
      </c>
      <c r="F38" s="32">
        <v>500</v>
      </c>
      <c r="G38" s="9" t="str">
        <f t="shared" si="0"/>
        <v>4500</v>
      </c>
      <c r="H38" s="9" t="str">
        <f t="shared" si="1"/>
        <v>7500</v>
      </c>
      <c r="I38" s="38">
        <v>4500</v>
      </c>
      <c r="J38" s="38">
        <v>7500</v>
      </c>
      <c r="K38" s="8">
        <f t="shared" si="2"/>
        <v>6000</v>
      </c>
      <c r="L38" s="8">
        <f t="shared" si="3"/>
        <v>1500</v>
      </c>
      <c r="M38" s="8">
        <f t="shared" si="4"/>
        <v>125</v>
      </c>
      <c r="N38" s="15"/>
      <c r="O38" s="15"/>
      <c r="P38" s="15"/>
      <c r="Q38" s="15"/>
      <c r="R38" s="15"/>
      <c r="S38" s="15"/>
    </row>
    <row r="39" spans="1:19" x14ac:dyDescent="0.25">
      <c r="A39" s="16" t="s">
        <v>238</v>
      </c>
      <c r="B39" s="37" t="str">
        <f>HYPERLINK("http://www.dmsguild.com/product/240423/CCCBMG30-Hill-23-The-Red-Death?affiliate_id=759617","Hill 2-3 The Red Death")</f>
        <v>Hill 2-3 The Red Death</v>
      </c>
      <c r="C39" s="38">
        <v>2</v>
      </c>
      <c r="D39" s="32">
        <v>4</v>
      </c>
      <c r="E39" s="32" t="s">
        <v>26</v>
      </c>
      <c r="F39" s="32">
        <f>50+500+400*7</f>
        <v>3350</v>
      </c>
      <c r="G39" s="9" t="str">
        <f t="shared" si="0"/>
        <v>4500</v>
      </c>
      <c r="H39" s="9" t="str">
        <f t="shared" si="1"/>
        <v>7500</v>
      </c>
      <c r="I39" s="38">
        <v>4500</v>
      </c>
      <c r="J39" s="38">
        <v>7500</v>
      </c>
      <c r="K39" s="8">
        <f t="shared" si="2"/>
        <v>6000</v>
      </c>
      <c r="L39" s="8">
        <f t="shared" si="3"/>
        <v>1500</v>
      </c>
      <c r="M39" s="8">
        <f t="shared" si="4"/>
        <v>837.5</v>
      </c>
      <c r="N39" s="15"/>
      <c r="O39" s="15"/>
      <c r="P39" s="15"/>
      <c r="Q39" s="15"/>
      <c r="R39" s="15"/>
      <c r="S39" s="15"/>
    </row>
    <row r="40" spans="1:19" x14ac:dyDescent="0.25">
      <c r="A40" s="16" t="s">
        <v>239</v>
      </c>
      <c r="B40" s="37" t="str">
        <f>HYPERLINK("http://www.dmsguild.com/product/247511/CCCBMG31-PHLAN-31-The-Conventicle-of-Chaos?affiliate_id=759617","PHLAN 3-1 The Conventicle of Chaos")</f>
        <v>PHLAN 3-1 The Conventicle of Chaos</v>
      </c>
      <c r="C40" s="38">
        <v>1</v>
      </c>
      <c r="D40" s="32">
        <v>4</v>
      </c>
      <c r="E40" s="32" t="s">
        <v>63</v>
      </c>
      <c r="F40" s="32">
        <f>200+29+80+20+50+300+100+20</f>
        <v>799</v>
      </c>
      <c r="G40" s="9" t="str">
        <f t="shared" si="0"/>
        <v>900</v>
      </c>
      <c r="H40" s="9" t="str">
        <f t="shared" si="1"/>
        <v>1200</v>
      </c>
      <c r="I40" s="38">
        <v>900</v>
      </c>
      <c r="J40" s="38">
        <v>1200</v>
      </c>
      <c r="K40" s="8">
        <f t="shared" si="2"/>
        <v>1050</v>
      </c>
      <c r="L40" s="8">
        <f t="shared" si="3"/>
        <v>262.5</v>
      </c>
      <c r="M40" s="8">
        <f t="shared" si="4"/>
        <v>199.75</v>
      </c>
      <c r="N40" s="15"/>
      <c r="O40" s="15"/>
      <c r="P40" s="15"/>
      <c r="Q40" s="15"/>
      <c r="R40" s="15"/>
      <c r="S40" s="15"/>
    </row>
    <row r="41" spans="1:19" x14ac:dyDescent="0.25">
      <c r="A41" s="16" t="s">
        <v>240</v>
      </c>
      <c r="B41" s="37" t="str">
        <f>HYPERLINK("http://www.dmsguild.com/product/247512/CCCBMG32-PHLAN-32-The-First-Rule?affiliate_id=759617","PHLAN 3-2 The First Rule")</f>
        <v>PHLAN 3-2 The First Rule</v>
      </c>
      <c r="C41" s="38">
        <v>1</v>
      </c>
      <c r="D41" s="32">
        <v>4</v>
      </c>
      <c r="E41" s="32" t="s">
        <v>63</v>
      </c>
      <c r="F41" s="32">
        <f>100*7+25+45+15+40+50*7</f>
        <v>1175</v>
      </c>
      <c r="G41" s="9" t="str">
        <f t="shared" si="0"/>
        <v>900</v>
      </c>
      <c r="H41" s="9" t="str">
        <f t="shared" si="1"/>
        <v>1200</v>
      </c>
      <c r="I41" s="38">
        <v>900</v>
      </c>
      <c r="J41" s="38">
        <v>1200</v>
      </c>
      <c r="K41" s="8">
        <f t="shared" si="2"/>
        <v>1050</v>
      </c>
      <c r="L41" s="8">
        <f t="shared" si="3"/>
        <v>262.5</v>
      </c>
      <c r="M41" s="8">
        <f t="shared" si="4"/>
        <v>293.75</v>
      </c>
      <c r="N41" s="15"/>
      <c r="O41" s="15"/>
      <c r="P41" s="15"/>
      <c r="Q41" s="15"/>
      <c r="R41" s="15"/>
      <c r="S41" s="15"/>
    </row>
    <row r="42" spans="1:19" x14ac:dyDescent="0.25">
      <c r="A42" s="16" t="s">
        <v>241</v>
      </c>
      <c r="B42" s="37" t="str">
        <f>HYPERLINK("http://www.dmsguild.com/product/247513/CCCBMG33-PHLAN-33-Spinning-on-the-Edge?affiliate_id=759617","PHLAN 3-3 Spinning on the Edge")</f>
        <v>PHLAN 3-3 Spinning on the Edge</v>
      </c>
      <c r="C42" s="38">
        <v>1</v>
      </c>
      <c r="D42" s="32">
        <v>4</v>
      </c>
      <c r="E42" s="32" t="s">
        <v>63</v>
      </c>
      <c r="F42" s="32">
        <f>250+100+3+24+46+68+109+50*2*0.5</f>
        <v>650</v>
      </c>
      <c r="G42" s="9" t="str">
        <f t="shared" si="0"/>
        <v>900</v>
      </c>
      <c r="H42" s="9" t="str">
        <f t="shared" si="1"/>
        <v>1200</v>
      </c>
      <c r="I42" s="38">
        <v>900</v>
      </c>
      <c r="J42" s="38">
        <v>1200</v>
      </c>
      <c r="K42" s="8">
        <f t="shared" si="2"/>
        <v>1050</v>
      </c>
      <c r="L42" s="8">
        <f t="shared" si="3"/>
        <v>262.5</v>
      </c>
      <c r="M42" s="8">
        <f t="shared" si="4"/>
        <v>162.5</v>
      </c>
      <c r="N42" s="15"/>
      <c r="O42" s="15"/>
      <c r="P42" s="15"/>
      <c r="Q42" s="15"/>
      <c r="R42" s="15"/>
      <c r="S42" s="15"/>
    </row>
    <row r="43" spans="1:19" x14ac:dyDescent="0.25">
      <c r="A43" s="16" t="s">
        <v>242</v>
      </c>
      <c r="B43" s="37" t="str">
        <f>HYPERLINK("http://www.dmsguild.com/product/199826/CCCCIC01-The-Vault-of-the-Devourer?affiliate_id=759617","The Vault of the Devourer")</f>
        <v>The Vault of the Devourer</v>
      </c>
      <c r="C43" s="38">
        <v>1</v>
      </c>
      <c r="D43" s="32">
        <v>4</v>
      </c>
      <c r="E43" s="32" t="s">
        <v>63</v>
      </c>
      <c r="F43" s="32">
        <v>550</v>
      </c>
      <c r="G43" s="9" t="str">
        <f t="shared" si="0"/>
        <v>900</v>
      </c>
      <c r="H43" s="9" t="str">
        <f t="shared" si="1"/>
        <v>1200</v>
      </c>
      <c r="I43" s="38">
        <v>900</v>
      </c>
      <c r="J43" s="38">
        <v>1200</v>
      </c>
      <c r="K43" s="8">
        <f t="shared" si="2"/>
        <v>1050</v>
      </c>
      <c r="L43" s="8">
        <f t="shared" si="3"/>
        <v>262.5</v>
      </c>
      <c r="M43" s="8">
        <f t="shared" si="4"/>
        <v>137.5</v>
      </c>
      <c r="N43" s="15"/>
      <c r="O43" s="15"/>
      <c r="P43" s="15"/>
      <c r="Q43" s="15"/>
      <c r="R43" s="15"/>
      <c r="S43" s="15"/>
    </row>
    <row r="44" spans="1:19" x14ac:dyDescent="0.25">
      <c r="A44" s="16" t="s">
        <v>243</v>
      </c>
      <c r="B44" s="37" t="str">
        <f>HYPERLINK("http://www.dmsguild.com/product/207980/CCCCIC02-The-Clockwork-Laboratory?affiliate_id=759617","The Clockwork Laborotory")</f>
        <v>The Clockwork Laborotory</v>
      </c>
      <c r="C44" s="38">
        <v>2</v>
      </c>
      <c r="D44" s="32">
        <v>4</v>
      </c>
      <c r="E44" s="32" t="s">
        <v>128</v>
      </c>
      <c r="F44" s="32">
        <v>3383.5</v>
      </c>
      <c r="G44" s="9" t="str">
        <f t="shared" si="0"/>
        <v>3750</v>
      </c>
      <c r="H44" s="9" t="str">
        <f t="shared" si="1"/>
        <v>5000</v>
      </c>
      <c r="I44" s="38">
        <v>3750</v>
      </c>
      <c r="J44" s="38">
        <v>5000</v>
      </c>
      <c r="K44" s="8">
        <f t="shared" si="2"/>
        <v>4375</v>
      </c>
      <c r="L44" s="8">
        <f t="shared" si="3"/>
        <v>1093.75</v>
      </c>
      <c r="M44" s="8">
        <f t="shared" si="4"/>
        <v>845.875</v>
      </c>
      <c r="N44" s="15"/>
      <c r="O44" s="15"/>
      <c r="P44" s="15"/>
      <c r="Q44" s="15"/>
      <c r="R44" s="15"/>
      <c r="S44" s="15"/>
    </row>
    <row r="45" spans="1:19" x14ac:dyDescent="0.25">
      <c r="A45" s="16" t="s">
        <v>244</v>
      </c>
      <c r="B45" s="37" t="str">
        <f>HYPERLINK("http://www.dmsguild.com/product/207993/CCCCIC03-The-Desolate-Undercroft?affiliate_id=759617","The Desolate Undercroft")</f>
        <v>The Desolate Undercroft</v>
      </c>
      <c r="C45" s="38">
        <v>2</v>
      </c>
      <c r="D45" s="32">
        <v>4</v>
      </c>
      <c r="E45" s="32" t="s">
        <v>13</v>
      </c>
      <c r="F45" s="32">
        <v>4700</v>
      </c>
      <c r="G45" s="9" t="str">
        <f t="shared" si="0"/>
        <v>4500</v>
      </c>
      <c r="H45" s="9" t="str">
        <f t="shared" si="1"/>
        <v>6000</v>
      </c>
      <c r="I45" s="38">
        <v>4500</v>
      </c>
      <c r="J45" s="38">
        <v>6000</v>
      </c>
      <c r="K45" s="8">
        <f t="shared" si="2"/>
        <v>5250</v>
      </c>
      <c r="L45" s="8">
        <f t="shared" si="3"/>
        <v>1312.5</v>
      </c>
      <c r="M45" s="8">
        <f t="shared" si="4"/>
        <v>1175</v>
      </c>
      <c r="N45" s="15"/>
      <c r="O45" s="15"/>
      <c r="P45" s="15"/>
      <c r="Q45" s="15"/>
      <c r="R45" s="15"/>
      <c r="S45" s="15"/>
    </row>
    <row r="46" spans="1:19" x14ac:dyDescent="0.25">
      <c r="A46" s="16" t="s">
        <v>245</v>
      </c>
      <c r="B46" s="37" t="str">
        <f>HYPERLINK("http://www.dmsguild.com/product/216389/CCCCIC04-Best-Friends-Forever?affiliate_id=759617","Best Friends Forever")</f>
        <v>Best Friends Forever</v>
      </c>
      <c r="C46" s="38">
        <v>2</v>
      </c>
      <c r="D46" s="32">
        <v>4</v>
      </c>
      <c r="E46" s="32" t="s">
        <v>13</v>
      </c>
      <c r="F46" s="32">
        <f>350+500+250+500+250+100+50+500*7</f>
        <v>5500</v>
      </c>
      <c r="G46" s="9" t="str">
        <f t="shared" si="0"/>
        <v>4500</v>
      </c>
      <c r="H46" s="9" t="str">
        <f t="shared" si="1"/>
        <v>6000</v>
      </c>
      <c r="I46" s="38">
        <v>4500</v>
      </c>
      <c r="J46" s="38">
        <v>6000</v>
      </c>
      <c r="K46" s="8">
        <f t="shared" si="2"/>
        <v>5250</v>
      </c>
      <c r="L46" s="8">
        <f t="shared" si="3"/>
        <v>1312.5</v>
      </c>
      <c r="M46" s="8">
        <f t="shared" si="4"/>
        <v>1375</v>
      </c>
      <c r="N46" s="15"/>
      <c r="O46" s="15"/>
      <c r="P46" s="15"/>
      <c r="Q46" s="15"/>
      <c r="R46" s="15"/>
      <c r="S46" s="15"/>
    </row>
    <row r="47" spans="1:19" x14ac:dyDescent="0.25">
      <c r="A47" s="16" t="s">
        <v>246</v>
      </c>
      <c r="B47" s="37" t="str">
        <f>HYPERLINK("http://www.dmsguild.com/product/238300/CCCCIC05-Donum-Vitae?affiliate_id=759617","Donum Vitae")</f>
        <v>Donum Vitae</v>
      </c>
      <c r="C47" s="38">
        <v>2</v>
      </c>
      <c r="D47" s="32">
        <v>4</v>
      </c>
      <c r="E47" s="32" t="s">
        <v>13</v>
      </c>
      <c r="F47" s="32">
        <f>500*7+750*7+2000</f>
        <v>10750</v>
      </c>
      <c r="G47" s="9" t="str">
        <f t="shared" si="0"/>
        <v>4500</v>
      </c>
      <c r="H47" s="9" t="str">
        <f t="shared" si="1"/>
        <v>6000</v>
      </c>
      <c r="I47" s="38">
        <v>4500</v>
      </c>
      <c r="J47" s="38">
        <v>6000</v>
      </c>
      <c r="K47" s="8">
        <f t="shared" si="2"/>
        <v>5250</v>
      </c>
      <c r="L47" s="8">
        <f t="shared" si="3"/>
        <v>1312.5</v>
      </c>
      <c r="M47" s="8">
        <f t="shared" si="4"/>
        <v>2687.5</v>
      </c>
      <c r="N47" s="15"/>
      <c r="O47" s="15"/>
      <c r="P47" s="15"/>
      <c r="Q47" s="15"/>
      <c r="R47" s="15"/>
      <c r="S47" s="15"/>
    </row>
    <row r="48" spans="1:19" x14ac:dyDescent="0.25">
      <c r="A48" s="16" t="s">
        <v>247</v>
      </c>
      <c r="B48" s="37" t="str">
        <f>HYPERLINK("http://www.dmsguild.com/product/238181/CCCCIC06-End-of-the-Line?affiliate_id=759617","End of the Line")</f>
        <v>End of the Line</v>
      </c>
      <c r="C48" s="38">
        <v>1</v>
      </c>
      <c r="D48" s="32">
        <v>4</v>
      </c>
      <c r="E48" s="32" t="s">
        <v>63</v>
      </c>
      <c r="F48" s="32">
        <f>260+400+200</f>
        <v>860</v>
      </c>
      <c r="G48" s="9" t="str">
        <f t="shared" si="0"/>
        <v>900</v>
      </c>
      <c r="H48" s="9" t="str">
        <f t="shared" si="1"/>
        <v>1200</v>
      </c>
      <c r="I48" s="38">
        <v>900</v>
      </c>
      <c r="J48" s="38">
        <v>1200</v>
      </c>
      <c r="K48" s="8">
        <f t="shared" si="2"/>
        <v>1050</v>
      </c>
      <c r="L48" s="8">
        <f t="shared" si="3"/>
        <v>262.5</v>
      </c>
      <c r="M48" s="8">
        <f t="shared" si="4"/>
        <v>215</v>
      </c>
      <c r="N48" s="15"/>
      <c r="O48" s="15"/>
      <c r="P48" s="15"/>
      <c r="Q48" s="15"/>
      <c r="R48" s="15"/>
      <c r="S48" s="15"/>
    </row>
    <row r="49" spans="1:19" x14ac:dyDescent="0.25">
      <c r="A49" s="16" t="s">
        <v>248</v>
      </c>
      <c r="B49" s="37" t="str">
        <f>HYPERLINK("http://www.dmsguild.com/product/238289/CCCCIC08-The-Last-Voyage-of-the-Woolgathering-Tidsoptimist?affiliate_id=759617","The Last Voyage of the Woolgathering Tidsoptimist")</f>
        <v>The Last Voyage of the Woolgathering Tidsoptimist</v>
      </c>
      <c r="C49" s="38">
        <v>1</v>
      </c>
      <c r="D49" s="32">
        <v>4</v>
      </c>
      <c r="E49" s="32" t="s">
        <v>63</v>
      </c>
      <c r="F49" s="32">
        <f>250+3750</f>
        <v>4000</v>
      </c>
      <c r="G49" s="9" t="str">
        <f t="shared" si="0"/>
        <v>900</v>
      </c>
      <c r="H49" s="9" t="str">
        <f t="shared" si="1"/>
        <v>1200</v>
      </c>
      <c r="I49" s="38">
        <v>900</v>
      </c>
      <c r="J49" s="38">
        <v>1200</v>
      </c>
      <c r="K49" s="8">
        <f t="shared" si="2"/>
        <v>1050</v>
      </c>
      <c r="L49" s="8">
        <f t="shared" si="3"/>
        <v>262.5</v>
      </c>
      <c r="M49" s="8">
        <f t="shared" si="4"/>
        <v>1000</v>
      </c>
      <c r="N49" s="15"/>
      <c r="O49" s="15"/>
      <c r="P49" s="15"/>
      <c r="Q49" s="15"/>
      <c r="R49" s="15"/>
      <c r="S49" s="15"/>
    </row>
    <row r="50" spans="1:19" x14ac:dyDescent="0.25">
      <c r="A50" s="16" t="s">
        <v>249</v>
      </c>
      <c r="B50" s="37" t="str">
        <f>HYPERLINK("http://www.dmsguild.com/product/245320/CCCCIC09-Steamy-Shores-of-Danger?affiliate_id=759617","Steamy Shores of Danger")</f>
        <v>Steamy Shores of Danger</v>
      </c>
      <c r="C50" s="38">
        <v>1</v>
      </c>
      <c r="D50" s="32">
        <v>4</v>
      </c>
      <c r="E50" s="32" t="s">
        <v>10</v>
      </c>
      <c r="F50" s="32">
        <f>50*7+200+50</f>
        <v>600</v>
      </c>
      <c r="G50" s="9" t="str">
        <f t="shared" si="0"/>
        <v>450</v>
      </c>
      <c r="H50" s="9" t="str">
        <f t="shared" si="1"/>
        <v>600</v>
      </c>
      <c r="I50" s="38">
        <v>450</v>
      </c>
      <c r="J50" s="38">
        <v>600</v>
      </c>
      <c r="K50" s="8">
        <f t="shared" si="2"/>
        <v>525</v>
      </c>
      <c r="L50" s="8">
        <f t="shared" si="3"/>
        <v>131.25</v>
      </c>
      <c r="M50" s="8">
        <f t="shared" si="4"/>
        <v>150</v>
      </c>
      <c r="N50" s="15"/>
      <c r="O50" s="15"/>
      <c r="P50" s="15"/>
      <c r="Q50" s="15"/>
      <c r="R50" s="15"/>
      <c r="S50" s="15"/>
    </row>
    <row r="51" spans="1:19" x14ac:dyDescent="0.25">
      <c r="A51" s="16" t="s">
        <v>250</v>
      </c>
      <c r="B51" s="37" t="str">
        <f>HYPERLINK("http://www.dmsguild.com/product/216992/CCCDDSC01-Murder-at-The-Stop?affiliate_id=759617","Murder at the Stop")</f>
        <v>Murder at the Stop</v>
      </c>
      <c r="C51" s="38">
        <v>1</v>
      </c>
      <c r="D51" s="32">
        <v>4</v>
      </c>
      <c r="E51" s="32" t="s">
        <v>135</v>
      </c>
      <c r="F51" s="32">
        <v>500</v>
      </c>
      <c r="G51" s="9" t="str">
        <f t="shared" si="0"/>
        <v>900</v>
      </c>
      <c r="H51" s="9" t="str">
        <f t="shared" si="1"/>
        <v>1500</v>
      </c>
      <c r="I51" s="38">
        <v>900</v>
      </c>
      <c r="J51" s="38">
        <v>1500</v>
      </c>
      <c r="K51" s="8">
        <f t="shared" si="2"/>
        <v>1200</v>
      </c>
      <c r="L51" s="8">
        <f t="shared" si="3"/>
        <v>300</v>
      </c>
      <c r="M51" s="8">
        <f t="shared" si="4"/>
        <v>125</v>
      </c>
      <c r="N51" s="15"/>
      <c r="O51" s="15"/>
      <c r="P51" s="15"/>
      <c r="Q51" s="15"/>
      <c r="R51" s="15"/>
      <c r="S51" s="15"/>
    </row>
    <row r="52" spans="1:19" x14ac:dyDescent="0.25">
      <c r="A52" s="16" t="s">
        <v>251</v>
      </c>
      <c r="B52" s="37" t="str">
        <f>HYPERLINK("http://www.dmsguild.com/product/217046/CCCDDSC02-A-Fool-and-His-Gold","A Fool and His Gold")</f>
        <v>A Fool and His Gold</v>
      </c>
      <c r="C52" s="38">
        <v>1</v>
      </c>
      <c r="D52" s="32">
        <v>4</v>
      </c>
      <c r="E52" s="32" t="s">
        <v>135</v>
      </c>
      <c r="F52" s="32">
        <v>375</v>
      </c>
      <c r="G52" s="9" t="str">
        <f t="shared" si="0"/>
        <v>900</v>
      </c>
      <c r="H52" s="9" t="str">
        <f t="shared" si="1"/>
        <v>1500</v>
      </c>
      <c r="I52" s="38">
        <v>900</v>
      </c>
      <c r="J52" s="38">
        <v>1500</v>
      </c>
      <c r="K52" s="8">
        <f t="shared" si="2"/>
        <v>1200</v>
      </c>
      <c r="L52" s="8">
        <f t="shared" si="3"/>
        <v>300</v>
      </c>
      <c r="M52" s="8">
        <f t="shared" si="4"/>
        <v>93.75</v>
      </c>
      <c r="N52" s="15"/>
      <c r="O52" s="15"/>
      <c r="P52" s="15"/>
      <c r="Q52" s="15"/>
      <c r="R52" s="15"/>
      <c r="S52" s="15"/>
    </row>
    <row r="53" spans="1:19" x14ac:dyDescent="0.25">
      <c r="A53" s="16" t="s">
        <v>252</v>
      </c>
      <c r="B53" s="37" t="str">
        <f>HYPERLINK("http://www.dmsguild.com/product/209690/CCCGARY01-A-Night-to-Remember?affiliate_id=759617","A Night to Remember")</f>
        <v>A Night to Remember</v>
      </c>
      <c r="C53" s="38">
        <v>2</v>
      </c>
      <c r="D53" s="32">
        <v>2</v>
      </c>
      <c r="E53" s="32" t="s">
        <v>253</v>
      </c>
      <c r="F53" s="32">
        <v>1300</v>
      </c>
      <c r="G53" s="9" t="str">
        <f t="shared" si="0"/>
        <v>6300</v>
      </c>
      <c r="H53" s="9" t="str">
        <f t="shared" si="1"/>
        <v>7000</v>
      </c>
      <c r="I53" s="38">
        <v>6300</v>
      </c>
      <c r="J53" s="38">
        <v>7000</v>
      </c>
      <c r="K53" s="8">
        <f t="shared" si="2"/>
        <v>6650</v>
      </c>
      <c r="L53" s="8">
        <f t="shared" si="3"/>
        <v>3325</v>
      </c>
      <c r="M53" s="8">
        <f t="shared" si="4"/>
        <v>650</v>
      </c>
      <c r="N53" s="15"/>
      <c r="O53" s="15"/>
      <c r="P53" s="15"/>
      <c r="Q53" s="15"/>
      <c r="R53" s="15"/>
      <c r="S53" s="15"/>
    </row>
    <row r="54" spans="1:19" x14ac:dyDescent="0.25">
      <c r="A54" s="16" t="s">
        <v>254</v>
      </c>
      <c r="B54" s="37" t="str">
        <f>HYPERLINK("http://www.dmsguild.com/product/209692/CCCGARY02-To-Find-a-Way-Out?affiliate_id=759617","To Find a Way Out")</f>
        <v>To Find a Way Out</v>
      </c>
      <c r="C54" s="38">
        <v>2</v>
      </c>
      <c r="D54" s="32">
        <v>2</v>
      </c>
      <c r="E54" s="32" t="s">
        <v>253</v>
      </c>
      <c r="F54" s="32">
        <v>1100</v>
      </c>
      <c r="G54" s="9" t="str">
        <f t="shared" si="0"/>
        <v>6300</v>
      </c>
      <c r="H54" s="9" t="str">
        <f t="shared" si="1"/>
        <v>7000</v>
      </c>
      <c r="I54" s="38">
        <v>6300</v>
      </c>
      <c r="J54" s="38">
        <v>7000</v>
      </c>
      <c r="K54" s="8">
        <f t="shared" si="2"/>
        <v>6650</v>
      </c>
      <c r="L54" s="8">
        <f t="shared" si="3"/>
        <v>3325</v>
      </c>
      <c r="M54" s="8">
        <f t="shared" si="4"/>
        <v>550</v>
      </c>
      <c r="N54" s="15"/>
      <c r="O54" s="15"/>
      <c r="P54" s="15"/>
      <c r="Q54" s="15"/>
      <c r="R54" s="15"/>
      <c r="S54" s="15"/>
    </row>
    <row r="55" spans="1:19" x14ac:dyDescent="0.25">
      <c r="A55" s="16" t="s">
        <v>255</v>
      </c>
      <c r="B55" s="37" t="str">
        <f>HYPERLINK("http://www.dmsguild.com/product/209693/CCCGARY03-Oh-Were-In-It-Now?affiliate_id=759617","Oh, We're in it Now")</f>
        <v>Oh, We're in it Now</v>
      </c>
      <c r="C55" s="38">
        <v>2</v>
      </c>
      <c r="D55" s="32">
        <v>2</v>
      </c>
      <c r="E55" s="32" t="s">
        <v>256</v>
      </c>
      <c r="F55" s="32">
        <v>4200</v>
      </c>
      <c r="G55" s="9" t="str">
        <f t="shared" si="0"/>
        <v>3300</v>
      </c>
      <c r="H55" s="9" t="str">
        <f t="shared" si="1"/>
        <v>3800</v>
      </c>
      <c r="I55" s="38">
        <v>3300</v>
      </c>
      <c r="J55" s="38">
        <v>3800</v>
      </c>
      <c r="K55" s="8">
        <f t="shared" si="2"/>
        <v>3550</v>
      </c>
      <c r="L55" s="8">
        <f t="shared" si="3"/>
        <v>1775</v>
      </c>
      <c r="M55" s="8">
        <f t="shared" si="4"/>
        <v>2100</v>
      </c>
      <c r="N55" s="15"/>
      <c r="O55" s="15"/>
      <c r="P55" s="15"/>
      <c r="Q55" s="15"/>
      <c r="R55" s="15"/>
      <c r="S55" s="15"/>
    </row>
    <row r="56" spans="1:19" x14ac:dyDescent="0.25">
      <c r="A56" s="16" t="s">
        <v>257</v>
      </c>
      <c r="B56" s="37" t="str">
        <f>HYPERLINK("http://www.dmsguild.com/product/238303/CCCGARY04-The-Darkness-of-the-Mountains?affiliate_id=759617","The Darkness of the Mountains")</f>
        <v>The Darkness of the Mountains</v>
      </c>
      <c r="C56" s="38">
        <v>1</v>
      </c>
      <c r="D56" s="32">
        <v>2</v>
      </c>
      <c r="E56" s="32" t="s">
        <v>10</v>
      </c>
      <c r="F56" s="32">
        <v>250</v>
      </c>
      <c r="G56" s="9" t="str">
        <f t="shared" si="0"/>
        <v>450</v>
      </c>
      <c r="H56" s="9" t="str">
        <f t="shared" si="1"/>
        <v>600</v>
      </c>
      <c r="I56" s="38">
        <v>450</v>
      </c>
      <c r="J56" s="38">
        <v>600</v>
      </c>
      <c r="K56" s="8">
        <f t="shared" si="2"/>
        <v>525</v>
      </c>
      <c r="L56" s="8">
        <f t="shared" si="3"/>
        <v>262.5</v>
      </c>
      <c r="M56" s="8">
        <f t="shared" si="4"/>
        <v>125</v>
      </c>
      <c r="N56" s="15"/>
      <c r="O56" s="15"/>
      <c r="P56" s="15"/>
      <c r="Q56" s="15"/>
      <c r="R56" s="15"/>
      <c r="S56" s="15"/>
    </row>
    <row r="57" spans="1:19" x14ac:dyDescent="0.25">
      <c r="A57" s="16" t="s">
        <v>258</v>
      </c>
      <c r="B57" s="37" t="str">
        <f>HYPERLINK("http://www.dmsguild.com/product/238352/CCCGARY05-The-Shadows-of-the-Trees?affiliate_id=759617","The Shadows of the Trees")</f>
        <v>The Shadows of the Trees</v>
      </c>
      <c r="C57" s="38">
        <v>1</v>
      </c>
      <c r="D57" s="32">
        <v>2</v>
      </c>
      <c r="E57" s="32" t="s">
        <v>10</v>
      </c>
      <c r="F57" s="32">
        <f>200+100*7</f>
        <v>900</v>
      </c>
      <c r="G57" s="9" t="str">
        <f t="shared" si="0"/>
        <v>450</v>
      </c>
      <c r="H57" s="9" t="str">
        <f t="shared" si="1"/>
        <v>600</v>
      </c>
      <c r="I57" s="38">
        <v>450</v>
      </c>
      <c r="J57" s="38">
        <v>600</v>
      </c>
      <c r="K57" s="8">
        <f t="shared" si="2"/>
        <v>525</v>
      </c>
      <c r="L57" s="8">
        <f t="shared" si="3"/>
        <v>262.5</v>
      </c>
      <c r="M57" s="8">
        <f t="shared" si="4"/>
        <v>450</v>
      </c>
      <c r="N57" s="15"/>
      <c r="O57" s="15"/>
      <c r="P57" s="15"/>
      <c r="Q57" s="15"/>
      <c r="R57" s="15"/>
      <c r="S57" s="15"/>
    </row>
    <row r="58" spans="1:19" x14ac:dyDescent="0.25">
      <c r="A58" s="16" t="s">
        <v>259</v>
      </c>
      <c r="B58" s="37" t="str">
        <f>HYPERLINK("http://www.dmsguild.com/product/238356/CCCGARY06-The-Death-Beneath-the-Roots?affiliate_id=759617","The Death Beneath the Roots")</f>
        <v>The Death Beneath the Roots</v>
      </c>
      <c r="C58" s="38">
        <v>1</v>
      </c>
      <c r="D58" s="32">
        <v>2</v>
      </c>
      <c r="E58" s="32" t="s">
        <v>10</v>
      </c>
      <c r="F58" s="32">
        <f>250+30+50+100+100*7</f>
        <v>1130</v>
      </c>
      <c r="G58" s="9" t="str">
        <f t="shared" si="0"/>
        <v>450</v>
      </c>
      <c r="H58" s="9" t="str">
        <f t="shared" si="1"/>
        <v>600</v>
      </c>
      <c r="I58" s="38">
        <v>450</v>
      </c>
      <c r="J58" s="38">
        <v>600</v>
      </c>
      <c r="K58" s="8">
        <f t="shared" si="2"/>
        <v>525</v>
      </c>
      <c r="L58" s="8">
        <f t="shared" si="3"/>
        <v>262.5</v>
      </c>
      <c r="M58" s="8">
        <f t="shared" si="4"/>
        <v>565</v>
      </c>
      <c r="N58" s="15"/>
      <c r="O58" s="15"/>
      <c r="P58" s="15"/>
      <c r="Q58" s="15"/>
      <c r="R58" s="15"/>
      <c r="S58" s="15"/>
    </row>
    <row r="59" spans="1:19" x14ac:dyDescent="0.25">
      <c r="A59" s="16" t="s">
        <v>260</v>
      </c>
      <c r="B59" s="37" t="str">
        <f>HYPERLINK("http://www.dmsguild.com/product/238358/CCCGARY07-The-Mirror-Cities-of-Gulthias?src=newest_community?affiliate_id=759617","The Mirror Cities of Gulthias")</f>
        <v>The Mirror Cities of Gulthias</v>
      </c>
      <c r="C59" s="38">
        <v>2</v>
      </c>
      <c r="D59" s="32">
        <v>2</v>
      </c>
      <c r="E59" s="36" t="s">
        <v>128</v>
      </c>
      <c r="F59" s="32">
        <v>2000</v>
      </c>
      <c r="G59" s="9" t="str">
        <f t="shared" si="0"/>
        <v>3750</v>
      </c>
      <c r="H59" s="9" t="str">
        <f t="shared" si="1"/>
        <v>5000</v>
      </c>
      <c r="I59" s="38">
        <v>3750</v>
      </c>
      <c r="J59" s="38">
        <v>5000</v>
      </c>
      <c r="K59" s="8">
        <f t="shared" si="2"/>
        <v>4375</v>
      </c>
      <c r="L59" s="8">
        <f t="shared" si="3"/>
        <v>2187.5</v>
      </c>
      <c r="M59" s="8">
        <f t="shared" si="4"/>
        <v>1000</v>
      </c>
      <c r="N59" s="15"/>
      <c r="O59" s="15"/>
      <c r="P59" s="15"/>
      <c r="Q59" s="15"/>
      <c r="R59" s="15"/>
      <c r="S59" s="15"/>
    </row>
    <row r="60" spans="1:19" x14ac:dyDescent="0.25">
      <c r="A60" s="16" t="s">
        <v>261</v>
      </c>
      <c r="B60" s="37" t="str">
        <f>HYPERLINK("http://www.dmsguild.com/product/238359/CCCGARY08-That-Which-Lies-Buried?affiliate_id=759617","That Which Lies Buried")</f>
        <v>That Which Lies Buried</v>
      </c>
      <c r="C60" s="38">
        <v>2</v>
      </c>
      <c r="D60" s="32">
        <v>2</v>
      </c>
      <c r="E60" s="36" t="s">
        <v>128</v>
      </c>
      <c r="F60" s="32">
        <f>500+400</f>
        <v>900</v>
      </c>
      <c r="G60" s="9" t="str">
        <f t="shared" si="0"/>
        <v>3750</v>
      </c>
      <c r="H60" s="9" t="str">
        <f t="shared" si="1"/>
        <v>5000</v>
      </c>
      <c r="I60" s="38">
        <v>3750</v>
      </c>
      <c r="J60" s="38">
        <v>5000</v>
      </c>
      <c r="K60" s="8">
        <f t="shared" si="2"/>
        <v>4375</v>
      </c>
      <c r="L60" s="8">
        <f t="shared" si="3"/>
        <v>2187.5</v>
      </c>
      <c r="M60" s="8">
        <f t="shared" si="4"/>
        <v>450</v>
      </c>
      <c r="N60" s="15"/>
      <c r="O60" s="15"/>
      <c r="P60" s="15"/>
      <c r="Q60" s="15"/>
      <c r="R60" s="15"/>
      <c r="S60" s="15"/>
    </row>
    <row r="61" spans="1:19" x14ac:dyDescent="0.25">
      <c r="A61" s="16" t="s">
        <v>262</v>
      </c>
      <c r="B61" s="37" t="str">
        <f>HYPERLINK("http://www.dmsguild.com/product/238360/CCCGARY09-The-Witch-Maiden?affiliate_id=759617","The Witch Maiden")</f>
        <v>The Witch Maiden</v>
      </c>
      <c r="C61" s="38">
        <v>2</v>
      </c>
      <c r="D61" s="32">
        <v>2</v>
      </c>
      <c r="E61" s="36" t="s">
        <v>128</v>
      </c>
      <c r="F61" s="32">
        <f>1000+4000+1200+2500</f>
        <v>8700</v>
      </c>
      <c r="G61" s="9" t="str">
        <f t="shared" si="0"/>
        <v>3750</v>
      </c>
      <c r="H61" s="9" t="str">
        <f t="shared" si="1"/>
        <v>5000</v>
      </c>
      <c r="I61" s="38">
        <v>3750</v>
      </c>
      <c r="J61" s="38">
        <v>5000</v>
      </c>
      <c r="K61" s="8">
        <f t="shared" si="2"/>
        <v>4375</v>
      </c>
      <c r="L61" s="8">
        <f t="shared" si="3"/>
        <v>2187.5</v>
      </c>
      <c r="M61" s="8">
        <f t="shared" si="4"/>
        <v>4350</v>
      </c>
      <c r="N61" s="15"/>
      <c r="O61" s="15"/>
      <c r="P61" s="15"/>
      <c r="Q61" s="15"/>
      <c r="R61" s="15"/>
      <c r="S61" s="15"/>
    </row>
    <row r="62" spans="1:19" x14ac:dyDescent="0.25">
      <c r="A62" s="16" t="s">
        <v>263</v>
      </c>
      <c r="B62" s="37" t="str">
        <f>HYPERLINK("http://www.dmsguild.com/product/237193/CCCGEL01-Bedlam-at-the-Benefit?affiliate_id=759617","Bedlam at the Benefit")</f>
        <v>Bedlam at the Benefit</v>
      </c>
      <c r="C62" s="38">
        <v>1</v>
      </c>
      <c r="D62" s="32">
        <v>2</v>
      </c>
      <c r="E62" s="32" t="s">
        <v>10</v>
      </c>
      <c r="F62" s="32">
        <f>150+100+25</f>
        <v>275</v>
      </c>
      <c r="G62" s="9" t="str">
        <f t="shared" ref="G62:G121" si="5">LEFT(E62,SEARCH("/",E62,1)-1)</f>
        <v>450</v>
      </c>
      <c r="H62" s="9" t="str">
        <f t="shared" ref="H62:H121" si="6">RIGHT(E62,LEN(E62)-SEARCH("/",E62,1))</f>
        <v>600</v>
      </c>
      <c r="I62" s="38">
        <v>450</v>
      </c>
      <c r="J62" s="38">
        <v>600</v>
      </c>
      <c r="K62" s="8">
        <f t="shared" si="2"/>
        <v>525</v>
      </c>
      <c r="L62" s="8">
        <f t="shared" si="3"/>
        <v>262.5</v>
      </c>
      <c r="M62" s="8">
        <f t="shared" si="4"/>
        <v>137.5</v>
      </c>
      <c r="N62" s="15"/>
      <c r="O62" s="15"/>
      <c r="P62" s="15"/>
      <c r="Q62" s="15"/>
      <c r="R62" s="15"/>
      <c r="S62" s="15"/>
    </row>
    <row r="63" spans="1:19" x14ac:dyDescent="0.25">
      <c r="A63" s="16" t="s">
        <v>264</v>
      </c>
      <c r="B63" s="37" t="str">
        <f>HYPERLINK("http://www.dmsguild.com/product/200723/CCCGHC01-Tharaera-Lost?affiliate_id=759617","Tharaera Lost")</f>
        <v>Tharaera Lost</v>
      </c>
      <c r="C63" s="38">
        <v>2</v>
      </c>
      <c r="D63" s="32">
        <v>2</v>
      </c>
      <c r="E63" s="32" t="s">
        <v>83</v>
      </c>
      <c r="F63" s="32">
        <v>4300</v>
      </c>
      <c r="G63" s="9" t="str">
        <f t="shared" si="5"/>
        <v>2250</v>
      </c>
      <c r="H63" s="9" t="str">
        <f t="shared" si="6"/>
        <v>3000</v>
      </c>
      <c r="I63" s="38">
        <v>2250</v>
      </c>
      <c r="J63" s="38">
        <v>3000</v>
      </c>
      <c r="K63" s="8">
        <f t="shared" si="2"/>
        <v>2625</v>
      </c>
      <c r="L63" s="8">
        <f t="shared" si="3"/>
        <v>1312.5</v>
      </c>
      <c r="M63" s="8">
        <f t="shared" si="4"/>
        <v>2150</v>
      </c>
      <c r="N63" s="15"/>
      <c r="O63" s="15"/>
      <c r="P63" s="15"/>
      <c r="Q63" s="15"/>
      <c r="R63" s="15"/>
      <c r="S63" s="15"/>
    </row>
    <row r="64" spans="1:19" x14ac:dyDescent="0.25">
      <c r="A64" s="16" t="s">
        <v>265</v>
      </c>
      <c r="B64" s="37" t="str">
        <f>HYPERLINK("http://www.dmsguild.com/product/200738/CCCGHC02-Skulljaw-Hill?affiliate_id=759617","Skulljaw Hill")</f>
        <v>Skulljaw Hill</v>
      </c>
      <c r="C64" s="38">
        <v>2</v>
      </c>
      <c r="D64" s="32">
        <v>2</v>
      </c>
      <c r="E64" s="32" t="s">
        <v>266</v>
      </c>
      <c r="F64" s="32">
        <v>1000</v>
      </c>
      <c r="G64" s="9" t="str">
        <f t="shared" si="5"/>
        <v>2500</v>
      </c>
      <c r="H64" s="9" t="str">
        <f t="shared" si="6"/>
        <v>3500</v>
      </c>
      <c r="I64" s="38">
        <v>2500</v>
      </c>
      <c r="J64" s="38">
        <v>3500</v>
      </c>
      <c r="K64" s="8">
        <f t="shared" si="2"/>
        <v>3000</v>
      </c>
      <c r="L64" s="8">
        <f t="shared" si="3"/>
        <v>1500</v>
      </c>
      <c r="M64" s="8">
        <f t="shared" si="4"/>
        <v>500</v>
      </c>
      <c r="N64" s="15"/>
      <c r="O64" s="15"/>
      <c r="P64" s="15"/>
      <c r="Q64" s="15"/>
      <c r="R64" s="15"/>
      <c r="S64" s="15"/>
    </row>
    <row r="65" spans="1:19" x14ac:dyDescent="0.25">
      <c r="A65" s="16" t="s">
        <v>267</v>
      </c>
      <c r="B65" s="37" t="str">
        <f>HYPERLINK("http://www.dmsguild.com/product/200739/CCCGHC03-Facing-the-Dark?affiliate_id=759617","Facing the Dark")</f>
        <v>Facing the Dark</v>
      </c>
      <c r="C65" s="38">
        <v>2</v>
      </c>
      <c r="D65" s="32">
        <v>2</v>
      </c>
      <c r="E65" s="32" t="s">
        <v>268</v>
      </c>
      <c r="F65" s="32">
        <v>1000</v>
      </c>
      <c r="G65" s="9" t="str">
        <f t="shared" si="5"/>
        <v>2000</v>
      </c>
      <c r="H65" s="9" t="str">
        <f t="shared" si="6"/>
        <v>3000</v>
      </c>
      <c r="I65" s="38">
        <v>2000</v>
      </c>
      <c r="J65" s="38">
        <v>3000</v>
      </c>
      <c r="K65" s="8">
        <f t="shared" si="2"/>
        <v>2500</v>
      </c>
      <c r="L65" s="8">
        <f t="shared" si="3"/>
        <v>1250</v>
      </c>
      <c r="M65" s="8">
        <f t="shared" si="4"/>
        <v>500</v>
      </c>
      <c r="N65" s="15"/>
      <c r="O65" s="15"/>
      <c r="P65" s="15"/>
      <c r="Q65" s="15"/>
      <c r="R65" s="15"/>
      <c r="S65" s="15"/>
    </row>
    <row r="66" spans="1:19" x14ac:dyDescent="0.25">
      <c r="A66" s="16" t="s">
        <v>269</v>
      </c>
      <c r="B66" s="37" t="str">
        <f>HYPERLINK("http://www.dmsguild.com/product/228101/CCCGHC04--Shade-Of-The-Dark?affiliate_id=759617","Shade of the Dark")</f>
        <v>Shade of the Dark</v>
      </c>
      <c r="C66" s="38">
        <v>2</v>
      </c>
      <c r="D66" s="32">
        <v>2</v>
      </c>
      <c r="E66" s="32" t="s">
        <v>268</v>
      </c>
      <c r="F66" s="32">
        <v>2300</v>
      </c>
      <c r="G66" s="9" t="str">
        <f t="shared" si="5"/>
        <v>2000</v>
      </c>
      <c r="H66" s="9" t="str">
        <f t="shared" si="6"/>
        <v>3000</v>
      </c>
      <c r="I66" s="38">
        <v>2000</v>
      </c>
      <c r="J66" s="38">
        <v>3000</v>
      </c>
      <c r="K66" s="8">
        <f t="shared" si="2"/>
        <v>2500</v>
      </c>
      <c r="L66" s="8">
        <f t="shared" si="3"/>
        <v>1250</v>
      </c>
      <c r="M66" s="8">
        <f t="shared" si="4"/>
        <v>1150</v>
      </c>
      <c r="N66" s="15"/>
      <c r="O66" s="15"/>
      <c r="P66" s="15"/>
      <c r="Q66" s="15"/>
      <c r="R66" s="15"/>
      <c r="S66" s="15"/>
    </row>
    <row r="67" spans="1:19" x14ac:dyDescent="0.25">
      <c r="A67" s="16" t="s">
        <v>270</v>
      </c>
      <c r="B67" s="37" t="str">
        <f>HYPERLINK("http://www.dmsguild.com/product/228104/CCCGHC05--Trail-Of-Treachery?affiliate_id=759617","Trail of Treachery ")</f>
        <v xml:space="preserve">Trail of Treachery </v>
      </c>
      <c r="C67" s="38">
        <v>2</v>
      </c>
      <c r="D67" s="32">
        <v>2</v>
      </c>
      <c r="E67" s="32" t="s">
        <v>268</v>
      </c>
      <c r="F67" s="32">
        <v>2000</v>
      </c>
      <c r="G67" s="9" t="str">
        <f t="shared" si="5"/>
        <v>2000</v>
      </c>
      <c r="H67" s="9" t="str">
        <f t="shared" si="6"/>
        <v>3000</v>
      </c>
      <c r="I67" s="38">
        <v>2000</v>
      </c>
      <c r="J67" s="38">
        <v>3000</v>
      </c>
      <c r="K67" s="8">
        <f t="shared" ref="K67:K130" si="7">AVERAGE(I67:J67)</f>
        <v>2500</v>
      </c>
      <c r="L67" s="8">
        <f t="shared" ref="L67:L130" si="8">K67/D67</f>
        <v>1250</v>
      </c>
      <c r="M67" s="8">
        <f t="shared" ref="M67:M130" si="9">F67/D67</f>
        <v>1000</v>
      </c>
      <c r="N67" s="15"/>
      <c r="O67" s="15"/>
      <c r="P67" s="15"/>
      <c r="Q67" s="15"/>
      <c r="R67" s="15"/>
      <c r="S67" s="15"/>
    </row>
    <row r="68" spans="1:19" x14ac:dyDescent="0.25">
      <c r="A68" s="16" t="s">
        <v>271</v>
      </c>
      <c r="B68" s="37" t="str">
        <f>HYPERLINK("http://www.dmsguild.com/product/228105/CCCGHC06--What-You-Wish-For?affiliate_id=759617","What You Wish for")</f>
        <v>What You Wish for</v>
      </c>
      <c r="C68" s="38">
        <v>2</v>
      </c>
      <c r="D68" s="32">
        <v>2</v>
      </c>
      <c r="E68" s="32" t="s">
        <v>268</v>
      </c>
      <c r="F68" s="32">
        <v>1300</v>
      </c>
      <c r="G68" s="9" t="str">
        <f t="shared" si="5"/>
        <v>2000</v>
      </c>
      <c r="H68" s="9" t="str">
        <f t="shared" si="6"/>
        <v>3000</v>
      </c>
      <c r="I68" s="38">
        <v>2000</v>
      </c>
      <c r="J68" s="38">
        <v>3000</v>
      </c>
      <c r="K68" s="8">
        <f t="shared" si="7"/>
        <v>2500</v>
      </c>
      <c r="L68" s="8">
        <f t="shared" si="8"/>
        <v>1250</v>
      </c>
      <c r="M68" s="8">
        <f t="shared" si="9"/>
        <v>650</v>
      </c>
      <c r="N68" s="15"/>
      <c r="O68" s="15"/>
      <c r="P68" s="15"/>
      <c r="Q68" s="15"/>
      <c r="R68" s="15"/>
      <c r="S68" s="15"/>
    </row>
    <row r="69" spans="1:19" x14ac:dyDescent="0.25">
      <c r="A69" s="16" t="s">
        <v>272</v>
      </c>
      <c r="B69" s="37" t="str">
        <f>HYPERLINK("http://www.dmsguild.com/product/228106/CCCGHC07--The-River-Runs-Red","River Runs Red")</f>
        <v>River Runs Red</v>
      </c>
      <c r="C69" s="38">
        <v>3</v>
      </c>
      <c r="D69" s="32">
        <v>2</v>
      </c>
      <c r="E69" s="32" t="s">
        <v>64</v>
      </c>
      <c r="F69" s="32">
        <v>3450</v>
      </c>
      <c r="G69" s="9" t="str">
        <f t="shared" si="5"/>
        <v>6000</v>
      </c>
      <c r="H69" s="9" t="str">
        <f t="shared" si="6"/>
        <v>8000</v>
      </c>
      <c r="I69" s="38">
        <v>6000</v>
      </c>
      <c r="J69" s="38">
        <v>8000</v>
      </c>
      <c r="K69" s="8">
        <f t="shared" si="7"/>
        <v>7000</v>
      </c>
      <c r="L69" s="8">
        <f t="shared" si="8"/>
        <v>3500</v>
      </c>
      <c r="M69" s="8">
        <f t="shared" si="9"/>
        <v>1725</v>
      </c>
      <c r="N69" s="15"/>
      <c r="O69" s="15"/>
      <c r="P69" s="15"/>
      <c r="Q69" s="15"/>
      <c r="R69" s="15"/>
      <c r="S69" s="15"/>
    </row>
    <row r="70" spans="1:19" x14ac:dyDescent="0.25">
      <c r="A70" s="16" t="s">
        <v>273</v>
      </c>
      <c r="B70" s="37" t="str">
        <f>HYPERLINK("http://www.dmsguild.com/product/228107/CCCGHC08--Death-In-The-Ruins?affiliate_id=759617","Death in the Ruins")</f>
        <v>Death in the Ruins</v>
      </c>
      <c r="C70" s="38">
        <v>3</v>
      </c>
      <c r="D70" s="32">
        <v>2</v>
      </c>
      <c r="E70" s="32" t="s">
        <v>274</v>
      </c>
      <c r="F70" s="32">
        <v>1950</v>
      </c>
      <c r="G70" s="9" t="str">
        <f t="shared" si="5"/>
        <v>6000</v>
      </c>
      <c r="H70" s="9" t="str">
        <f t="shared" si="6"/>
        <v>12000</v>
      </c>
      <c r="I70" s="38">
        <v>6000</v>
      </c>
      <c r="J70" s="38">
        <v>12000</v>
      </c>
      <c r="K70" s="8">
        <f t="shared" si="7"/>
        <v>9000</v>
      </c>
      <c r="L70" s="8">
        <f t="shared" si="8"/>
        <v>4500</v>
      </c>
      <c r="M70" s="8">
        <f t="shared" si="9"/>
        <v>975</v>
      </c>
      <c r="N70" s="15"/>
      <c r="O70" s="15"/>
      <c r="P70" s="15"/>
      <c r="Q70" s="15"/>
      <c r="R70" s="15"/>
      <c r="S70" s="15"/>
    </row>
    <row r="71" spans="1:19" x14ac:dyDescent="0.25">
      <c r="A71" s="16" t="s">
        <v>275</v>
      </c>
      <c r="B71" s="37" t="str">
        <f>HYPERLINK("http://www.dmsguild.com/product/228108/CCCGHC09--Swamp-Of-Death","Swamp of Death")</f>
        <v>Swamp of Death</v>
      </c>
      <c r="C71" s="38">
        <v>3</v>
      </c>
      <c r="D71" s="32">
        <v>2</v>
      </c>
      <c r="E71" s="32" t="s">
        <v>64</v>
      </c>
      <c r="F71" s="32">
        <v>11600</v>
      </c>
      <c r="G71" s="9" t="str">
        <f t="shared" si="5"/>
        <v>6000</v>
      </c>
      <c r="H71" s="9" t="str">
        <f t="shared" si="6"/>
        <v>8000</v>
      </c>
      <c r="I71" s="38">
        <v>6000</v>
      </c>
      <c r="J71" s="38">
        <v>8000</v>
      </c>
      <c r="K71" s="8">
        <f t="shared" si="7"/>
        <v>7000</v>
      </c>
      <c r="L71" s="8">
        <f t="shared" si="8"/>
        <v>3500</v>
      </c>
      <c r="M71" s="8">
        <f t="shared" si="9"/>
        <v>5800</v>
      </c>
      <c r="N71" s="15"/>
      <c r="O71" s="15"/>
      <c r="P71" s="15"/>
      <c r="Q71" s="15"/>
      <c r="R71" s="15"/>
      <c r="S71" s="15"/>
    </row>
    <row r="72" spans="1:19" x14ac:dyDescent="0.25">
      <c r="A72" s="16" t="s">
        <v>276</v>
      </c>
      <c r="B72" s="37" t="str">
        <f>HYPERLINK("http://www.dmsguild.com/product/239986/CCCHATMS0101-Threatening-Tides?src=affiliate_id=759617","Threatening Tides")</f>
        <v>Threatening Tides</v>
      </c>
      <c r="C72" s="38">
        <v>2</v>
      </c>
      <c r="D72" s="32">
        <v>4</v>
      </c>
      <c r="E72" s="32" t="s">
        <v>13</v>
      </c>
      <c r="F72" s="32">
        <f>300+400+400</f>
        <v>1100</v>
      </c>
      <c r="G72" s="9" t="str">
        <f t="shared" si="5"/>
        <v>4500</v>
      </c>
      <c r="H72" s="9" t="str">
        <f t="shared" si="6"/>
        <v>6000</v>
      </c>
      <c r="I72" s="38">
        <v>4500</v>
      </c>
      <c r="J72" s="38">
        <v>6000</v>
      </c>
      <c r="K72" s="8">
        <f t="shared" si="7"/>
        <v>5250</v>
      </c>
      <c r="L72" s="8">
        <f t="shared" si="8"/>
        <v>1312.5</v>
      </c>
      <c r="M72" s="8">
        <f t="shared" si="9"/>
        <v>275</v>
      </c>
      <c r="N72" s="15"/>
      <c r="O72" s="15"/>
      <c r="P72" s="15"/>
      <c r="Q72" s="15"/>
      <c r="R72" s="15"/>
      <c r="S72" s="15"/>
    </row>
    <row r="73" spans="1:19" x14ac:dyDescent="0.25">
      <c r="A73" s="16" t="s">
        <v>277</v>
      </c>
      <c r="B73" s="37" t="str">
        <f>HYPERLINK("http://www.dmsguild.com/product/239987/CCCHATMS0102-Prophecys-Promise?src=affiliate_id=759617","Prophecy's Promise")</f>
        <v>Prophecy's Promise</v>
      </c>
      <c r="C73" s="38">
        <v>2</v>
      </c>
      <c r="D73" s="32">
        <v>4</v>
      </c>
      <c r="E73" s="32" t="s">
        <v>13</v>
      </c>
      <c r="F73" s="32">
        <f>300+400+200</f>
        <v>900</v>
      </c>
      <c r="G73" s="9" t="str">
        <f t="shared" si="5"/>
        <v>4500</v>
      </c>
      <c r="H73" s="9" t="str">
        <f t="shared" si="6"/>
        <v>6000</v>
      </c>
      <c r="I73" s="38">
        <v>4500</v>
      </c>
      <c r="J73" s="38">
        <v>6000</v>
      </c>
      <c r="K73" s="8">
        <f t="shared" si="7"/>
        <v>5250</v>
      </c>
      <c r="L73" s="8">
        <f t="shared" si="8"/>
        <v>1312.5</v>
      </c>
      <c r="M73" s="8">
        <f t="shared" si="9"/>
        <v>225</v>
      </c>
      <c r="N73" s="15"/>
      <c r="O73" s="15"/>
      <c r="P73" s="15"/>
      <c r="Q73" s="15"/>
      <c r="R73" s="15"/>
      <c r="S73" s="15"/>
    </row>
    <row r="74" spans="1:19" x14ac:dyDescent="0.25">
      <c r="A74" s="16" t="s">
        <v>278</v>
      </c>
      <c r="B74" s="37" t="str">
        <f>HYPERLINK("http://www.dmsguild.com/product/239988/CCCHATMS0103-Destiny-Defied?src=affiliate_id=759617","Destiny Defied")</f>
        <v>Destiny Defied</v>
      </c>
      <c r="C74" s="38">
        <v>2</v>
      </c>
      <c r="D74" s="32">
        <v>4</v>
      </c>
      <c r="E74" s="32" t="s">
        <v>13</v>
      </c>
      <c r="F74" s="32">
        <f>200+400+50*7</f>
        <v>950</v>
      </c>
      <c r="G74" s="9" t="str">
        <f t="shared" si="5"/>
        <v>4500</v>
      </c>
      <c r="H74" s="9" t="str">
        <f t="shared" si="6"/>
        <v>6000</v>
      </c>
      <c r="I74" s="38">
        <v>4500</v>
      </c>
      <c r="J74" s="38">
        <v>6000</v>
      </c>
      <c r="K74" s="8">
        <f t="shared" si="7"/>
        <v>5250</v>
      </c>
      <c r="L74" s="8">
        <f t="shared" si="8"/>
        <v>1312.5</v>
      </c>
      <c r="M74" s="8">
        <f t="shared" si="9"/>
        <v>237.5</v>
      </c>
      <c r="N74" s="15"/>
      <c r="O74" s="15"/>
      <c r="P74" s="15"/>
      <c r="Q74" s="15"/>
      <c r="R74" s="15"/>
      <c r="S74" s="15"/>
    </row>
    <row r="75" spans="1:19" x14ac:dyDescent="0.25">
      <c r="A75" s="16" t="s">
        <v>279</v>
      </c>
      <c r="B75" s="37" t="str">
        <f>HYPERLINK("http://www.dmsguild.com/product/226912/CCCKUMORI0101--Wreckers?affiliate_id=759617","Wreckers")</f>
        <v>Wreckers</v>
      </c>
      <c r="C75" s="38">
        <v>1</v>
      </c>
      <c r="D75" s="32">
        <v>2</v>
      </c>
      <c r="E75" s="32" t="s">
        <v>10</v>
      </c>
      <c r="F75" s="32">
        <v>514</v>
      </c>
      <c r="G75" s="9" t="str">
        <f t="shared" si="5"/>
        <v>450</v>
      </c>
      <c r="H75" s="9" t="str">
        <f t="shared" si="6"/>
        <v>600</v>
      </c>
      <c r="I75" s="38">
        <v>450</v>
      </c>
      <c r="J75" s="38">
        <v>600</v>
      </c>
      <c r="K75" s="8">
        <f t="shared" si="7"/>
        <v>525</v>
      </c>
      <c r="L75" s="8">
        <f t="shared" si="8"/>
        <v>262.5</v>
      </c>
      <c r="M75" s="8">
        <f t="shared" si="9"/>
        <v>257</v>
      </c>
      <c r="N75" s="15"/>
      <c r="O75" s="15"/>
      <c r="P75" s="15"/>
      <c r="Q75" s="15"/>
      <c r="R75" s="15"/>
      <c r="S75" s="15"/>
    </row>
    <row r="76" spans="1:19" x14ac:dyDescent="0.25">
      <c r="A76" s="16" t="s">
        <v>280</v>
      </c>
      <c r="B76" s="37" t="str">
        <f>HYPERLINK("http://www.dmsguild.com/product/226911/CCCKUMORI0102-Wretches?affiliate_id=759617","Wretches")</f>
        <v>Wretches</v>
      </c>
      <c r="C76" s="38">
        <v>1</v>
      </c>
      <c r="D76" s="32">
        <v>2</v>
      </c>
      <c r="E76" s="32" t="s">
        <v>10</v>
      </c>
      <c r="F76" s="32">
        <v>565</v>
      </c>
      <c r="G76" s="9" t="str">
        <f t="shared" si="5"/>
        <v>450</v>
      </c>
      <c r="H76" s="9" t="str">
        <f t="shared" si="6"/>
        <v>600</v>
      </c>
      <c r="I76" s="38">
        <v>450</v>
      </c>
      <c r="J76" s="38">
        <v>600</v>
      </c>
      <c r="K76" s="8">
        <f t="shared" si="7"/>
        <v>525</v>
      </c>
      <c r="L76" s="8">
        <f t="shared" si="8"/>
        <v>262.5</v>
      </c>
      <c r="M76" s="8">
        <f t="shared" si="9"/>
        <v>282.5</v>
      </c>
      <c r="N76" s="15"/>
      <c r="O76" s="15"/>
      <c r="P76" s="15"/>
      <c r="Q76" s="15"/>
      <c r="R76" s="15"/>
      <c r="S76" s="15"/>
    </row>
    <row r="77" spans="1:19" x14ac:dyDescent="0.25">
      <c r="A77" s="16" t="s">
        <v>281</v>
      </c>
      <c r="B77" s="37" t="str">
        <f>HYPERLINK("http://www.dmsguild.com/product/218722/CCCLINKS01-Champion-of-the-People?affiliate_id=759617","Champion of the People")</f>
        <v>Champion of the People</v>
      </c>
      <c r="C77" s="38">
        <v>2</v>
      </c>
      <c r="D77" s="32">
        <v>4</v>
      </c>
      <c r="E77" s="32" t="s">
        <v>282</v>
      </c>
      <c r="F77" s="32">
        <v>1800</v>
      </c>
      <c r="G77" s="9" t="str">
        <f t="shared" si="5"/>
        <v>6000</v>
      </c>
      <c r="H77" s="9" t="str">
        <f t="shared" si="6"/>
        <v>7500</v>
      </c>
      <c r="I77" s="38">
        <v>6000</v>
      </c>
      <c r="J77" s="38">
        <v>7500</v>
      </c>
      <c r="K77" s="8">
        <f t="shared" si="7"/>
        <v>6750</v>
      </c>
      <c r="L77" s="8">
        <f t="shared" si="8"/>
        <v>1687.5</v>
      </c>
      <c r="M77" s="8">
        <f t="shared" si="9"/>
        <v>450</v>
      </c>
      <c r="N77" s="15"/>
      <c r="O77" s="15"/>
      <c r="P77" s="15"/>
      <c r="Q77" s="15"/>
      <c r="R77" s="15"/>
      <c r="S77" s="15"/>
    </row>
    <row r="78" spans="1:19" x14ac:dyDescent="0.25">
      <c r="A78" s="16" t="s">
        <v>283</v>
      </c>
      <c r="B78" s="37" t="str">
        <f>HYPERLINK("http://www.dmsguild.com/product/218925/CCCLINKS02-The-Secrets-We-Keep?affiliate_id=759617","The Secrets We Keep")</f>
        <v>The Secrets We Keep</v>
      </c>
      <c r="C78" s="38">
        <v>3</v>
      </c>
      <c r="D78" s="32">
        <v>4</v>
      </c>
      <c r="E78" s="32" t="s">
        <v>284</v>
      </c>
      <c r="F78" s="32">
        <v>8900</v>
      </c>
      <c r="G78" s="9" t="str">
        <f t="shared" si="5"/>
        <v>10500</v>
      </c>
      <c r="H78" s="9" t="str">
        <f t="shared" si="6"/>
        <v>11500</v>
      </c>
      <c r="I78" s="38">
        <v>10500</v>
      </c>
      <c r="J78" s="38">
        <v>11500</v>
      </c>
      <c r="K78" s="8">
        <f t="shared" si="7"/>
        <v>11000</v>
      </c>
      <c r="L78" s="8">
        <f t="shared" si="8"/>
        <v>2750</v>
      </c>
      <c r="M78" s="8">
        <f t="shared" si="9"/>
        <v>2225</v>
      </c>
      <c r="N78" s="15"/>
      <c r="O78" s="15"/>
      <c r="P78" s="15"/>
      <c r="Q78" s="15"/>
      <c r="R78" s="15"/>
      <c r="S78" s="15"/>
    </row>
    <row r="79" spans="1:19" x14ac:dyDescent="0.25">
      <c r="A79" s="16" t="s">
        <v>285</v>
      </c>
      <c r="B79" s="37" t="str">
        <f>HYPERLINK("http://www.dmsguild.com/product/238812/CCCMACE0101-The-Blight-of-Geoffrey?affiliate_id=759617","The Blight of Geoffrey")</f>
        <v>The Blight of Geoffrey</v>
      </c>
      <c r="C79" s="38">
        <v>1</v>
      </c>
      <c r="D79" s="32">
        <v>4</v>
      </c>
      <c r="E79" s="32" t="s">
        <v>63</v>
      </c>
      <c r="F79" s="32">
        <f>500+60+75+30+100+50</f>
        <v>815</v>
      </c>
      <c r="G79" s="9" t="str">
        <f t="shared" si="5"/>
        <v>900</v>
      </c>
      <c r="H79" s="9" t="str">
        <f t="shared" si="6"/>
        <v>1200</v>
      </c>
      <c r="I79" s="38">
        <v>900</v>
      </c>
      <c r="J79" s="38">
        <v>1200</v>
      </c>
      <c r="K79" s="8">
        <f t="shared" si="7"/>
        <v>1050</v>
      </c>
      <c r="L79" s="8">
        <f t="shared" si="8"/>
        <v>262.5</v>
      </c>
      <c r="M79" s="8">
        <f t="shared" si="9"/>
        <v>203.75</v>
      </c>
      <c r="N79" s="15"/>
      <c r="O79" s="15"/>
      <c r="P79" s="15"/>
      <c r="Q79" s="15"/>
      <c r="R79" s="15"/>
      <c r="S79" s="15"/>
    </row>
    <row r="80" spans="1:19" x14ac:dyDescent="0.25">
      <c r="A80" s="16" t="s">
        <v>286</v>
      </c>
      <c r="B80" s="37" t="str">
        <f>HYPERLINK("http://www.dmsguild.com/product/238814/CCCMACE0102-A-Panthers-Peril?affiliate_id=759617","A Panthers Peril")</f>
        <v>A Panthers Peril</v>
      </c>
      <c r="C80" s="38">
        <v>1</v>
      </c>
      <c r="D80" s="32">
        <v>4</v>
      </c>
      <c r="E80" s="32" t="s">
        <v>287</v>
      </c>
      <c r="F80" s="32">
        <f>500+50+40+10+60+10+40</f>
        <v>710</v>
      </c>
      <c r="G80" s="9" t="str">
        <f t="shared" si="5"/>
        <v>600</v>
      </c>
      <c r="H80" s="9" t="str">
        <f t="shared" si="6"/>
        <v>1200</v>
      </c>
      <c r="I80" s="38">
        <v>600</v>
      </c>
      <c r="J80" s="38">
        <v>1200</v>
      </c>
      <c r="K80" s="8">
        <f t="shared" si="7"/>
        <v>900</v>
      </c>
      <c r="L80" s="8">
        <f t="shared" si="8"/>
        <v>225</v>
      </c>
      <c r="M80" s="8">
        <f t="shared" si="9"/>
        <v>177.5</v>
      </c>
      <c r="N80" s="15"/>
      <c r="O80" s="15"/>
      <c r="P80" s="15"/>
      <c r="Q80" s="15"/>
      <c r="R80" s="15"/>
      <c r="S80" s="15"/>
    </row>
    <row r="81" spans="1:19" x14ac:dyDescent="0.25">
      <c r="A81" s="16" t="s">
        <v>288</v>
      </c>
      <c r="B81" s="37" t="str">
        <f>HYPERLINK("http://www.dmsguild.com/product/244858/CCCMACE0103-Haunted-Memories?affiliate_id=759617","Haunted Memories")</f>
        <v>Haunted Memories</v>
      </c>
      <c r="C81" s="38">
        <v>1</v>
      </c>
      <c r="D81" s="32">
        <v>4</v>
      </c>
      <c r="E81" s="32" t="s">
        <v>63</v>
      </c>
      <c r="F81" s="32">
        <f>50+100+100+100+25*4+50*0.25+102*0.5*2+100.5*0.5*0.4+400*0.5+5*0.5+5*0.5</f>
        <v>789.6</v>
      </c>
      <c r="G81" s="9" t="str">
        <f t="shared" si="5"/>
        <v>900</v>
      </c>
      <c r="H81" s="9" t="str">
        <f t="shared" si="6"/>
        <v>1200</v>
      </c>
      <c r="I81" s="38">
        <v>900</v>
      </c>
      <c r="J81" s="38">
        <v>1200</v>
      </c>
      <c r="K81" s="8">
        <f t="shared" si="7"/>
        <v>1050</v>
      </c>
      <c r="L81" s="8">
        <f t="shared" si="8"/>
        <v>262.5</v>
      </c>
      <c r="M81" s="8">
        <f t="shared" si="9"/>
        <v>197.4</v>
      </c>
      <c r="N81" s="15"/>
      <c r="O81" s="15"/>
      <c r="P81" s="15"/>
      <c r="Q81" s="15"/>
      <c r="R81" s="15"/>
      <c r="S81" s="15"/>
    </row>
    <row r="82" spans="1:19" x14ac:dyDescent="0.25">
      <c r="A82" s="16" t="s">
        <v>289</v>
      </c>
      <c r="B82" s="37" t="str">
        <f>HYPERLINK("http://www.dmsguild.com/product/246253/CCCMIND0101-Lost-in-Thought?affiliate_id=759617","Lost in Thought")</f>
        <v>Lost in Thought</v>
      </c>
      <c r="C82" s="38">
        <v>3</v>
      </c>
      <c r="D82" s="32">
        <v>4</v>
      </c>
      <c r="E82" s="32" t="s">
        <v>156</v>
      </c>
      <c r="F82" s="32">
        <f>5000+800</f>
        <v>5800</v>
      </c>
      <c r="G82" s="9" t="str">
        <f t="shared" si="5"/>
        <v>10125</v>
      </c>
      <c r="H82" s="9" t="str">
        <f t="shared" si="6"/>
        <v>13500</v>
      </c>
      <c r="I82" s="38">
        <v>10125</v>
      </c>
      <c r="J82" s="38">
        <v>13500</v>
      </c>
      <c r="K82" s="8">
        <f t="shared" si="7"/>
        <v>11812.5</v>
      </c>
      <c r="L82" s="8">
        <f t="shared" si="8"/>
        <v>2953.125</v>
      </c>
      <c r="M82" s="8">
        <f t="shared" si="9"/>
        <v>1450</v>
      </c>
      <c r="N82" s="15"/>
      <c r="O82" s="15"/>
      <c r="P82" s="15"/>
      <c r="Q82" s="15"/>
      <c r="R82" s="15"/>
      <c r="S82" s="15"/>
    </row>
    <row r="83" spans="1:19" x14ac:dyDescent="0.25">
      <c r="A83" s="16" t="s">
        <v>290</v>
      </c>
      <c r="B83" s="37" t="str">
        <f>HYPERLINK("http://www.dmsguild.com/product/246478/CCCMIND0102-Mind-Trip?affiliate_id=759617","Mind Trip")</f>
        <v>Mind Trip</v>
      </c>
      <c r="C83" s="38">
        <v>3</v>
      </c>
      <c r="D83" s="32">
        <v>4</v>
      </c>
      <c r="E83" s="32" t="s">
        <v>156</v>
      </c>
      <c r="F83" s="32">
        <f>2000+800+800+2000+1600</f>
        <v>7200</v>
      </c>
      <c r="G83" s="9" t="str">
        <f t="shared" si="5"/>
        <v>10125</v>
      </c>
      <c r="H83" s="9" t="str">
        <f t="shared" si="6"/>
        <v>13500</v>
      </c>
      <c r="I83" s="38">
        <v>10125</v>
      </c>
      <c r="J83" s="38">
        <v>13500</v>
      </c>
      <c r="K83" s="8">
        <f t="shared" si="7"/>
        <v>11812.5</v>
      </c>
      <c r="L83" s="8">
        <f t="shared" si="8"/>
        <v>2953.125</v>
      </c>
      <c r="M83" s="8">
        <f t="shared" si="9"/>
        <v>1800</v>
      </c>
      <c r="N83" s="15"/>
      <c r="O83" s="15"/>
      <c r="P83" s="15"/>
      <c r="Q83" s="15"/>
      <c r="R83" s="15"/>
      <c r="S83" s="15"/>
    </row>
    <row r="84" spans="1:19" x14ac:dyDescent="0.25">
      <c r="A84" s="16" t="s">
        <v>291</v>
      </c>
      <c r="B84" s="37" t="str">
        <f>HYPERLINK("http://www.dmsguild.com/product/246480/CCCMIND0103-Dream-Walkers?affiliate_id=759617","Dream Walkers")</f>
        <v>Dream Walkers</v>
      </c>
      <c r="C84" s="38">
        <v>3</v>
      </c>
      <c r="D84" s="32">
        <v>4</v>
      </c>
      <c r="E84" s="32" t="s">
        <v>156</v>
      </c>
      <c r="F84" s="32">
        <f>2000+750+1250+4000</f>
        <v>8000</v>
      </c>
      <c r="G84" s="9" t="str">
        <f t="shared" si="5"/>
        <v>10125</v>
      </c>
      <c r="H84" s="9" t="str">
        <f t="shared" si="6"/>
        <v>13500</v>
      </c>
      <c r="I84" s="38">
        <v>10125</v>
      </c>
      <c r="J84" s="38">
        <v>13500</v>
      </c>
      <c r="K84" s="8">
        <f t="shared" si="7"/>
        <v>11812.5</v>
      </c>
      <c r="L84" s="8">
        <f t="shared" si="8"/>
        <v>2953.125</v>
      </c>
      <c r="M84" s="8">
        <f t="shared" si="9"/>
        <v>2000</v>
      </c>
      <c r="N84" s="15"/>
      <c r="O84" s="15"/>
      <c r="P84" s="15"/>
      <c r="Q84" s="15"/>
      <c r="R84" s="15"/>
      <c r="S84" s="15"/>
    </row>
    <row r="85" spans="1:19" x14ac:dyDescent="0.25">
      <c r="A85" s="16" t="s">
        <v>292</v>
      </c>
      <c r="B85" s="37" t="str">
        <f>HYPERLINK("http://www.dmsguild.com/product/227812/CCCODFC0101-Hammer-and-Anvil?affiliate_id=759617","Hammer and Anvil")</f>
        <v>Hammer and Anvil</v>
      </c>
      <c r="C85" s="38">
        <v>1</v>
      </c>
      <c r="D85" s="32">
        <v>4</v>
      </c>
      <c r="E85" s="32" t="s">
        <v>63</v>
      </c>
      <c r="F85" s="32">
        <v>520</v>
      </c>
      <c r="G85" s="9" t="str">
        <f t="shared" si="5"/>
        <v>900</v>
      </c>
      <c r="H85" s="9" t="str">
        <f t="shared" si="6"/>
        <v>1200</v>
      </c>
      <c r="I85" s="38">
        <v>900</v>
      </c>
      <c r="J85" s="38">
        <v>1200</v>
      </c>
      <c r="K85" s="8">
        <f t="shared" si="7"/>
        <v>1050</v>
      </c>
      <c r="L85" s="8">
        <f t="shared" si="8"/>
        <v>262.5</v>
      </c>
      <c r="M85" s="8">
        <f t="shared" si="9"/>
        <v>130</v>
      </c>
      <c r="N85" s="15"/>
      <c r="O85" s="15"/>
      <c r="P85" s="15"/>
      <c r="Q85" s="15"/>
      <c r="R85" s="15"/>
      <c r="S85" s="15"/>
    </row>
    <row r="86" spans="1:19" x14ac:dyDescent="0.25">
      <c r="A86" s="16" t="s">
        <v>293</v>
      </c>
      <c r="B86" s="37" t="str">
        <f>HYPERLINK("http://www.dmsguild.com/product/227841/CCCODFC0102-Black-Blades-Black-Wings?affiliate_id=759617","Black Blades, Black Wings")</f>
        <v>Black Blades, Black Wings</v>
      </c>
      <c r="C86" s="38">
        <v>2</v>
      </c>
      <c r="D86" s="32">
        <v>4</v>
      </c>
      <c r="E86" s="32" t="s">
        <v>13</v>
      </c>
      <c r="F86" s="32">
        <v>1970</v>
      </c>
      <c r="G86" s="9" t="str">
        <f t="shared" si="5"/>
        <v>4500</v>
      </c>
      <c r="H86" s="9" t="str">
        <f t="shared" si="6"/>
        <v>6000</v>
      </c>
      <c r="I86" s="38">
        <v>4500</v>
      </c>
      <c r="J86" s="38">
        <v>6000</v>
      </c>
      <c r="K86" s="8">
        <f t="shared" si="7"/>
        <v>5250</v>
      </c>
      <c r="L86" s="8">
        <f t="shared" si="8"/>
        <v>1312.5</v>
      </c>
      <c r="M86" s="8">
        <f t="shared" si="9"/>
        <v>492.5</v>
      </c>
      <c r="N86" s="15"/>
      <c r="O86" s="15"/>
      <c r="P86" s="15"/>
      <c r="Q86" s="15"/>
      <c r="R86" s="15"/>
      <c r="S86" s="15"/>
    </row>
    <row r="87" spans="1:19" x14ac:dyDescent="0.25">
      <c r="A87" s="16" t="s">
        <v>294</v>
      </c>
      <c r="B87" s="37" t="str">
        <f>HYPERLINK("http://www.dmsguild.com/product/227845/CCCODFC0103-Elders-Eyes-Upon-You?affiliate_id=759617","Elders' Eyes Upon You")</f>
        <v>Elders' Eyes Upon You</v>
      </c>
      <c r="C87" s="38">
        <v>3</v>
      </c>
      <c r="D87" s="32">
        <v>4</v>
      </c>
      <c r="E87" s="32" t="s">
        <v>295</v>
      </c>
      <c r="F87" s="32">
        <v>15300</v>
      </c>
      <c r="G87" s="9" t="str">
        <f t="shared" si="5"/>
        <v>15000</v>
      </c>
      <c r="H87" s="9" t="str">
        <f t="shared" si="6"/>
        <v>20000</v>
      </c>
      <c r="I87" s="38">
        <v>15000</v>
      </c>
      <c r="J87" s="38">
        <v>20000</v>
      </c>
      <c r="K87" s="8">
        <f t="shared" si="7"/>
        <v>17500</v>
      </c>
      <c r="L87" s="8">
        <f t="shared" si="8"/>
        <v>4375</v>
      </c>
      <c r="M87" s="8">
        <f t="shared" si="9"/>
        <v>3825</v>
      </c>
      <c r="N87" s="15"/>
      <c r="O87" s="15"/>
      <c r="P87" s="15"/>
      <c r="Q87" s="15"/>
      <c r="R87" s="15"/>
      <c r="S87" s="15"/>
    </row>
    <row r="88" spans="1:19" x14ac:dyDescent="0.25">
      <c r="A88" s="16" t="s">
        <v>296</v>
      </c>
      <c r="B88" s="37" t="str">
        <f>HYPERLINK("http://www.dmsguild.com/product/245632/CCCODFC0201-Serenade-of-Pain?affiliate_id=759617","Serenade of Pain")</f>
        <v>Serenade of Pain</v>
      </c>
      <c r="C88" s="38">
        <v>1</v>
      </c>
      <c r="D88" s="32">
        <v>4</v>
      </c>
      <c r="E88" s="32" t="s">
        <v>63</v>
      </c>
      <c r="F88" s="32">
        <f>10+10+25+20+100+150+(10+5+20)*7</f>
        <v>560</v>
      </c>
      <c r="G88" s="9" t="str">
        <f t="shared" si="5"/>
        <v>900</v>
      </c>
      <c r="H88" s="9" t="str">
        <f t="shared" si="6"/>
        <v>1200</v>
      </c>
      <c r="I88" s="38">
        <v>900</v>
      </c>
      <c r="J88" s="38">
        <v>1200</v>
      </c>
      <c r="K88" s="8">
        <f t="shared" si="7"/>
        <v>1050</v>
      </c>
      <c r="L88" s="8">
        <f t="shared" si="8"/>
        <v>262.5</v>
      </c>
      <c r="M88" s="8">
        <f t="shared" si="9"/>
        <v>140</v>
      </c>
      <c r="N88" s="15"/>
      <c r="O88" s="15"/>
      <c r="P88" s="15"/>
      <c r="Q88" s="15"/>
      <c r="R88" s="15"/>
      <c r="S88" s="15"/>
    </row>
    <row r="89" spans="1:19" x14ac:dyDescent="0.25">
      <c r="A89" s="16" t="s">
        <v>297</v>
      </c>
      <c r="B89" s="37" t="str">
        <f>HYPERLINK("http://www.dmsguild.com/product/245228/CCCODFC0202-Palace-of-the-Efreeti?affiliate_id=759617","Palace of the Efreeti")</f>
        <v>Palace of the Efreeti</v>
      </c>
      <c r="C89" s="38">
        <v>2</v>
      </c>
      <c r="D89" s="32">
        <v>4</v>
      </c>
      <c r="E89" s="32" t="s">
        <v>13</v>
      </c>
      <c r="F89" s="32">
        <f>1500+500+1500+300*7</f>
        <v>5600</v>
      </c>
      <c r="G89" s="9" t="str">
        <f t="shared" si="5"/>
        <v>4500</v>
      </c>
      <c r="H89" s="9" t="str">
        <f t="shared" si="6"/>
        <v>6000</v>
      </c>
      <c r="I89" s="38">
        <v>4500</v>
      </c>
      <c r="J89" s="38">
        <v>6000</v>
      </c>
      <c r="K89" s="8">
        <f t="shared" si="7"/>
        <v>5250</v>
      </c>
      <c r="L89" s="8">
        <f t="shared" si="8"/>
        <v>1312.5</v>
      </c>
      <c r="M89" s="8">
        <f t="shared" si="9"/>
        <v>1400</v>
      </c>
      <c r="N89" s="15"/>
      <c r="O89" s="15"/>
      <c r="P89" s="15"/>
      <c r="Q89" s="15"/>
      <c r="R89" s="15"/>
      <c r="S89" s="15"/>
    </row>
    <row r="90" spans="1:19" x14ac:dyDescent="0.25">
      <c r="A90" s="16" t="s">
        <v>298</v>
      </c>
      <c r="B90" s="37" t="str">
        <f>HYPERLINK("http://www.dmsguild.com/product/245631/CCCODFC0203-Nights-Bright-Dawning?affiliate_id=759617","Night's Bright Dawning")</f>
        <v>Night's Bright Dawning</v>
      </c>
      <c r="C90" s="38">
        <v>3</v>
      </c>
      <c r="D90" s="32">
        <v>4</v>
      </c>
      <c r="E90" s="32" t="s">
        <v>156</v>
      </c>
      <c r="F90" s="32">
        <f>2400+750+850+1000+1000+200+800+500*7</f>
        <v>10500</v>
      </c>
      <c r="G90" s="9" t="str">
        <f t="shared" si="5"/>
        <v>10125</v>
      </c>
      <c r="H90" s="9" t="str">
        <f t="shared" si="6"/>
        <v>13500</v>
      </c>
      <c r="I90" s="38">
        <v>10125</v>
      </c>
      <c r="J90" s="38">
        <v>13500</v>
      </c>
      <c r="K90" s="8">
        <f t="shared" si="7"/>
        <v>11812.5</v>
      </c>
      <c r="L90" s="8">
        <f t="shared" si="8"/>
        <v>2953.125</v>
      </c>
      <c r="M90" s="8">
        <f t="shared" si="9"/>
        <v>2625</v>
      </c>
      <c r="N90" s="15"/>
      <c r="O90" s="15"/>
      <c r="P90" s="15"/>
      <c r="Q90" s="15"/>
      <c r="R90" s="15"/>
      <c r="S90" s="15"/>
    </row>
    <row r="91" spans="1:19" x14ac:dyDescent="0.25">
      <c r="A91" s="16" t="s">
        <v>299</v>
      </c>
      <c r="B91" s="37" t="str">
        <f>HYPERLINK("http://www.dmsguild.com/product/214453/CCCPDXAGE0101-The-White-Well?affiliate_id=759617","The White Well")</f>
        <v>The White Well</v>
      </c>
      <c r="C91" s="38">
        <v>1</v>
      </c>
      <c r="D91" s="32">
        <v>2</v>
      </c>
      <c r="E91" s="32" t="s">
        <v>10</v>
      </c>
      <c r="F91" s="32">
        <v>290</v>
      </c>
      <c r="G91" s="9" t="str">
        <f t="shared" si="5"/>
        <v>450</v>
      </c>
      <c r="H91" s="9" t="str">
        <f t="shared" si="6"/>
        <v>600</v>
      </c>
      <c r="I91" s="38">
        <v>450</v>
      </c>
      <c r="J91" s="38">
        <v>600</v>
      </c>
      <c r="K91" s="8">
        <f t="shared" si="7"/>
        <v>525</v>
      </c>
      <c r="L91" s="8">
        <f t="shared" si="8"/>
        <v>262.5</v>
      </c>
      <c r="M91" s="8">
        <f t="shared" si="9"/>
        <v>145</v>
      </c>
      <c r="N91" s="15"/>
      <c r="O91" s="15"/>
      <c r="P91" s="15"/>
      <c r="Q91" s="15"/>
      <c r="R91" s="15"/>
      <c r="S91" s="15"/>
    </row>
    <row r="92" spans="1:19" x14ac:dyDescent="0.25">
      <c r="A92" s="16" t="s">
        <v>300</v>
      </c>
      <c r="B92" s="37" t="str">
        <f>HYPERLINK("http://www.dmsguild.com/product/214451/CCCPDXAGE0201-The-Dark-Hunt?affiliate_id=759617","The Dark Hunt")</f>
        <v>The Dark Hunt</v>
      </c>
      <c r="C92" s="38">
        <v>2</v>
      </c>
      <c r="D92" s="32">
        <v>2</v>
      </c>
      <c r="E92" s="32" t="s">
        <v>301</v>
      </c>
      <c r="F92" s="32">
        <v>850</v>
      </c>
      <c r="G92" s="9" t="str">
        <f t="shared" si="5"/>
        <v>1500</v>
      </c>
      <c r="H92" s="9" t="str">
        <f t="shared" si="6"/>
        <v>2000</v>
      </c>
      <c r="I92" s="38">
        <v>1500</v>
      </c>
      <c r="J92" s="38">
        <v>2000</v>
      </c>
      <c r="K92" s="8">
        <f t="shared" si="7"/>
        <v>1750</v>
      </c>
      <c r="L92" s="8">
        <f t="shared" si="8"/>
        <v>875</v>
      </c>
      <c r="M92" s="8">
        <f t="shared" si="9"/>
        <v>425</v>
      </c>
      <c r="N92" s="15"/>
      <c r="O92" s="15"/>
      <c r="P92" s="15"/>
      <c r="Q92" s="15"/>
      <c r="R92" s="15"/>
      <c r="S92" s="15"/>
    </row>
    <row r="93" spans="1:19" x14ac:dyDescent="0.25">
      <c r="A93" s="16" t="s">
        <v>302</v>
      </c>
      <c r="B93" s="37" t="str">
        <f>HYPERLINK("http://www.dmsguild.com/product/242915/CCCPHA01-Six-Summoned-Swords?affiliate_id=759617","Six Summoned Swords")</f>
        <v>Six Summoned Swords</v>
      </c>
      <c r="C93" s="38">
        <v>2</v>
      </c>
      <c r="D93" s="32">
        <v>4</v>
      </c>
      <c r="E93" s="32" t="s">
        <v>13</v>
      </c>
      <c r="F93" s="32">
        <f>100+1000+900+3000</f>
        <v>5000</v>
      </c>
      <c r="G93" s="9" t="str">
        <f t="shared" si="5"/>
        <v>4500</v>
      </c>
      <c r="H93" s="9" t="str">
        <f t="shared" si="6"/>
        <v>6000</v>
      </c>
      <c r="I93" s="38">
        <v>4500</v>
      </c>
      <c r="J93" s="38">
        <v>6000</v>
      </c>
      <c r="K93" s="8">
        <f t="shared" si="7"/>
        <v>5250</v>
      </c>
      <c r="L93" s="8">
        <f t="shared" si="8"/>
        <v>1312.5</v>
      </c>
      <c r="M93" s="8">
        <f t="shared" si="9"/>
        <v>1250</v>
      </c>
      <c r="N93" s="15"/>
      <c r="O93" s="15"/>
      <c r="P93" s="15"/>
      <c r="Q93" s="15"/>
      <c r="R93" s="15"/>
      <c r="S93" s="15"/>
    </row>
    <row r="94" spans="1:19" x14ac:dyDescent="0.25">
      <c r="A94" s="16" t="s">
        <v>303</v>
      </c>
      <c r="B94" s="37" t="str">
        <f>HYPERLINK("http://www.dmsguild.com/product/240922/CCCPRIORY01-Maritime-Mayhem?affiliate_id=759617","Maritime Mayhem")</f>
        <v>Maritime Mayhem</v>
      </c>
      <c r="C94" s="38">
        <v>1</v>
      </c>
      <c r="D94" s="32">
        <v>2</v>
      </c>
      <c r="E94" s="32" t="s">
        <v>10</v>
      </c>
      <c r="F94" s="32">
        <f>75+50+45+5+75</f>
        <v>250</v>
      </c>
      <c r="G94" s="9" t="str">
        <f t="shared" si="5"/>
        <v>450</v>
      </c>
      <c r="H94" s="9" t="str">
        <f t="shared" si="6"/>
        <v>600</v>
      </c>
      <c r="I94" s="38">
        <v>450</v>
      </c>
      <c r="J94" s="38">
        <v>600</v>
      </c>
      <c r="K94" s="8">
        <f t="shared" si="7"/>
        <v>525</v>
      </c>
      <c r="L94" s="8">
        <f t="shared" si="8"/>
        <v>262.5</v>
      </c>
      <c r="M94" s="8">
        <f t="shared" si="9"/>
        <v>125</v>
      </c>
      <c r="N94" s="15"/>
      <c r="O94" s="15"/>
      <c r="P94" s="15"/>
      <c r="Q94" s="15"/>
      <c r="R94" s="15"/>
      <c r="S94" s="15"/>
    </row>
    <row r="95" spans="1:19" x14ac:dyDescent="0.25">
      <c r="A95" s="16" t="s">
        <v>304</v>
      </c>
      <c r="B95" s="37" t="str">
        <f>HYPERLINK("https://www.dmsguild.com/product/240924/CCCPRIORY02-Prison-Pitfalls?affiliate_id=759617","Prison Pitfalls")</f>
        <v>Prison Pitfalls</v>
      </c>
      <c r="C95" s="38">
        <v>1</v>
      </c>
      <c r="D95" s="32">
        <v>2</v>
      </c>
      <c r="E95" s="32" t="s">
        <v>10</v>
      </c>
      <c r="F95" s="32">
        <f>75+50+50+50+10</f>
        <v>235</v>
      </c>
      <c r="G95" s="9" t="str">
        <f t="shared" si="5"/>
        <v>450</v>
      </c>
      <c r="H95" s="9" t="str">
        <f t="shared" si="6"/>
        <v>600</v>
      </c>
      <c r="I95" s="38">
        <v>450</v>
      </c>
      <c r="J95" s="38">
        <v>600</v>
      </c>
      <c r="K95" s="8">
        <f t="shared" si="7"/>
        <v>525</v>
      </c>
      <c r="L95" s="8">
        <f t="shared" si="8"/>
        <v>262.5</v>
      </c>
      <c r="M95" s="8">
        <f t="shared" si="9"/>
        <v>117.5</v>
      </c>
      <c r="N95" s="15"/>
      <c r="O95" s="15"/>
      <c r="P95" s="15"/>
      <c r="Q95" s="15"/>
      <c r="R95" s="15"/>
      <c r="S95" s="15"/>
    </row>
    <row r="96" spans="1:19" x14ac:dyDescent="0.25">
      <c r="A96" s="16" t="s">
        <v>305</v>
      </c>
      <c r="B96" s="37" t="str">
        <f>HYPERLINK("https://www.dmsguild.com/product/240925/CCCPRIORY03-Truths-in-Time?affiliate_id=759617","Truths in Time")</f>
        <v>Truths in Time</v>
      </c>
      <c r="C96" s="38">
        <v>1</v>
      </c>
      <c r="D96" s="32">
        <v>2</v>
      </c>
      <c r="E96" s="32" t="s">
        <v>10</v>
      </c>
      <c r="F96" s="32">
        <f>75+50+100</f>
        <v>225</v>
      </c>
      <c r="G96" s="9" t="str">
        <f t="shared" si="5"/>
        <v>450</v>
      </c>
      <c r="H96" s="9" t="str">
        <f t="shared" si="6"/>
        <v>600</v>
      </c>
      <c r="I96" s="38">
        <v>450</v>
      </c>
      <c r="J96" s="38">
        <v>600</v>
      </c>
      <c r="K96" s="8">
        <f t="shared" si="7"/>
        <v>525</v>
      </c>
      <c r="L96" s="8">
        <f t="shared" si="8"/>
        <v>262.5</v>
      </c>
      <c r="M96" s="8">
        <f t="shared" si="9"/>
        <v>112.5</v>
      </c>
      <c r="N96" s="15"/>
      <c r="O96" s="15"/>
      <c r="P96" s="15"/>
      <c r="Q96" s="15"/>
      <c r="R96" s="15"/>
      <c r="S96" s="15"/>
    </row>
    <row r="97" spans="1:19" x14ac:dyDescent="0.25">
      <c r="A97" s="16" t="s">
        <v>306</v>
      </c>
      <c r="B97" s="37" t="str">
        <f>HYPERLINK("http://www.dmsguild.com/product/221415/CCCQCC2017-Delusions-of-Grandeur-Dreams-of-Revenge?affiliate_id=759617","Delusions of Grandeur, Dreams of Revenge")</f>
        <v>Delusions of Grandeur, Dreams of Revenge</v>
      </c>
      <c r="C97" s="38">
        <v>3</v>
      </c>
      <c r="D97" s="32">
        <v>4</v>
      </c>
      <c r="E97" s="32" t="s">
        <v>156</v>
      </c>
      <c r="F97" s="32">
        <v>7000</v>
      </c>
      <c r="G97" s="9" t="str">
        <f t="shared" si="5"/>
        <v>10125</v>
      </c>
      <c r="H97" s="9" t="str">
        <f t="shared" si="6"/>
        <v>13500</v>
      </c>
      <c r="I97" s="38">
        <v>10125</v>
      </c>
      <c r="J97" s="38">
        <v>13500</v>
      </c>
      <c r="K97" s="8">
        <f t="shared" si="7"/>
        <v>11812.5</v>
      </c>
      <c r="L97" s="8">
        <f t="shared" si="8"/>
        <v>2953.125</v>
      </c>
      <c r="M97" s="8">
        <f t="shared" si="9"/>
        <v>1750</v>
      </c>
      <c r="N97" s="15"/>
      <c r="O97" s="15"/>
      <c r="P97" s="15"/>
      <c r="Q97" s="15"/>
      <c r="R97" s="15"/>
      <c r="S97" s="15"/>
    </row>
    <row r="98" spans="1:19" x14ac:dyDescent="0.25">
      <c r="A98" s="16" t="s">
        <v>307</v>
      </c>
      <c r="B98" s="37" t="str">
        <f>HYPERLINK("http://www.dmsguild.com/product/221932/CCCROZK0101-Binders-Torment?affiliate_id=759617","Binder's Torment")</f>
        <v>Binder's Torment</v>
      </c>
      <c r="C98" s="38">
        <v>3</v>
      </c>
      <c r="D98" s="32">
        <v>4</v>
      </c>
      <c r="E98" s="32" t="s">
        <v>308</v>
      </c>
      <c r="F98" s="32">
        <v>4250</v>
      </c>
      <c r="G98" s="9" t="str">
        <f t="shared" si="5"/>
        <v>11700</v>
      </c>
      <c r="H98" s="9" t="str">
        <f t="shared" si="6"/>
        <v>13760</v>
      </c>
      <c r="I98" s="38">
        <v>11700</v>
      </c>
      <c r="J98" s="38">
        <v>13760</v>
      </c>
      <c r="K98" s="8">
        <f t="shared" si="7"/>
        <v>12730</v>
      </c>
      <c r="L98" s="8">
        <f t="shared" si="8"/>
        <v>3182.5</v>
      </c>
      <c r="M98" s="8">
        <f t="shared" si="9"/>
        <v>1062.5</v>
      </c>
      <c r="N98" s="15"/>
      <c r="O98" s="15"/>
      <c r="P98" s="15"/>
      <c r="Q98" s="15"/>
      <c r="R98" s="15"/>
      <c r="S98" s="15"/>
    </row>
    <row r="99" spans="1:19" x14ac:dyDescent="0.25">
      <c r="A99" s="16" t="s">
        <v>309</v>
      </c>
      <c r="B99" s="37" t="str">
        <f>HYPERLINK("http://www.dmsguild.com/product/221933/CCCROZK0102-Zhentarims-Lament?affiliate_id=759617","Zhenatarim's Lament")</f>
        <v>Zhenatarim's Lament</v>
      </c>
      <c r="C99" s="38">
        <v>3</v>
      </c>
      <c r="D99" s="32">
        <v>4</v>
      </c>
      <c r="E99" s="32" t="s">
        <v>310</v>
      </c>
      <c r="F99" s="32">
        <v>6550</v>
      </c>
      <c r="G99" s="9" t="str">
        <f t="shared" si="5"/>
        <v>11360</v>
      </c>
      <c r="H99" s="9" t="str">
        <f t="shared" si="6"/>
        <v>13360</v>
      </c>
      <c r="I99" s="38">
        <v>11360</v>
      </c>
      <c r="J99" s="38">
        <v>13360</v>
      </c>
      <c r="K99" s="8">
        <f t="shared" si="7"/>
        <v>12360</v>
      </c>
      <c r="L99" s="8">
        <f t="shared" si="8"/>
        <v>3090</v>
      </c>
      <c r="M99" s="8">
        <f t="shared" si="9"/>
        <v>1637.5</v>
      </c>
      <c r="N99" s="15"/>
      <c r="O99" s="15"/>
      <c r="P99" s="15"/>
      <c r="Q99" s="15"/>
      <c r="R99" s="15"/>
      <c r="S99" s="15"/>
    </row>
    <row r="100" spans="1:19" x14ac:dyDescent="0.25">
      <c r="A100" s="16" t="s">
        <v>311</v>
      </c>
      <c r="B100" s="37" t="str">
        <f>HYPERLINK("http://www.dmsguild.com/product/221934/CCCROZK0103-Necromancers-Ascent?affiliate_id=759617","Necromancer's Ascent")</f>
        <v>Necromancer's Ascent</v>
      </c>
      <c r="C100" s="38">
        <v>3</v>
      </c>
      <c r="D100" s="32">
        <v>4</v>
      </c>
      <c r="E100" s="32" t="s">
        <v>312</v>
      </c>
      <c r="F100" s="32">
        <v>3500</v>
      </c>
      <c r="G100" s="9" t="str">
        <f t="shared" si="5"/>
        <v>14200</v>
      </c>
      <c r="H100" s="9" t="str">
        <f t="shared" si="6"/>
        <v>15600</v>
      </c>
      <c r="I100" s="38">
        <v>14200</v>
      </c>
      <c r="J100" s="38">
        <v>15600</v>
      </c>
      <c r="K100" s="8">
        <f t="shared" si="7"/>
        <v>14900</v>
      </c>
      <c r="L100" s="8">
        <f t="shared" si="8"/>
        <v>3725</v>
      </c>
      <c r="M100" s="8">
        <f t="shared" si="9"/>
        <v>875</v>
      </c>
      <c r="N100" s="15"/>
      <c r="O100" s="15"/>
      <c r="P100" s="15"/>
      <c r="Q100" s="15"/>
      <c r="R100" s="15"/>
      <c r="S100" s="15"/>
    </row>
    <row r="101" spans="1:19" x14ac:dyDescent="0.25">
      <c r="A101" s="16" t="s">
        <v>313</v>
      </c>
      <c r="B101" s="37" t="str">
        <f>HYPERLINK("http://www.dmsguild.com/product/240487/CCCRPR01-Eyes-of-Blood?affiliate_id=759617","Eyes of Blood")</f>
        <v>Eyes of Blood</v>
      </c>
      <c r="C101" s="38">
        <v>1</v>
      </c>
      <c r="D101" s="32">
        <v>4</v>
      </c>
      <c r="E101" s="32" t="s">
        <v>63</v>
      </c>
      <c r="F101" s="32">
        <f>50+75+50+25+25+1050+100*7</f>
        <v>1975</v>
      </c>
      <c r="G101" s="9" t="str">
        <f t="shared" si="5"/>
        <v>900</v>
      </c>
      <c r="H101" s="9" t="str">
        <f t="shared" si="6"/>
        <v>1200</v>
      </c>
      <c r="I101" s="38">
        <v>900</v>
      </c>
      <c r="J101" s="38">
        <v>1200</v>
      </c>
      <c r="K101" s="8">
        <f t="shared" si="7"/>
        <v>1050</v>
      </c>
      <c r="L101" s="8">
        <f t="shared" si="8"/>
        <v>262.5</v>
      </c>
      <c r="M101" s="8">
        <f t="shared" si="9"/>
        <v>493.75</v>
      </c>
      <c r="N101" s="15"/>
      <c r="O101" s="15"/>
      <c r="P101" s="15"/>
      <c r="Q101" s="15"/>
      <c r="R101" s="15"/>
      <c r="S101" s="15"/>
    </row>
    <row r="102" spans="1:19" x14ac:dyDescent="0.25">
      <c r="A102" s="16" t="s">
        <v>314</v>
      </c>
      <c r="B102" s="37" t="str">
        <f>HYPERLINK("http://www.dmsguild.com/product/244135/CCCRPSG01-Ooze-There?affiliate_id=759617","Ooze There")</f>
        <v>Ooze There</v>
      </c>
      <c r="C102" s="38">
        <v>1</v>
      </c>
      <c r="D102" s="32">
        <v>4</v>
      </c>
      <c r="E102" s="32" t="s">
        <v>63</v>
      </c>
      <c r="F102" s="32">
        <f>7+500+25+15+200</f>
        <v>747</v>
      </c>
      <c r="G102" s="9" t="str">
        <f t="shared" si="5"/>
        <v>900</v>
      </c>
      <c r="H102" s="9" t="str">
        <f t="shared" si="6"/>
        <v>1200</v>
      </c>
      <c r="I102" s="38">
        <v>900</v>
      </c>
      <c r="J102" s="38">
        <v>1200</v>
      </c>
      <c r="K102" s="8">
        <f t="shared" si="7"/>
        <v>1050</v>
      </c>
      <c r="L102" s="8">
        <f t="shared" si="8"/>
        <v>262.5</v>
      </c>
      <c r="M102" s="8">
        <f t="shared" si="9"/>
        <v>186.75</v>
      </c>
      <c r="N102" s="15"/>
      <c r="O102" s="15"/>
      <c r="P102" s="15"/>
      <c r="Q102" s="15"/>
      <c r="R102" s="15"/>
      <c r="S102" s="15"/>
    </row>
    <row r="103" spans="1:19" x14ac:dyDescent="0.25">
      <c r="A103" s="16" t="s">
        <v>315</v>
      </c>
      <c r="B103" s="37" t="str">
        <f>HYPERLINK("http://www.dmsguild.com/product/210440/CCCSALT0101-Rumors-of-Riches?affiliate_id=759617","Rumors of Riches")</f>
        <v>Rumors of Riches</v>
      </c>
      <c r="C103" s="38">
        <v>1</v>
      </c>
      <c r="D103" s="32">
        <v>2</v>
      </c>
      <c r="E103" s="32" t="s">
        <v>10</v>
      </c>
      <c r="F103" s="32">
        <v>544.6</v>
      </c>
      <c r="G103" s="9" t="str">
        <f t="shared" si="5"/>
        <v>450</v>
      </c>
      <c r="H103" s="9" t="str">
        <f t="shared" si="6"/>
        <v>600</v>
      </c>
      <c r="I103" s="38">
        <v>450</v>
      </c>
      <c r="J103" s="38">
        <v>600</v>
      </c>
      <c r="K103" s="8">
        <f t="shared" si="7"/>
        <v>525</v>
      </c>
      <c r="L103" s="8">
        <f t="shared" si="8"/>
        <v>262.5</v>
      </c>
      <c r="M103" s="8">
        <f t="shared" si="9"/>
        <v>272.3</v>
      </c>
      <c r="N103" s="15"/>
      <c r="O103" s="15"/>
      <c r="P103" s="15"/>
      <c r="Q103" s="15"/>
      <c r="R103" s="15"/>
      <c r="S103" s="15"/>
    </row>
    <row r="104" spans="1:19" x14ac:dyDescent="0.25">
      <c r="A104" s="16" t="s">
        <v>316</v>
      </c>
      <c r="B104" s="37" t="str">
        <f>HYPERLINK("http://www.dmsguild.com/product/210443/CCCSALT0102-Moor-Trouble?affiliate_id=759617","Moor Trouble")</f>
        <v>Moor Trouble</v>
      </c>
      <c r="C104" s="38">
        <v>1</v>
      </c>
      <c r="D104" s="32">
        <v>2</v>
      </c>
      <c r="E104" s="32" t="s">
        <v>10</v>
      </c>
      <c r="F104" s="32">
        <v>407</v>
      </c>
      <c r="G104" s="9" t="str">
        <f t="shared" si="5"/>
        <v>450</v>
      </c>
      <c r="H104" s="9" t="str">
        <f t="shared" si="6"/>
        <v>600</v>
      </c>
      <c r="I104" s="38">
        <v>450</v>
      </c>
      <c r="J104" s="38">
        <v>600</v>
      </c>
      <c r="K104" s="8">
        <f t="shared" si="7"/>
        <v>525</v>
      </c>
      <c r="L104" s="8">
        <f t="shared" si="8"/>
        <v>262.5</v>
      </c>
      <c r="M104" s="8">
        <f t="shared" si="9"/>
        <v>203.5</v>
      </c>
      <c r="N104" s="15"/>
      <c r="O104" s="15"/>
      <c r="P104" s="15"/>
      <c r="Q104" s="15"/>
      <c r="R104" s="15"/>
      <c r="S104" s="15"/>
    </row>
    <row r="105" spans="1:19" x14ac:dyDescent="0.25">
      <c r="A105" s="16" t="s">
        <v>317</v>
      </c>
      <c r="B105" s="37" t="str">
        <f>HYPERLINK("http://www.dmsguild.com/product/210444/CCCSALT0103-Broken-Halls-of-Goldahroud?affiliate_id=759617","Broken Halls of Goldahroud")</f>
        <v>Broken Halls of Goldahroud</v>
      </c>
      <c r="C105" s="38">
        <v>1</v>
      </c>
      <c r="D105" s="32">
        <v>4</v>
      </c>
      <c r="E105" s="32" t="s">
        <v>135</v>
      </c>
      <c r="F105" s="32">
        <v>1046.01</v>
      </c>
      <c r="G105" s="9" t="str">
        <f t="shared" si="5"/>
        <v>900</v>
      </c>
      <c r="H105" s="9" t="str">
        <f t="shared" si="6"/>
        <v>1500</v>
      </c>
      <c r="I105" s="38">
        <v>900</v>
      </c>
      <c r="J105" s="38">
        <v>1500</v>
      </c>
      <c r="K105" s="8">
        <f t="shared" si="7"/>
        <v>1200</v>
      </c>
      <c r="L105" s="8">
        <f t="shared" si="8"/>
        <v>300</v>
      </c>
      <c r="M105" s="8">
        <f t="shared" si="9"/>
        <v>261.5025</v>
      </c>
      <c r="N105" s="15"/>
      <c r="O105" s="15"/>
      <c r="P105" s="15"/>
      <c r="Q105" s="15"/>
      <c r="R105" s="15"/>
      <c r="S105" s="15"/>
    </row>
    <row r="106" spans="1:19" x14ac:dyDescent="0.25">
      <c r="A106" s="16" t="s">
        <v>318</v>
      </c>
      <c r="B106" s="37" t="str">
        <f>HYPERLINK("http://www.dmsguild.com/product/244117/CCCSALT-0201-Mulmasters-Meddlings?affiliate_id=759617","Mulmaster's Meddling's")</f>
        <v>Mulmaster's Meddling's</v>
      </c>
      <c r="C106" s="38">
        <v>1</v>
      </c>
      <c r="D106" s="32">
        <v>4</v>
      </c>
      <c r="E106" s="32" t="s">
        <v>135</v>
      </c>
      <c r="F106" s="32">
        <f>200+150+25+75+75</f>
        <v>525</v>
      </c>
      <c r="G106" s="9" t="str">
        <f t="shared" si="5"/>
        <v>900</v>
      </c>
      <c r="H106" s="9" t="str">
        <f t="shared" si="6"/>
        <v>1500</v>
      </c>
      <c r="I106" s="38">
        <v>900</v>
      </c>
      <c r="J106" s="38">
        <v>1500</v>
      </c>
      <c r="K106" s="8">
        <f t="shared" si="7"/>
        <v>1200</v>
      </c>
      <c r="L106" s="8">
        <f t="shared" si="8"/>
        <v>300</v>
      </c>
      <c r="M106" s="8">
        <f t="shared" si="9"/>
        <v>131.25</v>
      </c>
      <c r="N106" s="15"/>
      <c r="O106" s="15"/>
      <c r="P106" s="15"/>
      <c r="Q106" s="15"/>
      <c r="R106" s="15"/>
      <c r="S106" s="15"/>
    </row>
    <row r="107" spans="1:19" x14ac:dyDescent="0.25">
      <c r="A107" s="16" t="s">
        <v>319</v>
      </c>
      <c r="B107" s="37" t="str">
        <f>HYPERLINK("http://www.dmsguild.com/product/244116/CCCSALT-0202-Tower-in-the-Valley?affiliate_id=759617","Tower in the Valley")</f>
        <v>Tower in the Valley</v>
      </c>
      <c r="C107" s="38">
        <v>2</v>
      </c>
      <c r="D107" s="32">
        <v>4</v>
      </c>
      <c r="E107" s="32" t="s">
        <v>13</v>
      </c>
      <c r="F107" s="32">
        <f>200+210+900+1800+90</f>
        <v>3200</v>
      </c>
      <c r="G107" s="9" t="str">
        <f t="shared" si="5"/>
        <v>4500</v>
      </c>
      <c r="H107" s="9" t="str">
        <f t="shared" si="6"/>
        <v>6000</v>
      </c>
      <c r="I107" s="38">
        <v>4500</v>
      </c>
      <c r="J107" s="38">
        <v>6000</v>
      </c>
      <c r="K107" s="8">
        <f t="shared" si="7"/>
        <v>5250</v>
      </c>
      <c r="L107" s="8">
        <f t="shared" si="8"/>
        <v>1312.5</v>
      </c>
      <c r="M107" s="8">
        <f t="shared" si="9"/>
        <v>800</v>
      </c>
      <c r="N107" s="15"/>
      <c r="O107" s="15"/>
      <c r="P107" s="15"/>
      <c r="Q107" s="15"/>
      <c r="R107" s="15"/>
      <c r="S107" s="15"/>
    </row>
    <row r="108" spans="1:19" x14ac:dyDescent="0.25">
      <c r="A108" s="16" t="s">
        <v>320</v>
      </c>
      <c r="B108" s="37" t="str">
        <f>HYPERLINK("http://www.dmsguild.com/product/237410/Corrupted-Artery?affiliate_id=759617","Corrupted Artery")</f>
        <v>Corrupted Artery</v>
      </c>
      <c r="C108" s="38">
        <v>1</v>
      </c>
      <c r="D108" s="32">
        <v>2</v>
      </c>
      <c r="E108" s="32" t="s">
        <v>10</v>
      </c>
      <c r="F108" s="32">
        <v>325</v>
      </c>
      <c r="G108" s="9" t="str">
        <f t="shared" si="5"/>
        <v>450</v>
      </c>
      <c r="H108" s="9" t="str">
        <f t="shared" si="6"/>
        <v>600</v>
      </c>
      <c r="I108" s="38">
        <v>450</v>
      </c>
      <c r="J108" s="38">
        <v>600</v>
      </c>
      <c r="K108" s="8">
        <f t="shared" si="7"/>
        <v>525</v>
      </c>
      <c r="L108" s="8">
        <f t="shared" si="8"/>
        <v>262.5</v>
      </c>
      <c r="M108" s="8">
        <f t="shared" si="9"/>
        <v>162.5</v>
      </c>
      <c r="N108" s="15"/>
      <c r="O108" s="15"/>
      <c r="P108" s="15"/>
      <c r="Q108" s="15"/>
      <c r="R108" s="15"/>
      <c r="S108" s="15"/>
    </row>
    <row r="109" spans="1:19" x14ac:dyDescent="0.25">
      <c r="A109" s="16" t="s">
        <v>321</v>
      </c>
      <c r="B109" s="37" t="str">
        <f>HYPERLINK("http://www.dmsguild.com/product/242220/CCCSCAR0102-Glister-By-Light?affiliate_id=759617","Glister By Light")</f>
        <v>Glister By Light</v>
      </c>
      <c r="C109" s="38">
        <v>1</v>
      </c>
      <c r="D109" s="32">
        <v>4</v>
      </c>
      <c r="E109" s="32" t="s">
        <v>63</v>
      </c>
      <c r="F109" s="32">
        <v>450</v>
      </c>
      <c r="G109" s="9" t="str">
        <f t="shared" si="5"/>
        <v>900</v>
      </c>
      <c r="H109" s="9" t="str">
        <f t="shared" si="6"/>
        <v>1200</v>
      </c>
      <c r="I109" s="38">
        <v>900</v>
      </c>
      <c r="J109" s="38">
        <v>1200</v>
      </c>
      <c r="K109" s="8">
        <f t="shared" si="7"/>
        <v>1050</v>
      </c>
      <c r="L109" s="8">
        <f t="shared" si="8"/>
        <v>262.5</v>
      </c>
      <c r="M109" s="8">
        <f t="shared" si="9"/>
        <v>112.5</v>
      </c>
      <c r="N109" s="15"/>
      <c r="O109" s="15"/>
      <c r="P109" s="15"/>
      <c r="Q109" s="15"/>
      <c r="R109" s="15"/>
      <c r="S109" s="15"/>
    </row>
    <row r="110" spans="1:19" x14ac:dyDescent="0.25">
      <c r="A110" s="16" t="s">
        <v>322</v>
      </c>
      <c r="B110" s="37" t="str">
        <f>HYPERLINK("http://www.dmsguild.com/product/230005/CCCSFBay0201-Old-Enemies-Arise?affiliate_id=759617","Old Enemies Arise")</f>
        <v>Old Enemies Arise</v>
      </c>
      <c r="C110" s="38">
        <v>2</v>
      </c>
      <c r="D110" s="32">
        <v>4</v>
      </c>
      <c r="E110" s="32" t="s">
        <v>323</v>
      </c>
      <c r="F110" s="32">
        <v>3425</v>
      </c>
      <c r="G110" s="9" t="str">
        <f t="shared" si="5"/>
        <v>3000</v>
      </c>
      <c r="H110" s="9" t="str">
        <f t="shared" si="6"/>
        <v>9000</v>
      </c>
      <c r="I110" s="38">
        <v>3000</v>
      </c>
      <c r="J110" s="38">
        <v>9000</v>
      </c>
      <c r="K110" s="8">
        <f t="shared" si="7"/>
        <v>6000</v>
      </c>
      <c r="L110" s="8">
        <f t="shared" si="8"/>
        <v>1500</v>
      </c>
      <c r="M110" s="8">
        <f t="shared" si="9"/>
        <v>856.25</v>
      </c>
      <c r="N110" s="15"/>
      <c r="O110" s="15"/>
      <c r="P110" s="15"/>
      <c r="Q110" s="15"/>
      <c r="R110" s="15"/>
      <c r="S110" s="15"/>
    </row>
    <row r="111" spans="1:19" x14ac:dyDescent="0.25">
      <c r="A111" s="16" t="s">
        <v>324</v>
      </c>
      <c r="B111" s="37" t="str">
        <f>HYPERLINK("http://www.dmsguild.com/product/232430/CCCSFBAY0401-The-Cornflower-Hive?affiliate_id=759617","The Cornflower Hive")</f>
        <v>The Cornflower Hive</v>
      </c>
      <c r="C111" s="38">
        <v>1</v>
      </c>
      <c r="D111" s="32">
        <v>4</v>
      </c>
      <c r="E111" s="32" t="s">
        <v>63</v>
      </c>
      <c r="F111" s="32">
        <f>250+20+30</f>
        <v>300</v>
      </c>
      <c r="G111" s="9" t="str">
        <f t="shared" si="5"/>
        <v>900</v>
      </c>
      <c r="H111" s="9" t="str">
        <f t="shared" si="6"/>
        <v>1200</v>
      </c>
      <c r="I111" s="38">
        <v>900</v>
      </c>
      <c r="J111" s="38">
        <v>1200</v>
      </c>
      <c r="K111" s="8">
        <f t="shared" si="7"/>
        <v>1050</v>
      </c>
      <c r="L111" s="8">
        <f t="shared" si="8"/>
        <v>262.5</v>
      </c>
      <c r="M111" s="8">
        <f t="shared" si="9"/>
        <v>75</v>
      </c>
      <c r="N111" s="15"/>
      <c r="O111" s="15"/>
      <c r="P111" s="15"/>
      <c r="Q111" s="15"/>
      <c r="R111" s="15"/>
      <c r="S111" s="15"/>
    </row>
    <row r="112" spans="1:19" x14ac:dyDescent="0.25">
      <c r="A112" s="16" t="s">
        <v>325</v>
      </c>
      <c r="B112" s="37" t="str">
        <f>HYPERLINK("http://www.dmsguild.com/product/232428/CCCSFBAY0402-Under-Earth--Stone?affiliate_id=759617","Under Earth &amp; Stone")</f>
        <v>Under Earth &amp; Stone</v>
      </c>
      <c r="C112" s="38">
        <v>2</v>
      </c>
      <c r="D112" s="32">
        <v>2</v>
      </c>
      <c r="E112" s="32" t="s">
        <v>83</v>
      </c>
      <c r="F112" s="32">
        <f>200+250+180+300+50+50+70+250+150+400+20</f>
        <v>1920</v>
      </c>
      <c r="G112" s="9" t="str">
        <f t="shared" si="5"/>
        <v>2250</v>
      </c>
      <c r="H112" s="9" t="str">
        <f t="shared" si="6"/>
        <v>3000</v>
      </c>
      <c r="I112" s="38">
        <v>2250</v>
      </c>
      <c r="J112" s="38">
        <v>3000</v>
      </c>
      <c r="K112" s="8">
        <f t="shared" si="7"/>
        <v>2625</v>
      </c>
      <c r="L112" s="8">
        <f t="shared" si="8"/>
        <v>1312.5</v>
      </c>
      <c r="M112" s="8">
        <f t="shared" si="9"/>
        <v>960</v>
      </c>
      <c r="N112" s="15"/>
      <c r="O112" s="15"/>
      <c r="P112" s="15"/>
      <c r="Q112" s="15"/>
      <c r="R112" s="15"/>
      <c r="S112" s="15"/>
    </row>
    <row r="113" spans="1:19" x14ac:dyDescent="0.25">
      <c r="A113" s="16" t="s">
        <v>326</v>
      </c>
      <c r="B113" s="37" t="str">
        <f>HYPERLINK("http://www.dmsguild.com/product/245751/?affiliate_id=759617","The Ashen Scar")</f>
        <v>The Ashen Scar</v>
      </c>
      <c r="C113" s="38">
        <v>1</v>
      </c>
      <c r="D113" s="32">
        <v>2</v>
      </c>
      <c r="E113" s="32" t="s">
        <v>10</v>
      </c>
      <c r="F113" s="32">
        <f>200+200+168+400+50+50+100</f>
        <v>1168</v>
      </c>
      <c r="G113" s="9" t="str">
        <f t="shared" si="5"/>
        <v>450</v>
      </c>
      <c r="H113" s="9" t="str">
        <f t="shared" si="6"/>
        <v>600</v>
      </c>
      <c r="I113" s="38">
        <v>450</v>
      </c>
      <c r="J113" s="38">
        <v>600</v>
      </c>
      <c r="K113" s="8">
        <f t="shared" si="7"/>
        <v>525</v>
      </c>
      <c r="L113" s="8">
        <f t="shared" si="8"/>
        <v>262.5</v>
      </c>
      <c r="M113" s="8">
        <f t="shared" si="9"/>
        <v>584</v>
      </c>
      <c r="N113" s="15"/>
      <c r="O113" s="15"/>
      <c r="P113" s="15"/>
      <c r="Q113" s="15"/>
      <c r="R113" s="15"/>
      <c r="S113" s="15"/>
    </row>
    <row r="114" spans="1:19" x14ac:dyDescent="0.25">
      <c r="A114" s="16" t="s">
        <v>327</v>
      </c>
      <c r="B114" s="37" t="str">
        <f>HYPERLINK("http://www.dmsguild.com/product/223038/CCCSRCC0101-Trouble-in-the-Old-City?affiliate_id=759617","Trouble in the Old City")</f>
        <v>Trouble in the Old City</v>
      </c>
      <c r="C114" s="38">
        <v>1</v>
      </c>
      <c r="D114" s="32">
        <v>2</v>
      </c>
      <c r="E114" s="32" t="s">
        <v>10</v>
      </c>
      <c r="F114" s="32">
        <v>796.8</v>
      </c>
      <c r="G114" s="9" t="str">
        <f t="shared" si="5"/>
        <v>450</v>
      </c>
      <c r="H114" s="9" t="str">
        <f t="shared" si="6"/>
        <v>600</v>
      </c>
      <c r="I114" s="38">
        <v>450</v>
      </c>
      <c r="J114" s="38">
        <v>600</v>
      </c>
      <c r="K114" s="8">
        <f t="shared" si="7"/>
        <v>525</v>
      </c>
      <c r="L114" s="8">
        <f t="shared" si="8"/>
        <v>262.5</v>
      </c>
      <c r="M114" s="8">
        <f t="shared" si="9"/>
        <v>398.4</v>
      </c>
      <c r="N114" s="15"/>
      <c r="O114" s="15"/>
      <c r="P114" s="15"/>
      <c r="Q114" s="15"/>
      <c r="R114" s="15"/>
      <c r="S114" s="15"/>
    </row>
    <row r="115" spans="1:19" x14ac:dyDescent="0.25">
      <c r="A115" s="16" t="s">
        <v>328</v>
      </c>
      <c r="B115" s="37" t="str">
        <f>HYPERLINK("http://www.dmsguild.com/product/223039/CCCSRCC0102-Down-the-River-of-Snakes?affiliate_id=759617","Down the River of Snakes")</f>
        <v>Down the River of Snakes</v>
      </c>
      <c r="C115" s="38">
        <v>1</v>
      </c>
      <c r="D115" s="32">
        <v>2</v>
      </c>
      <c r="E115" s="32" t="s">
        <v>10</v>
      </c>
      <c r="F115" s="32">
        <f>4+40+60+40+40+115+60+60+200+50+50+25+5</f>
        <v>749</v>
      </c>
      <c r="G115" s="9" t="str">
        <f t="shared" si="5"/>
        <v>450</v>
      </c>
      <c r="H115" s="9" t="str">
        <f t="shared" si="6"/>
        <v>600</v>
      </c>
      <c r="I115" s="38">
        <v>450</v>
      </c>
      <c r="J115" s="38">
        <v>600</v>
      </c>
      <c r="K115" s="8">
        <f t="shared" si="7"/>
        <v>525</v>
      </c>
      <c r="L115" s="8">
        <f t="shared" si="8"/>
        <v>262.5</v>
      </c>
      <c r="M115" s="8">
        <f t="shared" si="9"/>
        <v>374.5</v>
      </c>
      <c r="N115" s="15"/>
      <c r="O115" s="15"/>
      <c r="P115" s="15"/>
      <c r="Q115" s="15"/>
      <c r="R115" s="15"/>
      <c r="S115" s="15"/>
    </row>
    <row r="116" spans="1:19" x14ac:dyDescent="0.25">
      <c r="A116" s="16" t="s">
        <v>329</v>
      </c>
      <c r="B116" s="37" t="str">
        <f>HYPERLINK("http://www.dmsguild.com/product/223041/CCCSRCC0103-Altar-of-the-Smoldering-Eye?affiliate_id=759617","Altar of the Smoldering Eye")</f>
        <v>Altar of the Smoldering Eye</v>
      </c>
      <c r="C116" s="38">
        <v>1</v>
      </c>
      <c r="D116" s="32">
        <v>2</v>
      </c>
      <c r="E116" s="32" t="s">
        <v>10</v>
      </c>
      <c r="F116" s="32">
        <f>10+100+240+15+60+40+80+250</f>
        <v>795</v>
      </c>
      <c r="G116" s="9" t="str">
        <f t="shared" si="5"/>
        <v>450</v>
      </c>
      <c r="H116" s="9" t="str">
        <f t="shared" si="6"/>
        <v>600</v>
      </c>
      <c r="I116" s="38">
        <v>450</v>
      </c>
      <c r="J116" s="38">
        <v>600</v>
      </c>
      <c r="K116" s="8">
        <f t="shared" si="7"/>
        <v>525</v>
      </c>
      <c r="L116" s="8">
        <f t="shared" si="8"/>
        <v>262.5</v>
      </c>
      <c r="M116" s="8">
        <f t="shared" si="9"/>
        <v>397.5</v>
      </c>
      <c r="N116" s="15"/>
      <c r="O116" s="15"/>
      <c r="P116" s="15"/>
      <c r="Q116" s="15"/>
      <c r="R116" s="15"/>
      <c r="S116" s="15"/>
    </row>
    <row r="117" spans="1:19" x14ac:dyDescent="0.25">
      <c r="A117" s="16" t="s">
        <v>330</v>
      </c>
      <c r="B117" s="37" t="str">
        <f>HYPERLINK("http://www.dmsguild.com/product/241068/CCCSTORM01-The-Barrows-of-Solina?affiliate_id=759617","The Barrows of Solina")</f>
        <v>The Barrows of Solina</v>
      </c>
      <c r="C117" s="38">
        <v>2</v>
      </c>
      <c r="D117" s="32">
        <v>4</v>
      </c>
      <c r="E117" s="32" t="s">
        <v>13</v>
      </c>
      <c r="F117" s="32">
        <f>100+400+300+100+100+250</f>
        <v>1250</v>
      </c>
      <c r="G117" s="9" t="str">
        <f t="shared" si="5"/>
        <v>4500</v>
      </c>
      <c r="H117" s="9" t="str">
        <f t="shared" si="6"/>
        <v>6000</v>
      </c>
      <c r="I117" s="38">
        <v>4500</v>
      </c>
      <c r="J117" s="38">
        <v>6000</v>
      </c>
      <c r="K117" s="8">
        <f t="shared" si="7"/>
        <v>5250</v>
      </c>
      <c r="L117" s="8">
        <f t="shared" si="8"/>
        <v>1312.5</v>
      </c>
      <c r="M117" s="8">
        <f t="shared" si="9"/>
        <v>312.5</v>
      </c>
      <c r="N117" s="15"/>
      <c r="O117" s="15"/>
      <c r="P117" s="15"/>
      <c r="Q117" s="15"/>
      <c r="R117" s="15"/>
      <c r="S117" s="15"/>
    </row>
    <row r="118" spans="1:19" x14ac:dyDescent="0.25">
      <c r="A118" s="16" t="s">
        <v>331</v>
      </c>
      <c r="B118" s="37" t="str">
        <f>HYPERLINK("http://www.dmsguild.com/product/246844/CCCTAROT0101-Awakening-of-Fates?affiliate_id=759617","Awakening of Fates")</f>
        <v>Awakening of Fates</v>
      </c>
      <c r="C118" s="38">
        <v>1</v>
      </c>
      <c r="D118" s="32">
        <v>2</v>
      </c>
      <c r="E118" s="32" t="s">
        <v>332</v>
      </c>
      <c r="F118" s="32">
        <f>200+25+25</f>
        <v>250</v>
      </c>
      <c r="G118" s="9" t="str">
        <f t="shared" si="5"/>
        <v>450</v>
      </c>
      <c r="H118" s="9" t="str">
        <f t="shared" si="6"/>
        <v>650</v>
      </c>
      <c r="I118" s="38">
        <v>450</v>
      </c>
      <c r="J118" s="38">
        <v>650</v>
      </c>
      <c r="K118" s="8">
        <f t="shared" si="7"/>
        <v>550</v>
      </c>
      <c r="L118" s="8">
        <f t="shared" si="8"/>
        <v>275</v>
      </c>
      <c r="M118" s="8">
        <f t="shared" si="9"/>
        <v>125</v>
      </c>
      <c r="N118" s="15"/>
      <c r="O118" s="15"/>
      <c r="P118" s="15"/>
      <c r="Q118" s="15"/>
      <c r="R118" s="15"/>
      <c r="S118" s="15"/>
    </row>
    <row r="119" spans="1:19" x14ac:dyDescent="0.25">
      <c r="A119" s="16" t="s">
        <v>333</v>
      </c>
      <c r="B119" s="37" t="str">
        <f>HYPERLINK("http://www.dmsguild.com/product/246352/CCCTAROT0102-By-the-Light-of-the-Moon?affiliate_id=759617","By the Light of the Moon")</f>
        <v>By the Light of the Moon</v>
      </c>
      <c r="C119" s="38">
        <v>1</v>
      </c>
      <c r="D119" s="32">
        <v>2</v>
      </c>
      <c r="E119" s="32" t="s">
        <v>10</v>
      </c>
      <c r="F119" s="32">
        <f>50+25+25+50+100</f>
        <v>250</v>
      </c>
      <c r="G119" s="9" t="str">
        <f t="shared" si="5"/>
        <v>450</v>
      </c>
      <c r="H119" s="9" t="str">
        <f t="shared" si="6"/>
        <v>600</v>
      </c>
      <c r="I119" s="38">
        <v>450</v>
      </c>
      <c r="J119" s="38">
        <v>600</v>
      </c>
      <c r="K119" s="8">
        <f t="shared" si="7"/>
        <v>525</v>
      </c>
      <c r="L119" s="8">
        <f t="shared" si="8"/>
        <v>262.5</v>
      </c>
      <c r="M119" s="8">
        <f t="shared" si="9"/>
        <v>125</v>
      </c>
      <c r="N119" s="15"/>
      <c r="O119" s="15"/>
      <c r="P119" s="15"/>
      <c r="Q119" s="15"/>
      <c r="R119" s="15"/>
      <c r="S119" s="15"/>
    </row>
    <row r="120" spans="1:19" x14ac:dyDescent="0.25">
      <c r="A120" s="16" t="s">
        <v>334</v>
      </c>
      <c r="B120" s="37" t="str">
        <f>HYPERLINK("http://www.dmsguild.com/product/246073/CCCTAROT0103-A-Martyred-Heart?affiliate_id=759617","A Martyred Heart")</f>
        <v>A Martyred Heart</v>
      </c>
      <c r="C120" s="38">
        <v>1</v>
      </c>
      <c r="D120" s="32">
        <v>2</v>
      </c>
      <c r="E120" s="32" t="s">
        <v>10</v>
      </c>
      <c r="F120" s="32">
        <f>100+25+25+50</f>
        <v>200</v>
      </c>
      <c r="G120" s="9" t="str">
        <f t="shared" si="5"/>
        <v>450</v>
      </c>
      <c r="H120" s="9" t="str">
        <f t="shared" si="6"/>
        <v>600</v>
      </c>
      <c r="I120" s="38">
        <v>450</v>
      </c>
      <c r="J120" s="38">
        <v>600</v>
      </c>
      <c r="K120" s="8">
        <f t="shared" si="7"/>
        <v>525</v>
      </c>
      <c r="L120" s="8">
        <f t="shared" si="8"/>
        <v>262.5</v>
      </c>
      <c r="M120" s="8">
        <f t="shared" si="9"/>
        <v>100</v>
      </c>
      <c r="N120" s="15"/>
      <c r="O120" s="15"/>
      <c r="P120" s="15"/>
      <c r="Q120" s="15"/>
      <c r="R120" s="15"/>
      <c r="S120" s="15"/>
    </row>
    <row r="121" spans="1:19" x14ac:dyDescent="0.25">
      <c r="A121" s="16" t="s">
        <v>335</v>
      </c>
      <c r="B121" s="37" t="str">
        <f>HYPERLINK("http://www.dmsguild.com/product/223663/CCCTHENT0101-Beneath-the-Surface?affiliate_id=759617","Beneath the Surface")</f>
        <v>Beneath the Surface</v>
      </c>
      <c r="C121" s="38">
        <v>1</v>
      </c>
      <c r="D121" s="32">
        <v>2</v>
      </c>
      <c r="E121" s="32" t="s">
        <v>332</v>
      </c>
      <c r="F121" s="32">
        <f>40+100+100+100+200</f>
        <v>540</v>
      </c>
      <c r="G121" s="9" t="str">
        <f t="shared" si="5"/>
        <v>450</v>
      </c>
      <c r="H121" s="9" t="str">
        <f t="shared" si="6"/>
        <v>650</v>
      </c>
      <c r="I121" s="38">
        <v>450</v>
      </c>
      <c r="J121" s="38">
        <v>650</v>
      </c>
      <c r="K121" s="8">
        <f t="shared" si="7"/>
        <v>550</v>
      </c>
      <c r="L121" s="8">
        <f t="shared" si="8"/>
        <v>275</v>
      </c>
      <c r="M121" s="8">
        <f t="shared" si="9"/>
        <v>270</v>
      </c>
      <c r="N121" s="15"/>
      <c r="O121" s="15"/>
      <c r="P121" s="15"/>
      <c r="Q121" s="15"/>
      <c r="R121" s="15"/>
      <c r="S121" s="15"/>
    </row>
    <row r="122" spans="1:19" x14ac:dyDescent="0.25">
      <c r="A122" s="16" t="s">
        <v>336</v>
      </c>
      <c r="B122" s="37" t="str">
        <f>HYPERLINK("http://www.dmsguild.com/product/223665/CCCTHENT0102-Those-That-Dwell-Beneath?affiliate_id=759617","Those That Dwell Beneath")</f>
        <v>Those That Dwell Beneath</v>
      </c>
      <c r="C122" s="38">
        <v>1</v>
      </c>
      <c r="D122" s="32">
        <v>2</v>
      </c>
      <c r="E122" s="32" t="s">
        <v>332</v>
      </c>
      <c r="F122" s="32">
        <f>500</f>
        <v>500</v>
      </c>
      <c r="G122" s="9" t="str">
        <f t="shared" ref="G122:G137" si="10">LEFT(E122,SEARCH("/",E122,1)-1)</f>
        <v>450</v>
      </c>
      <c r="H122" s="9" t="str">
        <f t="shared" ref="H122:H137" si="11">RIGHT(E122,LEN(E122)-SEARCH("/",E122,1))</f>
        <v>650</v>
      </c>
      <c r="I122" s="38">
        <v>450</v>
      </c>
      <c r="J122" s="38">
        <v>650</v>
      </c>
      <c r="K122" s="8">
        <f t="shared" si="7"/>
        <v>550</v>
      </c>
      <c r="L122" s="8">
        <f t="shared" si="8"/>
        <v>275</v>
      </c>
      <c r="M122" s="8">
        <f t="shared" si="9"/>
        <v>250</v>
      </c>
      <c r="N122" s="15"/>
      <c r="O122" s="15"/>
      <c r="P122" s="15"/>
      <c r="Q122" s="15"/>
      <c r="R122" s="15"/>
      <c r="S122" s="15"/>
    </row>
    <row r="123" spans="1:19" x14ac:dyDescent="0.25">
      <c r="A123" s="16" t="s">
        <v>337</v>
      </c>
      <c r="B123" s="37" t="str">
        <f>HYPERLINK("http://www.dmsguild.com/product/223667/CCCTHENT0103-The-Dreaming-Relic?affiliate_id=759617","The Dreaming Relic")</f>
        <v>The Dreaming Relic</v>
      </c>
      <c r="C123" s="38">
        <v>1</v>
      </c>
      <c r="D123" s="32">
        <v>4</v>
      </c>
      <c r="E123" s="32" t="s">
        <v>63</v>
      </c>
      <c r="F123" s="32">
        <v>450</v>
      </c>
      <c r="G123" s="9" t="str">
        <f t="shared" si="10"/>
        <v>900</v>
      </c>
      <c r="H123" s="9" t="str">
        <f t="shared" si="11"/>
        <v>1200</v>
      </c>
      <c r="I123" s="38">
        <v>900</v>
      </c>
      <c r="J123" s="38">
        <v>1200</v>
      </c>
      <c r="K123" s="8">
        <f t="shared" si="7"/>
        <v>1050</v>
      </c>
      <c r="L123" s="8">
        <f t="shared" si="8"/>
        <v>262.5</v>
      </c>
      <c r="M123" s="8">
        <f t="shared" si="9"/>
        <v>112.5</v>
      </c>
      <c r="N123" s="15"/>
      <c r="O123" s="15"/>
      <c r="P123" s="15"/>
      <c r="Q123" s="15"/>
      <c r="R123" s="15"/>
      <c r="S123" s="15"/>
    </row>
    <row r="124" spans="1:19" x14ac:dyDescent="0.25">
      <c r="A124" s="16" t="s">
        <v>338</v>
      </c>
      <c r="B124" s="37" t="str">
        <f>HYPERLINK("http://www.dmsguild.com/product/227696/CCCTRI02-Impression-Left-Behind-Part-Two-of-the-Yulash-Series?src=affiliate_id=759617","Impression Left Behind (Part Two of the Yulash Series)")</f>
        <v>Impression Left Behind (Part Two of the Yulash Series)</v>
      </c>
      <c r="C124" s="38">
        <v>3</v>
      </c>
      <c r="D124" s="32">
        <v>4</v>
      </c>
      <c r="E124" s="32" t="s">
        <v>156</v>
      </c>
      <c r="F124" s="32">
        <v>5500</v>
      </c>
      <c r="G124" s="9" t="str">
        <f t="shared" si="10"/>
        <v>10125</v>
      </c>
      <c r="H124" s="9" t="str">
        <f t="shared" si="11"/>
        <v>13500</v>
      </c>
      <c r="I124" s="38">
        <v>10125</v>
      </c>
      <c r="J124" s="38">
        <v>13500</v>
      </c>
      <c r="K124" s="8">
        <f t="shared" si="7"/>
        <v>11812.5</v>
      </c>
      <c r="L124" s="8">
        <f t="shared" si="8"/>
        <v>2953.125</v>
      </c>
      <c r="M124" s="8">
        <f t="shared" si="9"/>
        <v>1375</v>
      </c>
      <c r="N124" s="15"/>
      <c r="O124" s="15"/>
      <c r="P124" s="15"/>
      <c r="Q124" s="15"/>
      <c r="R124" s="15"/>
      <c r="S124" s="15"/>
    </row>
    <row r="125" spans="1:19" x14ac:dyDescent="0.25">
      <c r="A125" s="16" t="s">
        <v>339</v>
      </c>
      <c r="B125" s="37" t="str">
        <f>HYPERLINK("http://www.dmsguild.com/product/239621/CCCTRI03-Fences-and-Swords-Part-One-of-the-RocSlide-Series?src=affiliate_id=759617","Fences and Swords (Part One of the RocSlide Series)")</f>
        <v>Fences and Swords (Part One of the RocSlide Series)</v>
      </c>
      <c r="C125" s="38">
        <v>2</v>
      </c>
      <c r="D125" s="32">
        <v>2</v>
      </c>
      <c r="E125" s="32" t="s">
        <v>15</v>
      </c>
      <c r="F125" s="32">
        <v>1000</v>
      </c>
      <c r="G125" s="9" t="str">
        <f t="shared" si="10"/>
        <v>1875</v>
      </c>
      <c r="H125" s="9" t="str">
        <f t="shared" si="11"/>
        <v>2500</v>
      </c>
      <c r="I125" s="38">
        <v>1875</v>
      </c>
      <c r="J125" s="38">
        <v>2500</v>
      </c>
      <c r="K125" s="8">
        <f t="shared" si="7"/>
        <v>2187.5</v>
      </c>
      <c r="L125" s="8">
        <f t="shared" si="8"/>
        <v>1093.75</v>
      </c>
      <c r="M125" s="8">
        <f t="shared" si="9"/>
        <v>500</v>
      </c>
      <c r="N125" s="15"/>
      <c r="O125" s="15"/>
      <c r="P125" s="15"/>
      <c r="Q125" s="15"/>
      <c r="R125" s="15"/>
      <c r="S125" s="15"/>
    </row>
    <row r="126" spans="1:19" x14ac:dyDescent="0.25">
      <c r="A126" s="16" t="s">
        <v>340</v>
      </c>
      <c r="B126" s="37" t="str">
        <f>HYPERLINK("http://www.dmsguild.com/product/239652/CCCTRI04-Birds-of-a-Feather-Part-Two-of-the-RocSlide-Series?src=affiliate_id=759617","Birds of a Feather (Part Two of the RocSlide Series)")</f>
        <v>Birds of a Feather (Part Two of the RocSlide Series)</v>
      </c>
      <c r="C126" s="38">
        <v>2</v>
      </c>
      <c r="D126" s="32">
        <v>2</v>
      </c>
      <c r="E126" s="32" t="s">
        <v>83</v>
      </c>
      <c r="F126" s="32">
        <f>1000+1000+1000+500*7</f>
        <v>6500</v>
      </c>
      <c r="G126" s="9" t="str">
        <f t="shared" si="10"/>
        <v>2250</v>
      </c>
      <c r="H126" s="9" t="str">
        <f t="shared" si="11"/>
        <v>3000</v>
      </c>
      <c r="I126" s="38">
        <v>2250</v>
      </c>
      <c r="J126" s="38">
        <v>3000</v>
      </c>
      <c r="K126" s="8">
        <f t="shared" si="7"/>
        <v>2625</v>
      </c>
      <c r="L126" s="8">
        <f t="shared" si="8"/>
        <v>1312.5</v>
      </c>
      <c r="M126" s="8">
        <f t="shared" si="9"/>
        <v>3250</v>
      </c>
      <c r="N126" s="15"/>
      <c r="O126" s="15"/>
      <c r="P126" s="15"/>
      <c r="Q126" s="15"/>
      <c r="R126" s="15"/>
      <c r="S126" s="15"/>
    </row>
    <row r="127" spans="1:19" x14ac:dyDescent="0.25">
      <c r="A127" s="16" t="s">
        <v>341</v>
      </c>
      <c r="B127" s="37" t="str">
        <f>HYPERLINK("http://www.dmsguild.com/product/245910/CCCTRI14-The-Voice-in-the-Night-Part-Three-of-the-Yulash-Series?src=affiliate_id=759617","The Voice in the Night (Part Three of the Yulash Series)")</f>
        <v>The Voice in the Night (Part Three of the Yulash Series)</v>
      </c>
      <c r="C127" s="38">
        <v>3</v>
      </c>
      <c r="D127" s="32">
        <v>4</v>
      </c>
      <c r="E127" s="32" t="s">
        <v>342</v>
      </c>
      <c r="F127" s="32">
        <v>3000</v>
      </c>
      <c r="G127" s="9" t="str">
        <f t="shared" si="10"/>
        <v>9000</v>
      </c>
      <c r="H127" s="9" t="str">
        <f t="shared" si="11"/>
        <v>12000</v>
      </c>
      <c r="I127" s="38">
        <v>9000</v>
      </c>
      <c r="J127" s="38">
        <v>12000</v>
      </c>
      <c r="K127" s="8">
        <f t="shared" si="7"/>
        <v>10500</v>
      </c>
      <c r="L127" s="8">
        <f t="shared" si="8"/>
        <v>2625</v>
      </c>
      <c r="M127" s="8">
        <f t="shared" si="9"/>
        <v>750</v>
      </c>
      <c r="N127" s="15"/>
      <c r="O127" s="15"/>
      <c r="P127" s="15"/>
      <c r="Q127" s="15"/>
      <c r="R127" s="15"/>
      <c r="S127" s="15"/>
    </row>
    <row r="128" spans="1:19" x14ac:dyDescent="0.25">
      <c r="A128" s="16" t="s">
        <v>343</v>
      </c>
      <c r="B128" s="37" t="str">
        <f>HYPERLINK("http://www.dmsguild.com/product/245914/CCCTRI15-The-Dark-of-the-Hive-Part-Four-of-the-Yulash-Series?src=affiliate_id=759617","The Dark of the Hive (Part Four of the Yulash Series)")</f>
        <v>The Dark of the Hive (Part Four of the Yulash Series)</v>
      </c>
      <c r="C128" s="38">
        <v>3</v>
      </c>
      <c r="D128" s="32">
        <v>4</v>
      </c>
      <c r="E128" s="32" t="s">
        <v>136</v>
      </c>
      <c r="F128" s="32">
        <v>7025</v>
      </c>
      <c r="G128" s="9" t="str">
        <f t="shared" si="10"/>
        <v>10125</v>
      </c>
      <c r="H128" s="9" t="str">
        <f t="shared" si="11"/>
        <v>16875</v>
      </c>
      <c r="I128" s="38">
        <v>10125</v>
      </c>
      <c r="J128" s="38">
        <v>16875</v>
      </c>
      <c r="K128" s="8">
        <f t="shared" si="7"/>
        <v>13500</v>
      </c>
      <c r="L128" s="8">
        <f t="shared" si="8"/>
        <v>3375</v>
      </c>
      <c r="M128" s="8">
        <f t="shared" si="9"/>
        <v>1756.25</v>
      </c>
      <c r="N128" s="15"/>
      <c r="O128" s="15"/>
      <c r="P128" s="15"/>
      <c r="Q128" s="15"/>
      <c r="R128" s="15"/>
      <c r="S128" s="15"/>
    </row>
    <row r="129" spans="1:19" x14ac:dyDescent="0.25">
      <c r="A129" s="16" t="s">
        <v>344</v>
      </c>
      <c r="B129" s="37" t="str">
        <f>HYPERLINK("http://www.dmsguild.com/product/247439/CCCTRI19-Dead-Mens-Tales-Part-One-of-the-Dead-Men-Series?src=affiliate_id=759617","Dead Men's Tales (Part One of the Dead Men Series)")</f>
        <v>Dead Men's Tales (Part One of the Dead Men Series)</v>
      </c>
      <c r="C129" s="38">
        <v>1</v>
      </c>
      <c r="D129" s="32">
        <v>4</v>
      </c>
      <c r="E129" s="32" t="s">
        <v>63</v>
      </c>
      <c r="F129" s="32">
        <f>50+10+5/10+10+50/100+2/100+25/10+10+23/100+25+1/100+1/100+1/100+3+10/100+50+40+30/10+25+2+100+5/100</f>
        <v>331.93</v>
      </c>
      <c r="G129" s="9" t="str">
        <f t="shared" si="10"/>
        <v>900</v>
      </c>
      <c r="H129" s="9" t="str">
        <f t="shared" si="11"/>
        <v>1200</v>
      </c>
      <c r="I129" s="38">
        <v>900</v>
      </c>
      <c r="J129" s="38">
        <v>1200</v>
      </c>
      <c r="K129" s="8">
        <f t="shared" si="7"/>
        <v>1050</v>
      </c>
      <c r="L129" s="8">
        <f t="shared" si="8"/>
        <v>262.5</v>
      </c>
      <c r="M129" s="8">
        <f t="shared" si="9"/>
        <v>82.982500000000002</v>
      </c>
      <c r="N129" s="15"/>
      <c r="O129" s="15"/>
      <c r="P129" s="15"/>
      <c r="Q129" s="15"/>
      <c r="R129" s="15"/>
      <c r="S129" s="15"/>
    </row>
    <row r="130" spans="1:19" x14ac:dyDescent="0.25">
      <c r="A130" s="16" t="s">
        <v>345</v>
      </c>
      <c r="B130" s="37" t="str">
        <f>HYPERLINK("http://www.dmsguild.com/product/200484/CCCUCON01-Blood--Fog?affiliate_id=759617","Blood and Fog")</f>
        <v>Blood and Fog</v>
      </c>
      <c r="C130" s="38">
        <v>2</v>
      </c>
      <c r="D130" s="32">
        <v>4</v>
      </c>
      <c r="E130" s="32" t="s">
        <v>128</v>
      </c>
      <c r="F130" s="32">
        <v>2200</v>
      </c>
      <c r="G130" s="9" t="str">
        <f t="shared" si="10"/>
        <v>3750</v>
      </c>
      <c r="H130" s="9" t="str">
        <f t="shared" si="11"/>
        <v>5000</v>
      </c>
      <c r="I130" s="38">
        <v>3750</v>
      </c>
      <c r="J130" s="38">
        <v>5000</v>
      </c>
      <c r="K130" s="8">
        <f t="shared" si="7"/>
        <v>4375</v>
      </c>
      <c r="L130" s="8">
        <f t="shared" si="8"/>
        <v>1093.75</v>
      </c>
      <c r="M130" s="8">
        <f t="shared" si="9"/>
        <v>550</v>
      </c>
      <c r="N130" s="15"/>
      <c r="O130" s="15"/>
      <c r="P130" s="15"/>
      <c r="Q130" s="15"/>
      <c r="R130" s="15"/>
      <c r="S130" s="15"/>
    </row>
    <row r="131" spans="1:19" x14ac:dyDescent="0.25">
      <c r="A131" s="16" t="s">
        <v>346</v>
      </c>
      <c r="B131" s="37" t="str">
        <f>HYPERLINK("http://www.dmsguild.com/product/240678/CCCWWC01-In-the-Face-of-Fear?affiliate_id=759617","In the Face of Fear")</f>
        <v>In the Face of Fear</v>
      </c>
      <c r="C131" s="38">
        <v>1</v>
      </c>
      <c r="D131" s="32">
        <v>2</v>
      </c>
      <c r="E131" s="32" t="s">
        <v>332</v>
      </c>
      <c r="F131" s="32">
        <f>50+200+250</f>
        <v>500</v>
      </c>
      <c r="G131" s="9" t="str">
        <f t="shared" si="10"/>
        <v>450</v>
      </c>
      <c r="H131" s="9" t="str">
        <f t="shared" si="11"/>
        <v>650</v>
      </c>
      <c r="I131" s="38">
        <v>450</v>
      </c>
      <c r="J131" s="38">
        <v>650</v>
      </c>
      <c r="K131" s="8">
        <f t="shared" ref="K131:K137" si="12">AVERAGE(I131:J131)</f>
        <v>550</v>
      </c>
      <c r="L131" s="8">
        <f t="shared" ref="L131:L137" si="13">K131/D131</f>
        <v>275</v>
      </c>
      <c r="M131" s="8">
        <f t="shared" ref="M131:M137" si="14">F131/D131</f>
        <v>250</v>
      </c>
      <c r="N131" s="15"/>
      <c r="O131" s="15"/>
      <c r="P131" s="15"/>
      <c r="Q131" s="15"/>
      <c r="R131" s="15"/>
      <c r="S131" s="15"/>
    </row>
    <row r="132" spans="1:19" x14ac:dyDescent="0.25">
      <c r="A132" s="16" t="s">
        <v>347</v>
      </c>
      <c r="B132" s="37" t="str">
        <f>HYPERLINK("http://www.dmsguild.com/product/240679/CCCWWC02-Dark-Waters-of-Hate?affiliate_id=759617","Dark Waters of Hate")</f>
        <v>Dark Waters of Hate</v>
      </c>
      <c r="C132" s="38">
        <v>1</v>
      </c>
      <c r="D132" s="32">
        <v>2</v>
      </c>
      <c r="E132" s="32" t="s">
        <v>332</v>
      </c>
      <c r="F132" s="32">
        <f>100+150+250</f>
        <v>500</v>
      </c>
      <c r="G132" s="9" t="str">
        <f t="shared" si="10"/>
        <v>450</v>
      </c>
      <c r="H132" s="9" t="str">
        <f t="shared" si="11"/>
        <v>650</v>
      </c>
      <c r="I132" s="38">
        <v>450</v>
      </c>
      <c r="J132" s="38">
        <v>650</v>
      </c>
      <c r="K132" s="8">
        <f t="shared" si="12"/>
        <v>550</v>
      </c>
      <c r="L132" s="8">
        <f t="shared" si="13"/>
        <v>275</v>
      </c>
      <c r="M132" s="8">
        <f t="shared" si="14"/>
        <v>250</v>
      </c>
      <c r="N132" s="15"/>
      <c r="O132" s="15"/>
      <c r="P132" s="15"/>
      <c r="Q132" s="15"/>
      <c r="R132" s="15"/>
      <c r="S132" s="15"/>
    </row>
    <row r="133" spans="1:19" x14ac:dyDescent="0.25">
      <c r="A133" s="16" t="s">
        <v>348</v>
      </c>
      <c r="B133" s="37" t="str">
        <f>HYPERLINK("http://www.dmsguild.com/product/240680/CCCWWC03-Tyrant-of-the-Forgotten-Forge?affiliate_id=759617","Tyrant of the Forgotten Forge")</f>
        <v>Tyrant of the Forgotten Forge</v>
      </c>
      <c r="C133" s="38">
        <v>1</v>
      </c>
      <c r="D133" s="32">
        <v>2</v>
      </c>
      <c r="E133" s="32" t="s">
        <v>332</v>
      </c>
      <c r="F133" s="32">
        <f>200+50+50+100+100+250</f>
        <v>750</v>
      </c>
      <c r="G133" s="9" t="str">
        <f t="shared" si="10"/>
        <v>450</v>
      </c>
      <c r="H133" s="9" t="str">
        <f t="shared" si="11"/>
        <v>650</v>
      </c>
      <c r="I133" s="38">
        <v>450</v>
      </c>
      <c r="J133" s="38">
        <v>650</v>
      </c>
      <c r="K133" s="8">
        <f t="shared" si="12"/>
        <v>550</v>
      </c>
      <c r="L133" s="8">
        <f t="shared" si="13"/>
        <v>275</v>
      </c>
      <c r="M133" s="8">
        <f t="shared" si="14"/>
        <v>375</v>
      </c>
      <c r="N133" s="15"/>
      <c r="O133" s="15"/>
      <c r="P133" s="15"/>
      <c r="Q133" s="15"/>
      <c r="R133" s="15"/>
      <c r="S133" s="15"/>
    </row>
    <row r="134" spans="1:19" x14ac:dyDescent="0.25">
      <c r="A134" s="16" t="s">
        <v>349</v>
      </c>
      <c r="B134" s="37" t="str">
        <f>HYPERLINK("http://www.dmsguild.com/product/240681/CCCWWC04-The-Black-Handaffiliate_id=759617","The Black Hand")</f>
        <v>The Black Hand</v>
      </c>
      <c r="C134" s="38">
        <v>1</v>
      </c>
      <c r="D134" s="32">
        <v>4</v>
      </c>
      <c r="E134" s="32" t="s">
        <v>63</v>
      </c>
      <c r="F134" s="32">
        <f>100+50*7+150+300+50+100*7+75+75</f>
        <v>1800</v>
      </c>
      <c r="G134" s="9" t="str">
        <f t="shared" si="10"/>
        <v>900</v>
      </c>
      <c r="H134" s="9" t="str">
        <f t="shared" si="11"/>
        <v>1200</v>
      </c>
      <c r="I134" s="38">
        <v>900</v>
      </c>
      <c r="J134" s="38">
        <v>1200</v>
      </c>
      <c r="K134" s="8">
        <f t="shared" si="12"/>
        <v>1050</v>
      </c>
      <c r="L134" s="8">
        <f t="shared" si="13"/>
        <v>262.5</v>
      </c>
      <c r="M134" s="8">
        <f t="shared" si="14"/>
        <v>450</v>
      </c>
      <c r="N134" s="15"/>
      <c r="O134" s="15"/>
      <c r="P134" s="15"/>
      <c r="Q134" s="15"/>
      <c r="R134" s="15"/>
      <c r="S134" s="15"/>
    </row>
    <row r="135" spans="1:19" x14ac:dyDescent="0.25">
      <c r="A135" s="16" t="s">
        <v>350</v>
      </c>
      <c r="B135" s="37" t="str">
        <f>HYPERLINK("http://www.dmsguild.com/product/215448/CCCYLRA0101-Her-Dying-Wish?affiliate_id=759617","Her Dying Wish")</f>
        <v>Her Dying Wish</v>
      </c>
      <c r="C135" s="38">
        <v>2</v>
      </c>
      <c r="D135" s="32">
        <v>4</v>
      </c>
      <c r="E135" s="32" t="s">
        <v>26</v>
      </c>
      <c r="F135" s="32">
        <f>140+45*3+45*3+70+188+1000+1200+50*3</f>
        <v>3018</v>
      </c>
      <c r="G135" s="9" t="str">
        <f t="shared" si="10"/>
        <v>4500</v>
      </c>
      <c r="H135" s="9" t="str">
        <f t="shared" si="11"/>
        <v>7500</v>
      </c>
      <c r="I135" s="38">
        <v>4500</v>
      </c>
      <c r="J135" s="38">
        <v>7500</v>
      </c>
      <c r="K135" s="8">
        <f t="shared" si="12"/>
        <v>6000</v>
      </c>
      <c r="L135" s="8">
        <f t="shared" si="13"/>
        <v>1500</v>
      </c>
      <c r="M135" s="8">
        <f t="shared" si="14"/>
        <v>754.5</v>
      </c>
      <c r="N135" s="15"/>
      <c r="O135" s="15"/>
      <c r="P135" s="15"/>
      <c r="Q135" s="15"/>
      <c r="R135" s="15"/>
      <c r="S135" s="15"/>
    </row>
    <row r="136" spans="1:19" x14ac:dyDescent="0.25">
      <c r="A136" s="16" t="s">
        <v>351</v>
      </c>
      <c r="B136" s="37" t="str">
        <f>HYPERLINK("http://www.dmsguild.com/product/215484/CCCYLRA0102-Uneasy-Lies-the-Head?affiliate_id=759617","Uneasy Lies the Head")</f>
        <v>Uneasy Lies the Head</v>
      </c>
      <c r="C136" s="38">
        <v>2</v>
      </c>
      <c r="D136" s="32">
        <v>4</v>
      </c>
      <c r="E136" s="32" t="s">
        <v>26</v>
      </c>
      <c r="F136" s="32">
        <f>1000+500+250+175+350</f>
        <v>2275</v>
      </c>
      <c r="G136" s="9" t="str">
        <f t="shared" si="10"/>
        <v>4500</v>
      </c>
      <c r="H136" s="9" t="str">
        <f t="shared" si="11"/>
        <v>7500</v>
      </c>
      <c r="I136" s="38">
        <v>4500</v>
      </c>
      <c r="J136" s="38">
        <v>7500</v>
      </c>
      <c r="K136" s="8">
        <f t="shared" si="12"/>
        <v>6000</v>
      </c>
      <c r="L136" s="8">
        <f t="shared" si="13"/>
        <v>1500</v>
      </c>
      <c r="M136" s="8">
        <f t="shared" si="14"/>
        <v>568.75</v>
      </c>
      <c r="N136" s="15"/>
      <c r="O136" s="15"/>
      <c r="P136" s="15"/>
      <c r="Q136" s="15"/>
      <c r="R136" s="15"/>
      <c r="S136" s="15"/>
    </row>
    <row r="137" spans="1:19" x14ac:dyDescent="0.25">
      <c r="A137" s="16" t="s">
        <v>352</v>
      </c>
      <c r="B137" s="37" t="str">
        <f>HYPERLINK("http://www.dmsguild.com/product/215508/CCCYLRA0103-Bound-By-Duty?affiliate_id=759617","Bound by Duty")</f>
        <v>Bound by Duty</v>
      </c>
      <c r="C137" s="38">
        <v>2</v>
      </c>
      <c r="D137" s="32">
        <v>4</v>
      </c>
      <c r="E137" s="32" t="s">
        <v>26</v>
      </c>
      <c r="F137" s="32">
        <f>200+200+400+400+400+400+500+500+500+500+200</f>
        <v>4200</v>
      </c>
      <c r="G137" s="9" t="str">
        <f t="shared" si="10"/>
        <v>4500</v>
      </c>
      <c r="H137" s="9" t="str">
        <f t="shared" si="11"/>
        <v>7500</v>
      </c>
      <c r="I137" s="38">
        <v>4500</v>
      </c>
      <c r="J137" s="38">
        <v>7500</v>
      </c>
      <c r="K137" s="8">
        <f t="shared" si="12"/>
        <v>6000</v>
      </c>
      <c r="L137" s="8">
        <f t="shared" si="13"/>
        <v>1500</v>
      </c>
      <c r="M137" s="8">
        <f t="shared" si="14"/>
        <v>1050</v>
      </c>
      <c r="N137" s="15"/>
      <c r="O137" s="15"/>
      <c r="P137" s="15"/>
      <c r="Q137" s="15"/>
      <c r="R137" s="15"/>
      <c r="S137" s="15"/>
    </row>
    <row r="138" spans="1:19" x14ac:dyDescent="0.25">
      <c r="A138" s="16"/>
      <c r="B138" s="15"/>
      <c r="C138" s="17"/>
      <c r="D138" s="16"/>
      <c r="E138" s="16"/>
      <c r="F138" s="16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/>
      <c r="B139" s="16">
        <v>1</v>
      </c>
      <c r="C139" s="15">
        <f>SUMIFS(C$2:C$137,$C$2:$C$137,$B139)/B139</f>
        <v>61</v>
      </c>
      <c r="E139" s="16"/>
      <c r="F139" s="16"/>
      <c r="G139" s="15"/>
      <c r="H139" s="15"/>
      <c r="I139" s="15"/>
      <c r="J139" s="15"/>
      <c r="K139" s="15">
        <f t="shared" ref="K139:M141" si="15">SUMIFS(K$2:K$137,$C$2:$C$137,$B139)</f>
        <v>47560</v>
      </c>
      <c r="L139" s="15">
        <f t="shared" si="15"/>
        <v>15723.75</v>
      </c>
      <c r="M139" s="15">
        <f t="shared" si="15"/>
        <v>14597.834999999999</v>
      </c>
      <c r="N139" s="15"/>
      <c r="O139" s="15"/>
      <c r="P139" s="15"/>
      <c r="Q139" s="15"/>
      <c r="R139" s="15"/>
      <c r="S139" s="15"/>
    </row>
    <row r="140" spans="1:19" x14ac:dyDescent="0.25">
      <c r="A140" s="16"/>
      <c r="B140" s="16">
        <v>2</v>
      </c>
      <c r="C140" s="15">
        <f t="shared" ref="C140:C141" si="16">SUMIFS(C$2:C$137,$C$2:$C$137,$B140)/B140</f>
        <v>53</v>
      </c>
      <c r="E140" s="16"/>
      <c r="F140" s="16"/>
      <c r="G140" s="15"/>
      <c r="H140" s="15"/>
      <c r="I140" s="15"/>
      <c r="J140" s="15"/>
      <c r="K140" s="15">
        <f t="shared" si="15"/>
        <v>253662.5</v>
      </c>
      <c r="L140" s="15">
        <f t="shared" si="15"/>
        <v>78862.5</v>
      </c>
      <c r="M140" s="15">
        <f t="shared" si="15"/>
        <v>47304.875</v>
      </c>
      <c r="N140" s="15"/>
      <c r="O140" s="15"/>
      <c r="P140" s="15"/>
      <c r="Q140" s="15"/>
      <c r="R140" s="15"/>
      <c r="S140" s="15"/>
    </row>
    <row r="141" spans="1:19" x14ac:dyDescent="0.25">
      <c r="A141" s="16"/>
      <c r="B141" s="16">
        <v>3</v>
      </c>
      <c r="C141" s="15">
        <f t="shared" si="16"/>
        <v>22</v>
      </c>
      <c r="E141" s="16"/>
      <c r="F141" s="16"/>
      <c r="G141" s="15"/>
      <c r="H141" s="15"/>
      <c r="I141" s="15"/>
      <c r="J141" s="15"/>
      <c r="K141" s="15">
        <f t="shared" si="15"/>
        <v>246240</v>
      </c>
      <c r="L141" s="15">
        <f t="shared" si="15"/>
        <v>67310</v>
      </c>
      <c r="M141" s="15">
        <f t="shared" si="15"/>
        <v>43843.75</v>
      </c>
      <c r="N141" s="15"/>
      <c r="O141" s="15"/>
      <c r="P141" s="15"/>
      <c r="Q141" s="15"/>
      <c r="R141" s="15"/>
      <c r="S141" s="15"/>
    </row>
    <row r="142" spans="1:19" x14ac:dyDescent="0.25">
      <c r="A142" s="16"/>
      <c r="B142" s="15"/>
      <c r="C142" s="17"/>
      <c r="D142" s="16"/>
      <c r="E142" s="16"/>
      <c r="F142" s="16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/>
      <c r="B143" s="15"/>
      <c r="C143" s="19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/>
      <c r="B144" s="15"/>
      <c r="C144" s="19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/>
      <c r="B145" s="15"/>
      <c r="C145" s="19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/>
      <c r="B146" s="15"/>
      <c r="C146" s="19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/>
      <c r="B147" s="15"/>
      <c r="C147" s="19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/>
      <c r="B148" s="15"/>
      <c r="C148" s="19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/>
      <c r="B149" s="15"/>
      <c r="C149" s="19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/>
      <c r="B150" s="15"/>
      <c r="C150" s="19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/>
      <c r="B151" s="15"/>
      <c r="C151" s="19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/>
      <c r="B152" s="15"/>
      <c r="C152" s="19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/>
      <c r="B153" s="15"/>
      <c r="C153" s="19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/>
      <c r="B154" s="15"/>
      <c r="C154" s="19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/>
      <c r="B155" s="15"/>
      <c r="C155" s="19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/>
      <c r="B156" s="15"/>
      <c r="C156" s="19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/>
      <c r="B157" s="15"/>
      <c r="C157" s="19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/>
      <c r="B158" s="15"/>
      <c r="C158" s="19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/>
      <c r="B159" s="15"/>
      <c r="C159" s="19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/>
      <c r="B160" s="15"/>
      <c r="C160" s="19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/>
      <c r="B161" s="15"/>
      <c r="C161" s="19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/>
      <c r="B162" s="15"/>
      <c r="C162" s="19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/>
      <c r="B163" s="15"/>
      <c r="C163" s="19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/>
      <c r="B164" s="15"/>
      <c r="C164" s="19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/>
      <c r="B165" s="15"/>
      <c r="C165" s="19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/>
      <c r="B166" s="15"/>
      <c r="C166" s="19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/>
      <c r="B167" s="15"/>
      <c r="C167" s="19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/>
      <c r="B168" s="15"/>
      <c r="C168" s="19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/>
      <c r="B169" s="15"/>
      <c r="C169" s="19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/>
      <c r="B170" s="15"/>
      <c r="C170" s="19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/>
      <c r="B171" s="15"/>
      <c r="C171" s="19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/>
      <c r="B172" s="15"/>
      <c r="C172" s="19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/>
      <c r="B173" s="15"/>
      <c r="C173" s="19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/>
      <c r="B174" s="15"/>
      <c r="C174" s="19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/>
      <c r="B175" s="15"/>
      <c r="C175" s="19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/>
      <c r="B176" s="15"/>
      <c r="C176" s="19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/>
      <c r="B177" s="15"/>
      <c r="C177" s="19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/>
      <c r="B178" s="15"/>
      <c r="C178" s="19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/>
      <c r="B179" s="15"/>
      <c r="C179" s="19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/>
      <c r="B180" s="15"/>
      <c r="C180" s="19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/>
      <c r="B181" s="15"/>
      <c r="C181" s="19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/>
      <c r="B182" s="15"/>
      <c r="C182" s="19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/>
      <c r="B183" s="15"/>
      <c r="C183" s="19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/>
      <c r="B184" s="15"/>
      <c r="C184" s="19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/>
      <c r="B185" s="15"/>
      <c r="C185" s="19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/>
      <c r="B186" s="15"/>
      <c r="C186" s="19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/>
      <c r="B187" s="15"/>
      <c r="C187" s="19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/>
      <c r="B188" s="15"/>
      <c r="C188" s="19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/>
      <c r="B189" s="15"/>
      <c r="C189" s="19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/>
      <c r="B190" s="15"/>
      <c r="C190" s="19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/>
      <c r="B191" s="15"/>
      <c r="C191" s="19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/>
      <c r="B192" s="15"/>
      <c r="C192" s="19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/>
      <c r="B193" s="15"/>
      <c r="C193" s="19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/>
      <c r="B194" s="15"/>
      <c r="C194" s="19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/>
      <c r="B195" s="15"/>
      <c r="C195" s="19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/>
      <c r="B196" s="15"/>
      <c r="C196" s="19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/>
      <c r="B197" s="15"/>
      <c r="C197" s="19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/>
      <c r="B198" s="15"/>
      <c r="C198" s="19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/>
      <c r="B199" s="15"/>
      <c r="C199" s="19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/>
      <c r="B200" s="15"/>
      <c r="C200" s="19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/>
      <c r="B201" s="15"/>
      <c r="C201" s="19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/>
      <c r="B202" s="15"/>
      <c r="C202" s="19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/>
      <c r="B203" s="15"/>
      <c r="C203" s="19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/>
      <c r="B204" s="15"/>
      <c r="C204" s="19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/>
      <c r="B205" s="15"/>
      <c r="C205" s="19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/>
      <c r="B206" s="15"/>
      <c r="C206" s="19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/>
      <c r="B207" s="15"/>
      <c r="C207" s="19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/>
      <c r="B208" s="15"/>
      <c r="C208" s="19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/>
      <c r="B209" s="15"/>
      <c r="C209" s="19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/>
      <c r="B210" s="15"/>
      <c r="C210" s="19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/>
      <c r="B211" s="15"/>
      <c r="C211" s="19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/>
      <c r="B212" s="15"/>
      <c r="C212" s="19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/>
      <c r="B213" s="15"/>
      <c r="C213" s="19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/>
      <c r="B214" s="15"/>
      <c r="C214" s="19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/>
      <c r="B215" s="15"/>
      <c r="C215" s="19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/>
      <c r="B216" s="15"/>
      <c r="C216" s="19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/>
      <c r="B217" s="15"/>
      <c r="C217" s="19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/>
      <c r="B218" s="15"/>
      <c r="C218" s="19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/>
      <c r="B219" s="15"/>
      <c r="C219" s="19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/>
      <c r="B220" s="15"/>
      <c r="C220" s="19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/>
      <c r="B221" s="15"/>
      <c r="C221" s="19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/>
      <c r="B222" s="15"/>
      <c r="C222" s="19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/>
      <c r="B223" s="15"/>
      <c r="C223" s="19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/>
      <c r="B224" s="15"/>
      <c r="C224" s="19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/>
      <c r="B225" s="15"/>
      <c r="C225" s="19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/>
      <c r="B226" s="15"/>
      <c r="C226" s="19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/>
      <c r="B227" s="15"/>
      <c r="C227" s="19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/>
      <c r="B228" s="15"/>
      <c r="C228" s="19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/>
      <c r="B229" s="15"/>
      <c r="C229" s="19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/>
      <c r="B230" s="15"/>
      <c r="C230" s="19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/>
      <c r="B231" s="15"/>
      <c r="C231" s="19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/>
      <c r="B232" s="15"/>
      <c r="C232" s="19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/>
      <c r="B233" s="15"/>
      <c r="C233" s="19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/>
      <c r="B234" s="15"/>
      <c r="C234" s="19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/>
      <c r="B235" s="15"/>
      <c r="C235" s="19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/>
      <c r="B236" s="15"/>
      <c r="C236" s="19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/>
      <c r="B237" s="15"/>
      <c r="C237" s="19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/>
      <c r="B238" s="15"/>
      <c r="C238" s="19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/>
      <c r="B239" s="15"/>
      <c r="C239" s="19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/>
      <c r="B240" s="15"/>
      <c r="C240" s="19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/>
      <c r="B241" s="15"/>
      <c r="C241" s="19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/>
      <c r="B242" s="15"/>
      <c r="C242" s="19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/>
      <c r="B243" s="15"/>
      <c r="C243" s="19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/>
      <c r="B244" s="15"/>
      <c r="C244" s="19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/>
      <c r="B245" s="15"/>
      <c r="C245" s="19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/>
      <c r="B246" s="15"/>
      <c r="C246" s="19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/>
      <c r="B247" s="15"/>
      <c r="C247" s="19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/>
      <c r="B248" s="15"/>
      <c r="C248" s="19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/>
      <c r="B249" s="15"/>
      <c r="C249" s="19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/>
      <c r="B250" s="15"/>
      <c r="C250" s="19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/>
      <c r="B251" s="15"/>
      <c r="C251" s="19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/>
      <c r="B252" s="15"/>
      <c r="C252" s="19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/>
      <c r="B253" s="15"/>
      <c r="C253" s="19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/>
      <c r="B254" s="15"/>
      <c r="C254" s="19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/>
      <c r="B255" s="15"/>
      <c r="C255" s="19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/>
      <c r="B256" s="15"/>
      <c r="C256" s="19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/>
      <c r="B257" s="15"/>
      <c r="C257" s="19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/>
      <c r="B258" s="15"/>
      <c r="C258" s="19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/>
      <c r="B259" s="15"/>
      <c r="C259" s="19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/>
      <c r="B260" s="15"/>
      <c r="C260" s="19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/>
      <c r="B261" s="15"/>
      <c r="C261" s="19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/>
      <c r="B262" s="15"/>
      <c r="C262" s="19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/>
      <c r="B263" s="15"/>
      <c r="C263" s="19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/>
      <c r="B264" s="15"/>
      <c r="C264" s="19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/>
      <c r="B265" s="15"/>
      <c r="C265" s="19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/>
      <c r="B266" s="15"/>
      <c r="C266" s="19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/>
      <c r="B267" s="15"/>
      <c r="C267" s="19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/>
      <c r="B268" s="15"/>
      <c r="C268" s="19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/>
      <c r="B269" s="15"/>
      <c r="C269" s="19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/>
      <c r="B270" s="15"/>
      <c r="C270" s="19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/>
      <c r="B271" s="15"/>
      <c r="C271" s="19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/>
      <c r="B272" s="15"/>
      <c r="C272" s="19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/>
      <c r="B273" s="15"/>
      <c r="C273" s="19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/>
      <c r="B274" s="15"/>
      <c r="C274" s="19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/>
      <c r="B275" s="15"/>
      <c r="C275" s="19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/>
      <c r="B276" s="15"/>
      <c r="C276" s="19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/>
      <c r="B277" s="15"/>
      <c r="C277" s="19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/>
      <c r="B278" s="15"/>
      <c r="C278" s="19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/>
      <c r="B279" s="15"/>
      <c r="C279" s="19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/>
      <c r="B280" s="15"/>
      <c r="C280" s="19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/>
      <c r="B281" s="15"/>
      <c r="C281" s="19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/>
      <c r="B282" s="15"/>
      <c r="C282" s="19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/>
      <c r="B283" s="15"/>
      <c r="C283" s="19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/>
      <c r="B284" s="15"/>
      <c r="C284" s="19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/>
      <c r="B285" s="15"/>
      <c r="C285" s="19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/>
      <c r="B286" s="15"/>
      <c r="C286" s="19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/>
      <c r="B287" s="15"/>
      <c r="C287" s="19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/>
      <c r="B288" s="15"/>
      <c r="C288" s="19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/>
      <c r="B289" s="15"/>
      <c r="C289" s="19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/>
      <c r="B290" s="15"/>
      <c r="C290" s="19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/>
      <c r="B291" s="15"/>
      <c r="C291" s="19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/>
      <c r="B292" s="15"/>
      <c r="C292" s="19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/>
      <c r="B293" s="15"/>
      <c r="C293" s="19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/>
      <c r="B294" s="15"/>
      <c r="C294" s="19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/>
      <c r="B295" s="15"/>
      <c r="C295" s="19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/>
      <c r="B296" s="15"/>
      <c r="C296" s="19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/>
      <c r="B297" s="15"/>
      <c r="C297" s="19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/>
      <c r="B298" s="15"/>
      <c r="C298" s="19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/>
      <c r="B299" s="15"/>
      <c r="C299" s="19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/>
      <c r="B300" s="15"/>
      <c r="C300" s="19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/>
      <c r="B301" s="15"/>
      <c r="C301" s="19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/>
      <c r="B302" s="15"/>
      <c r="C302" s="19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/>
      <c r="B303" s="15"/>
      <c r="C303" s="19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/>
      <c r="B304" s="15"/>
      <c r="C304" s="19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/>
      <c r="B305" s="15"/>
      <c r="C305" s="19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/>
      <c r="B306" s="15"/>
      <c r="C306" s="19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/>
      <c r="B307" s="15"/>
      <c r="C307" s="19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/>
      <c r="B308" s="15"/>
      <c r="C308" s="19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/>
      <c r="B309" s="15"/>
      <c r="C309" s="19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/>
      <c r="B310" s="15"/>
      <c r="C310" s="19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/>
      <c r="B311" s="15"/>
      <c r="C311" s="19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/>
      <c r="B312" s="15"/>
      <c r="C312" s="19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/>
      <c r="B313" s="15"/>
      <c r="C313" s="19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/>
      <c r="B314" s="15"/>
      <c r="C314" s="19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/>
      <c r="B315" s="15"/>
      <c r="C315" s="19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/>
      <c r="B316" s="15"/>
      <c r="C316" s="19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/>
      <c r="B317" s="15"/>
      <c r="C317" s="19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/>
      <c r="B318" s="15"/>
      <c r="C318" s="19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/>
      <c r="B319" s="15"/>
      <c r="C319" s="19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/>
      <c r="B320" s="15"/>
      <c r="C320" s="19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/>
      <c r="B321" s="15"/>
      <c r="C321" s="19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/>
      <c r="B322" s="15"/>
      <c r="C322" s="19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/>
      <c r="B323" s="15"/>
      <c r="C323" s="19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/>
      <c r="B324" s="15"/>
      <c r="C324" s="19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/>
      <c r="B325" s="15"/>
      <c r="C325" s="19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/>
      <c r="B326" s="15"/>
      <c r="C326" s="19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/>
      <c r="B327" s="15"/>
      <c r="C327" s="19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/>
      <c r="B328" s="15"/>
      <c r="C328" s="19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/>
      <c r="B329" s="15"/>
      <c r="C329" s="19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/>
      <c r="B330" s="15"/>
      <c r="C330" s="19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/>
      <c r="B331" s="15"/>
      <c r="C331" s="19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/>
      <c r="B332" s="15"/>
      <c r="C332" s="19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/>
      <c r="B333" s="15"/>
      <c r="C333" s="19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/>
      <c r="B334" s="15"/>
      <c r="C334" s="19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/>
      <c r="B335" s="15"/>
      <c r="C335" s="19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/>
      <c r="B336" s="15"/>
      <c r="C336" s="19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/>
      <c r="B337" s="15"/>
      <c r="C337" s="19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/>
      <c r="B338" s="15"/>
      <c r="C338" s="19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/>
      <c r="B339" s="15"/>
      <c r="C339" s="19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/>
      <c r="B340" s="15"/>
      <c r="C340" s="19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/>
      <c r="B341" s="15"/>
      <c r="C341" s="19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/>
      <c r="B342" s="15"/>
      <c r="C342" s="19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/>
      <c r="B343" s="15"/>
      <c r="C343" s="19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/>
      <c r="B344" s="15"/>
      <c r="C344" s="19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/>
      <c r="B345" s="15"/>
      <c r="C345" s="19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/>
      <c r="B346" s="15"/>
      <c r="C346" s="19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/>
      <c r="B347" s="15"/>
      <c r="C347" s="19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/>
      <c r="B348" s="15"/>
      <c r="C348" s="19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/>
      <c r="B349" s="15"/>
      <c r="C349" s="19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/>
      <c r="B350" s="15"/>
      <c r="C350" s="19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/>
      <c r="B351" s="15"/>
      <c r="C351" s="19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/>
      <c r="B352" s="15"/>
      <c r="C352" s="19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/>
      <c r="B353" s="15"/>
      <c r="C353" s="19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/>
      <c r="B354" s="15"/>
      <c r="C354" s="19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/>
      <c r="B355" s="15"/>
      <c r="C355" s="19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/>
      <c r="B356" s="15"/>
      <c r="C356" s="19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/>
      <c r="B357" s="15"/>
      <c r="C357" s="19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/>
      <c r="B358" s="15"/>
      <c r="C358" s="19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/>
      <c r="B359" s="15"/>
      <c r="C359" s="19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/>
      <c r="B360" s="15"/>
      <c r="C360" s="19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/>
      <c r="B361" s="15"/>
      <c r="C361" s="19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/>
      <c r="B362" s="15"/>
      <c r="C362" s="19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/>
      <c r="B363" s="15"/>
      <c r="C363" s="19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/>
      <c r="B364" s="15"/>
      <c r="C364" s="19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/>
      <c r="B365" s="15"/>
      <c r="C365" s="19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/>
      <c r="B366" s="15"/>
      <c r="C366" s="19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/>
      <c r="B367" s="15"/>
      <c r="C367" s="19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/>
      <c r="B368" s="15"/>
      <c r="C368" s="19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/>
      <c r="B369" s="15"/>
      <c r="C369" s="19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/>
      <c r="B370" s="15"/>
      <c r="C370" s="19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/>
      <c r="B371" s="15"/>
      <c r="C371" s="19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/>
      <c r="B372" s="15"/>
      <c r="C372" s="19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/>
      <c r="B373" s="15"/>
      <c r="C373" s="19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/>
      <c r="B374" s="15"/>
      <c r="C374" s="19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/>
      <c r="B375" s="15"/>
      <c r="C375" s="19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/>
      <c r="B376" s="15"/>
      <c r="C376" s="19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/>
      <c r="B377" s="15"/>
      <c r="C377" s="19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/>
      <c r="B378" s="15"/>
      <c r="C378" s="19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/>
      <c r="B379" s="15"/>
      <c r="C379" s="19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/>
      <c r="B380" s="15"/>
      <c r="C380" s="19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/>
      <c r="B381" s="15"/>
      <c r="C381" s="19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/>
      <c r="B382" s="15"/>
      <c r="C382" s="19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/>
      <c r="B383" s="15"/>
      <c r="C383" s="19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/>
      <c r="B384" s="15"/>
      <c r="C384" s="19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/>
      <c r="B385" s="15"/>
      <c r="C385" s="19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/>
      <c r="B386" s="15"/>
      <c r="C386" s="19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/>
      <c r="B387" s="15"/>
      <c r="C387" s="19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/>
      <c r="B388" s="15"/>
      <c r="C388" s="19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/>
      <c r="B389" s="15"/>
      <c r="C389" s="19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/>
      <c r="B390" s="15"/>
      <c r="C390" s="19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/>
      <c r="B391" s="15"/>
      <c r="C391" s="19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/>
      <c r="B392" s="15"/>
      <c r="C392" s="19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/>
      <c r="B393" s="15"/>
      <c r="C393" s="19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/>
      <c r="B394" s="15"/>
      <c r="C394" s="19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/>
      <c r="B395" s="15"/>
      <c r="C395" s="19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/>
      <c r="B396" s="15"/>
      <c r="C396" s="19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/>
      <c r="B397" s="15"/>
      <c r="C397" s="19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/>
      <c r="B398" s="15"/>
      <c r="C398" s="19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/>
      <c r="B399" s="15"/>
      <c r="C399" s="19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/>
      <c r="B400" s="15"/>
      <c r="C400" s="19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/>
      <c r="B401" s="15"/>
      <c r="C401" s="19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/>
      <c r="B402" s="15"/>
      <c r="C402" s="19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/>
      <c r="B403" s="15"/>
      <c r="C403" s="19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/>
      <c r="B404" s="15"/>
      <c r="C404" s="19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/>
      <c r="B405" s="15"/>
      <c r="C405" s="19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/>
      <c r="B406" s="15"/>
      <c r="C406" s="19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/>
      <c r="B407" s="15"/>
      <c r="C407" s="19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/>
      <c r="B408" s="15"/>
      <c r="C408" s="19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/>
      <c r="B409" s="15"/>
      <c r="C409" s="19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/>
      <c r="B410" s="15"/>
      <c r="C410" s="19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/>
      <c r="B411" s="15"/>
      <c r="C411" s="19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/>
      <c r="B412" s="15"/>
      <c r="C412" s="19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/>
      <c r="B413" s="15"/>
      <c r="C413" s="19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/>
      <c r="B414" s="15"/>
      <c r="C414" s="19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/>
      <c r="B415" s="15"/>
      <c r="C415" s="19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/>
      <c r="B416" s="15"/>
      <c r="C416" s="19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/>
      <c r="B417" s="15"/>
      <c r="C417" s="19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/>
      <c r="B418" s="15"/>
      <c r="C418" s="19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/>
      <c r="B419" s="15"/>
      <c r="C419" s="19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/>
      <c r="B420" s="15"/>
      <c r="C420" s="19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/>
      <c r="B421" s="15"/>
      <c r="C421" s="19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/>
      <c r="B422" s="15"/>
      <c r="C422" s="19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/>
      <c r="B423" s="15"/>
      <c r="C423" s="19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/>
      <c r="B424" s="15"/>
      <c r="C424" s="19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/>
      <c r="B425" s="15"/>
      <c r="C425" s="19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/>
      <c r="B426" s="15"/>
      <c r="C426" s="19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/>
      <c r="B427" s="15"/>
      <c r="C427" s="19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/>
      <c r="B428" s="15"/>
      <c r="C428" s="19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/>
      <c r="B429" s="15"/>
      <c r="C429" s="19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/>
      <c r="B430" s="15"/>
      <c r="C430" s="19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/>
      <c r="B431" s="15"/>
      <c r="C431" s="19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/>
      <c r="B432" s="15"/>
      <c r="C432" s="19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/>
      <c r="B433" s="15"/>
      <c r="C433" s="19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/>
      <c r="B434" s="15"/>
      <c r="C434" s="19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/>
      <c r="B435" s="15"/>
      <c r="C435" s="19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/>
      <c r="B436" s="15"/>
      <c r="C436" s="19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/>
      <c r="B437" s="15"/>
      <c r="C437" s="19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/>
      <c r="B438" s="15"/>
      <c r="C438" s="19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/>
      <c r="B439" s="15"/>
      <c r="C439" s="19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/>
      <c r="B440" s="15"/>
      <c r="C440" s="19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/>
      <c r="B441" s="15"/>
      <c r="C441" s="19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/>
      <c r="B442" s="15"/>
      <c r="C442" s="19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/>
      <c r="B443" s="15"/>
      <c r="C443" s="19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/>
      <c r="B444" s="15"/>
      <c r="C444" s="19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/>
      <c r="B445" s="15"/>
      <c r="C445" s="19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/>
      <c r="B446" s="15"/>
      <c r="C446" s="19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/>
      <c r="B447" s="15"/>
      <c r="C447" s="19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/>
      <c r="B448" s="15"/>
      <c r="C448" s="19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/>
      <c r="B449" s="15"/>
      <c r="C449" s="19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/>
      <c r="B450" s="15"/>
      <c r="C450" s="19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/>
      <c r="B451" s="15"/>
      <c r="C451" s="19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/>
      <c r="B452" s="15"/>
      <c r="C452" s="19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/>
      <c r="B453" s="15"/>
      <c r="C453" s="19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/>
      <c r="B454" s="15"/>
      <c r="C454" s="19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/>
      <c r="B455" s="15"/>
      <c r="C455" s="19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/>
      <c r="B456" s="15"/>
      <c r="C456" s="19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/>
      <c r="B457" s="15"/>
      <c r="C457" s="19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/>
      <c r="B458" s="15"/>
      <c r="C458" s="19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/>
      <c r="B459" s="15"/>
      <c r="C459" s="19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/>
      <c r="B460" s="15"/>
      <c r="C460" s="19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/>
      <c r="B461" s="15"/>
      <c r="C461" s="19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/>
      <c r="B462" s="15"/>
      <c r="C462" s="19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/>
      <c r="B463" s="15"/>
      <c r="C463" s="19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/>
      <c r="B464" s="15"/>
      <c r="C464" s="19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/>
      <c r="B465" s="15"/>
      <c r="C465" s="19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/>
      <c r="B466" s="15"/>
      <c r="C466" s="19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/>
      <c r="B467" s="15"/>
      <c r="C467" s="19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/>
      <c r="B468" s="15"/>
      <c r="C468" s="19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/>
      <c r="B469" s="15"/>
      <c r="C469" s="19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/>
      <c r="B470" s="15"/>
      <c r="C470" s="19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/>
      <c r="B471" s="15"/>
      <c r="C471" s="19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/>
      <c r="B472" s="15"/>
      <c r="C472" s="19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/>
      <c r="B473" s="15"/>
      <c r="C473" s="19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/>
      <c r="B474" s="15"/>
      <c r="C474" s="19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/>
      <c r="B475" s="15"/>
      <c r="C475" s="19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/>
      <c r="B476" s="15"/>
      <c r="C476" s="19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/>
      <c r="B477" s="15"/>
      <c r="C477" s="19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/>
      <c r="B478" s="15"/>
      <c r="C478" s="19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/>
      <c r="B479" s="15"/>
      <c r="C479" s="19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/>
      <c r="B480" s="15"/>
      <c r="C480" s="19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/>
      <c r="B481" s="15"/>
      <c r="C481" s="19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/>
      <c r="B482" s="15"/>
      <c r="C482" s="19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/>
      <c r="B483" s="15"/>
      <c r="C483" s="19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/>
      <c r="B484" s="15"/>
      <c r="C484" s="19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/>
      <c r="B485" s="15"/>
      <c r="C485" s="19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/>
      <c r="B486" s="15"/>
      <c r="C486" s="19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/>
      <c r="B487" s="15"/>
      <c r="C487" s="19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/>
      <c r="B488" s="15"/>
      <c r="C488" s="19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/>
      <c r="B489" s="15"/>
      <c r="C489" s="19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/>
      <c r="B490" s="15"/>
      <c r="C490" s="19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/>
      <c r="B491" s="15"/>
      <c r="C491" s="19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/>
      <c r="B492" s="15"/>
      <c r="C492" s="19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/>
      <c r="B493" s="15"/>
      <c r="C493" s="19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/>
      <c r="B494" s="15"/>
      <c r="C494" s="19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/>
      <c r="B495" s="15"/>
      <c r="C495" s="19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/>
      <c r="B496" s="15"/>
      <c r="C496" s="19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/>
      <c r="B497" s="15"/>
      <c r="C497" s="19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/>
      <c r="B498" s="15"/>
      <c r="C498" s="19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/>
      <c r="B499" s="15"/>
      <c r="C499" s="19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/>
      <c r="B500" s="15"/>
      <c r="C500" s="19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/>
      <c r="B501" s="15"/>
      <c r="C501" s="19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/>
      <c r="B502" s="15"/>
      <c r="C502" s="19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/>
      <c r="B503" s="15"/>
      <c r="C503" s="19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/>
      <c r="B504" s="15"/>
      <c r="C504" s="19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/>
      <c r="B505" s="15"/>
      <c r="C505" s="19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/>
      <c r="B506" s="15"/>
      <c r="C506" s="19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/>
      <c r="B507" s="15"/>
      <c r="C507" s="19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/>
      <c r="B508" s="15"/>
      <c r="C508" s="19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/>
      <c r="B509" s="15"/>
      <c r="C509" s="19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/>
      <c r="B510" s="15"/>
      <c r="C510" s="19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/>
      <c r="B511" s="15"/>
      <c r="C511" s="19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/>
      <c r="B512" s="15"/>
      <c r="C512" s="19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/>
      <c r="B513" s="15"/>
      <c r="C513" s="19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/>
      <c r="B514" s="15"/>
      <c r="C514" s="19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/>
      <c r="B515" s="15"/>
      <c r="C515" s="19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/>
      <c r="B516" s="15"/>
      <c r="C516" s="19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/>
      <c r="B517" s="15"/>
      <c r="C517" s="19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/>
      <c r="B518" s="15"/>
      <c r="C518" s="19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/>
      <c r="B519" s="15"/>
      <c r="C519" s="19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/>
      <c r="B520" s="15"/>
      <c r="C520" s="19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/>
      <c r="B521" s="15"/>
      <c r="C521" s="19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/>
      <c r="B522" s="15"/>
      <c r="C522" s="19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/>
      <c r="B523" s="15"/>
      <c r="C523" s="19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/>
      <c r="B524" s="15"/>
      <c r="C524" s="19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/>
      <c r="B525" s="15"/>
      <c r="C525" s="19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/>
      <c r="B526" s="15"/>
      <c r="C526" s="19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/>
      <c r="B527" s="15"/>
      <c r="C527" s="19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/>
      <c r="B528" s="15"/>
      <c r="C528" s="19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/>
      <c r="B529" s="15"/>
      <c r="C529" s="19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/>
      <c r="B530" s="15"/>
      <c r="C530" s="19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/>
      <c r="B531" s="15"/>
      <c r="C531" s="19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/>
      <c r="B532" s="15"/>
      <c r="C532" s="19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/>
      <c r="B533" s="15"/>
      <c r="C533" s="19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/>
      <c r="B534" s="15"/>
      <c r="C534" s="19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/>
      <c r="B535" s="15"/>
      <c r="C535" s="19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/>
      <c r="B536" s="15"/>
      <c r="C536" s="19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/>
      <c r="B537" s="15"/>
      <c r="C537" s="19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/>
      <c r="B538" s="15"/>
      <c r="C538" s="19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/>
      <c r="B539" s="15"/>
      <c r="C539" s="19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/>
      <c r="B540" s="15"/>
      <c r="C540" s="19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/>
      <c r="B541" s="15"/>
      <c r="C541" s="19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/>
      <c r="B542" s="15"/>
      <c r="C542" s="19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/>
      <c r="B543" s="15"/>
      <c r="C543" s="19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/>
      <c r="B544" s="15"/>
      <c r="C544" s="19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/>
      <c r="B545" s="15"/>
      <c r="C545" s="19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/>
      <c r="B546" s="15"/>
      <c r="C546" s="19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/>
      <c r="B547" s="15"/>
      <c r="C547" s="19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/>
      <c r="B548" s="15"/>
      <c r="C548" s="19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/>
      <c r="B549" s="15"/>
      <c r="C549" s="19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/>
      <c r="B550" s="15"/>
      <c r="C550" s="19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/>
      <c r="B551" s="15"/>
      <c r="C551" s="19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/>
      <c r="B552" s="15"/>
      <c r="C552" s="19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/>
      <c r="B553" s="15"/>
      <c r="C553" s="19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/>
      <c r="B554" s="15"/>
      <c r="C554" s="19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/>
      <c r="B555" s="15"/>
      <c r="C555" s="19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/>
      <c r="B556" s="15"/>
      <c r="C556" s="19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/>
      <c r="B557" s="15"/>
      <c r="C557" s="19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/>
      <c r="B558" s="15"/>
      <c r="C558" s="19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/>
      <c r="B559" s="15"/>
      <c r="C559" s="19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/>
      <c r="B560" s="15"/>
      <c r="C560" s="19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/>
      <c r="B561" s="15"/>
      <c r="C561" s="19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/>
      <c r="B562" s="15"/>
      <c r="C562" s="19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/>
      <c r="B563" s="15"/>
      <c r="C563" s="19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/>
      <c r="B564" s="15"/>
      <c r="C564" s="19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/>
      <c r="B565" s="15"/>
      <c r="C565" s="19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/>
      <c r="B566" s="15"/>
      <c r="C566" s="19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/>
      <c r="B567" s="15"/>
      <c r="C567" s="19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/>
      <c r="B568" s="15"/>
      <c r="C568" s="19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/>
      <c r="B569" s="15"/>
      <c r="C569" s="19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/>
      <c r="B570" s="15"/>
      <c r="C570" s="19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/>
      <c r="B571" s="15"/>
      <c r="C571" s="19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/>
      <c r="B572" s="15"/>
      <c r="C572" s="19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/>
      <c r="B573" s="15"/>
      <c r="C573" s="19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/>
      <c r="B574" s="15"/>
      <c r="C574" s="19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/>
      <c r="B575" s="15"/>
      <c r="C575" s="19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/>
      <c r="B576" s="15"/>
      <c r="C576" s="19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/>
      <c r="B577" s="15"/>
      <c r="C577" s="19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/>
      <c r="B578" s="15"/>
      <c r="C578" s="19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/>
      <c r="B579" s="15"/>
      <c r="C579" s="19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/>
      <c r="B580" s="15"/>
      <c r="C580" s="19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/>
      <c r="B581" s="15"/>
      <c r="C581" s="19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/>
      <c r="B582" s="15"/>
      <c r="C582" s="19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/>
      <c r="B583" s="15"/>
      <c r="C583" s="19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/>
      <c r="B584" s="15"/>
      <c r="C584" s="19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/>
      <c r="B585" s="15"/>
      <c r="C585" s="19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/>
      <c r="B586" s="15"/>
      <c r="C586" s="19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/>
      <c r="B587" s="15"/>
      <c r="C587" s="19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/>
      <c r="B588" s="15"/>
      <c r="C588" s="19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/>
      <c r="B589" s="15"/>
      <c r="C589" s="19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/>
      <c r="B590" s="15"/>
      <c r="C590" s="19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/>
      <c r="B591" s="15"/>
      <c r="C591" s="19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/>
      <c r="B592" s="15"/>
      <c r="C592" s="19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/>
      <c r="B593" s="15"/>
      <c r="C593" s="19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/>
      <c r="B594" s="15"/>
      <c r="C594" s="19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/>
      <c r="B595" s="15"/>
      <c r="C595" s="19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/>
      <c r="B596" s="15"/>
      <c r="C596" s="19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/>
      <c r="B597" s="15"/>
      <c r="C597" s="19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/>
      <c r="B598" s="15"/>
      <c r="C598" s="19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/>
      <c r="B599" s="15"/>
      <c r="C599" s="19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/>
      <c r="B600" s="15"/>
      <c r="C600" s="19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/>
      <c r="B601" s="15"/>
      <c r="C601" s="19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/>
      <c r="B602" s="15"/>
      <c r="C602" s="19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/>
      <c r="B603" s="15"/>
      <c r="C603" s="19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/>
      <c r="B604" s="15"/>
      <c r="C604" s="19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/>
      <c r="B605" s="15"/>
      <c r="C605" s="19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/>
      <c r="B606" s="15"/>
      <c r="C606" s="19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/>
      <c r="B607" s="15"/>
      <c r="C607" s="19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/>
      <c r="B608" s="15"/>
      <c r="C608" s="19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/>
      <c r="B609" s="15"/>
      <c r="C609" s="19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/>
      <c r="B610" s="15"/>
      <c r="C610" s="19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/>
      <c r="B611" s="15"/>
      <c r="C611" s="19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/>
      <c r="B612" s="15"/>
      <c r="C612" s="19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/>
      <c r="B613" s="15"/>
      <c r="C613" s="19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/>
      <c r="B614" s="15"/>
      <c r="C614" s="19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/>
      <c r="B615" s="15"/>
      <c r="C615" s="19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/>
      <c r="B616" s="15"/>
      <c r="C616" s="19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/>
      <c r="B617" s="15"/>
      <c r="C617" s="19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/>
      <c r="B618" s="15"/>
      <c r="C618" s="19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/>
      <c r="B619" s="15"/>
      <c r="C619" s="19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/>
      <c r="B620" s="15"/>
      <c r="C620" s="19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/>
      <c r="B621" s="15"/>
      <c r="C621" s="19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/>
      <c r="B622" s="15"/>
      <c r="C622" s="19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/>
      <c r="B623" s="15"/>
      <c r="C623" s="19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/>
      <c r="B624" s="15"/>
      <c r="C624" s="19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/>
      <c r="B625" s="15"/>
      <c r="C625" s="19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/>
      <c r="B626" s="15"/>
      <c r="C626" s="19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/>
      <c r="B627" s="15"/>
      <c r="C627" s="19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/>
      <c r="B628" s="15"/>
      <c r="C628" s="19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/>
      <c r="B629" s="15"/>
      <c r="C629" s="19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/>
      <c r="B630" s="15"/>
      <c r="C630" s="19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/>
      <c r="B631" s="15"/>
      <c r="C631" s="19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/>
      <c r="B632" s="15"/>
      <c r="C632" s="19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/>
      <c r="B633" s="15"/>
      <c r="C633" s="19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/>
      <c r="B634" s="15"/>
      <c r="C634" s="19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/>
      <c r="B635" s="15"/>
      <c r="C635" s="19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/>
      <c r="B636" s="15"/>
      <c r="C636" s="19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/>
      <c r="B637" s="15"/>
      <c r="C637" s="19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/>
      <c r="B638" s="15"/>
      <c r="C638" s="19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/>
      <c r="B639" s="15"/>
      <c r="C639" s="19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/>
      <c r="B640" s="15"/>
      <c r="C640" s="19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/>
      <c r="B641" s="15"/>
      <c r="C641" s="19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/>
      <c r="B642" s="15"/>
      <c r="C642" s="19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/>
      <c r="B643" s="15"/>
      <c r="C643" s="19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/>
      <c r="B644" s="15"/>
      <c r="C644" s="19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/>
      <c r="B645" s="15"/>
      <c r="C645" s="19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/>
      <c r="B646" s="15"/>
      <c r="C646" s="19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/>
      <c r="B647" s="15"/>
      <c r="C647" s="19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/>
      <c r="B648" s="15"/>
      <c r="C648" s="19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/>
      <c r="B649" s="15"/>
      <c r="C649" s="19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/>
      <c r="B650" s="15"/>
      <c r="C650" s="19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/>
      <c r="B651" s="15"/>
      <c r="C651" s="19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/>
      <c r="B652" s="15"/>
      <c r="C652" s="19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/>
      <c r="B653" s="15"/>
      <c r="C653" s="19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/>
      <c r="B654" s="15"/>
      <c r="C654" s="19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/>
      <c r="B655" s="15"/>
      <c r="C655" s="19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/>
      <c r="B656" s="15"/>
      <c r="C656" s="19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/>
      <c r="B657" s="15"/>
      <c r="C657" s="19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/>
      <c r="B658" s="15"/>
      <c r="C658" s="19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/>
      <c r="B659" s="15"/>
      <c r="C659" s="19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/>
      <c r="B660" s="15"/>
      <c r="C660" s="19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/>
      <c r="B661" s="15"/>
      <c r="C661" s="19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/>
      <c r="B662" s="15"/>
      <c r="C662" s="19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/>
      <c r="B663" s="15"/>
      <c r="C663" s="19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/>
      <c r="B664" s="15"/>
      <c r="C664" s="19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/>
      <c r="B665" s="15"/>
      <c r="C665" s="19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/>
      <c r="B666" s="15"/>
      <c r="C666" s="19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/>
      <c r="B667" s="15"/>
      <c r="C667" s="19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/>
      <c r="B668" s="15"/>
      <c r="C668" s="19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/>
      <c r="B669" s="15"/>
      <c r="C669" s="19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/>
      <c r="B670" s="15"/>
      <c r="C670" s="19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/>
      <c r="B671" s="15"/>
      <c r="C671" s="19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/>
      <c r="B672" s="15"/>
      <c r="C672" s="19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/>
      <c r="B673" s="15"/>
      <c r="C673" s="19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/>
      <c r="B674" s="15"/>
      <c r="C674" s="19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/>
      <c r="B675" s="15"/>
      <c r="C675" s="19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/>
      <c r="B676" s="15"/>
      <c r="C676" s="19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/>
      <c r="B677" s="15"/>
      <c r="C677" s="19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/>
      <c r="B678" s="15"/>
      <c r="C678" s="19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/>
      <c r="B679" s="15"/>
      <c r="C679" s="19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/>
      <c r="B680" s="15"/>
      <c r="C680" s="19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/>
      <c r="B681" s="15"/>
      <c r="C681" s="19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/>
      <c r="B682" s="15"/>
      <c r="C682" s="19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/>
      <c r="B683" s="15"/>
      <c r="C683" s="19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/>
      <c r="B684" s="15"/>
      <c r="C684" s="19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/>
      <c r="B685" s="15"/>
      <c r="C685" s="19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/>
      <c r="B686" s="15"/>
      <c r="C686" s="19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/>
      <c r="B687" s="15"/>
      <c r="C687" s="19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/>
      <c r="B688" s="15"/>
      <c r="C688" s="19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/>
      <c r="B689" s="15"/>
      <c r="C689" s="19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/>
      <c r="B690" s="15"/>
      <c r="C690" s="19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/>
      <c r="B691" s="15"/>
      <c r="C691" s="19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/>
      <c r="B692" s="15"/>
      <c r="C692" s="19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/>
      <c r="B693" s="15"/>
      <c r="C693" s="19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/>
      <c r="B694" s="15"/>
      <c r="C694" s="19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/>
      <c r="B695" s="15"/>
      <c r="C695" s="19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/>
      <c r="B696" s="15"/>
      <c r="C696" s="19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/>
      <c r="B697" s="15"/>
      <c r="C697" s="19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/>
      <c r="B698" s="15"/>
      <c r="C698" s="19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/>
      <c r="B699" s="15"/>
      <c r="C699" s="19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/>
      <c r="B700" s="15"/>
      <c r="C700" s="19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/>
      <c r="B701" s="15"/>
      <c r="C701" s="19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/>
      <c r="B702" s="15"/>
      <c r="C702" s="19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/>
      <c r="B703" s="15"/>
      <c r="C703" s="19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/>
      <c r="B704" s="15"/>
      <c r="C704" s="19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/>
      <c r="B705" s="15"/>
      <c r="C705" s="19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/>
      <c r="B706" s="15"/>
      <c r="C706" s="19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/>
      <c r="B707" s="15"/>
      <c r="C707" s="19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/>
      <c r="B708" s="15"/>
      <c r="C708" s="19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/>
      <c r="B709" s="15"/>
      <c r="C709" s="19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/>
      <c r="B710" s="15"/>
      <c r="C710" s="19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/>
      <c r="B711" s="15"/>
      <c r="C711" s="19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/>
      <c r="B712" s="15"/>
      <c r="C712" s="19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/>
      <c r="B713" s="15"/>
      <c r="C713" s="19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/>
      <c r="B714" s="15"/>
      <c r="C714" s="19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/>
      <c r="B715" s="15"/>
      <c r="C715" s="19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/>
      <c r="B716" s="15"/>
      <c r="C716" s="19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/>
      <c r="B717" s="15"/>
      <c r="C717" s="19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/>
      <c r="B718" s="15"/>
      <c r="C718" s="19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/>
      <c r="B719" s="15"/>
      <c r="C719" s="19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/>
      <c r="B720" s="15"/>
      <c r="C720" s="19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/>
      <c r="B721" s="15"/>
      <c r="C721" s="19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/>
      <c r="B722" s="15"/>
      <c r="C722" s="19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/>
      <c r="B723" s="15"/>
      <c r="C723" s="19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/>
      <c r="B724" s="15"/>
      <c r="C724" s="19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/>
      <c r="B725" s="15"/>
      <c r="C725" s="19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/>
      <c r="B726" s="15"/>
      <c r="C726" s="19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/>
      <c r="B727" s="15"/>
      <c r="C727" s="19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/>
      <c r="B728" s="15"/>
      <c r="C728" s="19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/>
      <c r="B729" s="15"/>
      <c r="C729" s="19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/>
      <c r="B730" s="15"/>
      <c r="C730" s="19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/>
      <c r="B731" s="15"/>
      <c r="C731" s="19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/>
      <c r="B732" s="15"/>
      <c r="C732" s="19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/>
      <c r="B733" s="15"/>
      <c r="C733" s="19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  <row r="734" spans="1:19" x14ac:dyDescent="0.25">
      <c r="A734" s="16"/>
      <c r="B734" s="15"/>
      <c r="C734" s="19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</row>
    <row r="735" spans="1:19" x14ac:dyDescent="0.25">
      <c r="A735" s="16"/>
      <c r="B735" s="15"/>
      <c r="C735" s="19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 spans="1:19" x14ac:dyDescent="0.25">
      <c r="A736" s="16"/>
      <c r="B736" s="15"/>
      <c r="C736" s="19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</row>
    <row r="737" spans="1:19" x14ac:dyDescent="0.25">
      <c r="A737" s="16"/>
      <c r="B737" s="15"/>
      <c r="C737" s="19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</row>
    <row r="738" spans="1:19" x14ac:dyDescent="0.25">
      <c r="A738" s="16"/>
      <c r="B738" s="15"/>
      <c r="C738" s="19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</row>
    <row r="739" spans="1:19" x14ac:dyDescent="0.25">
      <c r="A739" s="16"/>
      <c r="B739" s="15"/>
      <c r="C739" s="19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</row>
    <row r="740" spans="1:19" x14ac:dyDescent="0.25">
      <c r="A740" s="16"/>
      <c r="B740" s="15"/>
      <c r="C740" s="19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</row>
    <row r="741" spans="1:19" x14ac:dyDescent="0.25">
      <c r="A741" s="16"/>
      <c r="B741" s="15"/>
      <c r="C741" s="19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spans="1:19" x14ac:dyDescent="0.25">
      <c r="A742" s="16"/>
      <c r="B742" s="15"/>
      <c r="C742" s="19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</row>
    <row r="743" spans="1:19" x14ac:dyDescent="0.25">
      <c r="A743" s="16"/>
      <c r="B743" s="15"/>
      <c r="C743" s="19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</row>
    <row r="744" spans="1:19" x14ac:dyDescent="0.25">
      <c r="A744" s="16"/>
      <c r="B744" s="15"/>
      <c r="C744" s="19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</row>
    <row r="745" spans="1:19" x14ac:dyDescent="0.25">
      <c r="A745" s="16"/>
      <c r="B745" s="15"/>
      <c r="C745" s="19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</row>
    <row r="746" spans="1:19" x14ac:dyDescent="0.25">
      <c r="A746" s="16"/>
      <c r="B746" s="15"/>
      <c r="C746" s="19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 spans="1:19" x14ac:dyDescent="0.25">
      <c r="A747" s="16"/>
      <c r="B747" s="15"/>
      <c r="C747" s="19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 spans="1:19" x14ac:dyDescent="0.25">
      <c r="A748" s="16"/>
      <c r="B748" s="15"/>
      <c r="C748" s="19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 spans="1:19" x14ac:dyDescent="0.25">
      <c r="A749" s="16"/>
      <c r="B749" s="15"/>
      <c r="C749" s="19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 spans="1:19" x14ac:dyDescent="0.25">
      <c r="A750" s="16"/>
      <c r="B750" s="15"/>
      <c r="C750" s="19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 spans="1:19" x14ac:dyDescent="0.25">
      <c r="A751" s="16"/>
      <c r="B751" s="15"/>
      <c r="C751" s="19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 spans="1:19" x14ac:dyDescent="0.25">
      <c r="A752" s="16"/>
      <c r="B752" s="15"/>
      <c r="C752" s="19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 spans="1:19" x14ac:dyDescent="0.25">
      <c r="A753" s="16"/>
      <c r="B753" s="15"/>
      <c r="C753" s="19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</row>
    <row r="754" spans="1:19" x14ac:dyDescent="0.25">
      <c r="A754" s="16"/>
      <c r="B754" s="15"/>
      <c r="C754" s="19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 spans="1:19" x14ac:dyDescent="0.25">
      <c r="A755" s="16"/>
      <c r="B755" s="15"/>
      <c r="C755" s="19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 spans="1:19" x14ac:dyDescent="0.25">
      <c r="A756" s="16"/>
      <c r="B756" s="15"/>
      <c r="C756" s="19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 spans="1:19" x14ac:dyDescent="0.25">
      <c r="A757" s="16"/>
      <c r="B757" s="15"/>
      <c r="C757" s="19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 spans="1:19" x14ac:dyDescent="0.25">
      <c r="A758" s="16"/>
      <c r="B758" s="15"/>
      <c r="C758" s="19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 spans="1:19" x14ac:dyDescent="0.25">
      <c r="A759" s="16"/>
      <c r="B759" s="15"/>
      <c r="C759" s="19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 spans="1:19" x14ac:dyDescent="0.25">
      <c r="A760" s="16"/>
      <c r="B760" s="15"/>
      <c r="C760" s="19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 spans="1:19" x14ac:dyDescent="0.25">
      <c r="A761" s="16"/>
      <c r="B761" s="15"/>
      <c r="C761" s="19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 spans="1:19" x14ac:dyDescent="0.25">
      <c r="A762" s="16"/>
      <c r="B762" s="15"/>
      <c r="C762" s="19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 spans="1:19" x14ac:dyDescent="0.25">
      <c r="A763" s="16"/>
      <c r="B763" s="15"/>
      <c r="C763" s="19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 spans="1:19" x14ac:dyDescent="0.25">
      <c r="A764" s="16"/>
      <c r="B764" s="15"/>
      <c r="C764" s="19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 spans="1:19" x14ac:dyDescent="0.25">
      <c r="A765" s="16"/>
      <c r="B765" s="15"/>
      <c r="C765" s="19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 spans="1:19" x14ac:dyDescent="0.25">
      <c r="A766" s="16"/>
      <c r="B766" s="15"/>
      <c r="C766" s="19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 spans="1:19" x14ac:dyDescent="0.25">
      <c r="A767" s="16"/>
      <c r="B767" s="15"/>
      <c r="C767" s="19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 spans="1:19" x14ac:dyDescent="0.25">
      <c r="A768" s="16"/>
      <c r="B768" s="15"/>
      <c r="C768" s="19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 spans="1:19" x14ac:dyDescent="0.25">
      <c r="A769" s="16"/>
      <c r="B769" s="15"/>
      <c r="C769" s="19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 spans="1:19" x14ac:dyDescent="0.25">
      <c r="A770" s="16"/>
      <c r="B770" s="15"/>
      <c r="C770" s="19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 spans="1:19" x14ac:dyDescent="0.25">
      <c r="A771" s="16"/>
      <c r="B771" s="15"/>
      <c r="C771" s="19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 spans="1:19" x14ac:dyDescent="0.25">
      <c r="A772" s="16"/>
      <c r="B772" s="15"/>
      <c r="C772" s="19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 spans="1:19" x14ac:dyDescent="0.25">
      <c r="A773" s="16"/>
      <c r="B773" s="15"/>
      <c r="C773" s="19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 spans="1:19" x14ac:dyDescent="0.25">
      <c r="A774" s="16"/>
      <c r="B774" s="15"/>
      <c r="C774" s="19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 spans="1:19" x14ac:dyDescent="0.25">
      <c r="A775" s="16"/>
      <c r="B775" s="15"/>
      <c r="C775" s="19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 spans="1:19" x14ac:dyDescent="0.25">
      <c r="A776" s="16"/>
      <c r="B776" s="15"/>
      <c r="C776" s="19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 spans="1:19" x14ac:dyDescent="0.25">
      <c r="A777" s="16"/>
      <c r="B777" s="15"/>
      <c r="C777" s="19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 spans="1:19" x14ac:dyDescent="0.25">
      <c r="A778" s="16"/>
      <c r="B778" s="15"/>
      <c r="C778" s="19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 spans="1:19" x14ac:dyDescent="0.25">
      <c r="A779" s="16"/>
      <c r="B779" s="15"/>
      <c r="C779" s="19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 spans="1:19" x14ac:dyDescent="0.25">
      <c r="A780" s="16"/>
      <c r="B780" s="15"/>
      <c r="C780" s="19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 spans="1:19" x14ac:dyDescent="0.25">
      <c r="A781" s="16"/>
      <c r="B781" s="15"/>
      <c r="C781" s="19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</row>
    <row r="782" spans="1:19" x14ac:dyDescent="0.25">
      <c r="A782" s="16"/>
      <c r="B782" s="15"/>
      <c r="C782" s="19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 spans="1:19" x14ac:dyDescent="0.25">
      <c r="A783" s="16"/>
      <c r="B783" s="15"/>
      <c r="C783" s="19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</row>
    <row r="784" spans="1:19" x14ac:dyDescent="0.25">
      <c r="A784" s="16"/>
      <c r="B784" s="15"/>
      <c r="C784" s="19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</row>
    <row r="785" spans="1:19" x14ac:dyDescent="0.25">
      <c r="A785" s="16"/>
      <c r="B785" s="15"/>
      <c r="C785" s="19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</row>
    <row r="786" spans="1:19" x14ac:dyDescent="0.25">
      <c r="A786" s="16"/>
      <c r="B786" s="15"/>
      <c r="C786" s="19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</row>
    <row r="787" spans="1:19" x14ac:dyDescent="0.25">
      <c r="A787" s="16"/>
      <c r="B787" s="15"/>
      <c r="C787" s="19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</row>
    <row r="788" spans="1:19" x14ac:dyDescent="0.25">
      <c r="A788" s="16"/>
      <c r="B788" s="15"/>
      <c r="C788" s="19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 spans="1:19" x14ac:dyDescent="0.25">
      <c r="A789" s="16"/>
      <c r="B789" s="15"/>
      <c r="C789" s="19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 spans="1:19" x14ac:dyDescent="0.25">
      <c r="A790" s="16"/>
      <c r="B790" s="15"/>
      <c r="C790" s="19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 spans="1:19" x14ac:dyDescent="0.25">
      <c r="A791" s="16"/>
      <c r="B791" s="15"/>
      <c r="C791" s="19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 spans="1:19" x14ac:dyDescent="0.25">
      <c r="A792" s="16"/>
      <c r="B792" s="15"/>
      <c r="C792" s="19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 spans="1:19" x14ac:dyDescent="0.25">
      <c r="A793" s="16"/>
      <c r="B793" s="15"/>
      <c r="C793" s="19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 spans="1:19" x14ac:dyDescent="0.25">
      <c r="A794" s="16"/>
      <c r="B794" s="15"/>
      <c r="C794" s="19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 spans="1:19" x14ac:dyDescent="0.25">
      <c r="A795" s="16"/>
      <c r="B795" s="15"/>
      <c r="C795" s="19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 spans="1:19" x14ac:dyDescent="0.25">
      <c r="A796" s="16"/>
      <c r="B796" s="15"/>
      <c r="C796" s="19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 spans="1:19" x14ac:dyDescent="0.25">
      <c r="A797" s="16"/>
      <c r="B797" s="15"/>
      <c r="C797" s="19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 spans="1:19" x14ac:dyDescent="0.25">
      <c r="A798" s="16"/>
      <c r="B798" s="15"/>
      <c r="C798" s="19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 spans="1:19" x14ac:dyDescent="0.25">
      <c r="A799" s="16"/>
      <c r="B799" s="15"/>
      <c r="C799" s="19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 spans="1:19" x14ac:dyDescent="0.25">
      <c r="A800" s="16"/>
      <c r="B800" s="15"/>
      <c r="C800" s="19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 spans="1:19" x14ac:dyDescent="0.25">
      <c r="A801" s="16"/>
      <c r="B801" s="15"/>
      <c r="C801" s="19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 spans="1:19" x14ac:dyDescent="0.25">
      <c r="A802" s="16"/>
      <c r="B802" s="15"/>
      <c r="C802" s="19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 spans="1:19" x14ac:dyDescent="0.25">
      <c r="A803" s="16"/>
      <c r="B803" s="15"/>
      <c r="C803" s="19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</row>
    <row r="804" spans="1:19" x14ac:dyDescent="0.25">
      <c r="A804" s="16"/>
      <c r="B804" s="15"/>
      <c r="C804" s="19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 spans="1:19" x14ac:dyDescent="0.25">
      <c r="A805" s="16"/>
      <c r="B805" s="15"/>
      <c r="C805" s="19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 spans="1:19" x14ac:dyDescent="0.25">
      <c r="A806" s="16"/>
      <c r="B806" s="15"/>
      <c r="C806" s="19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 spans="1:19" x14ac:dyDescent="0.25">
      <c r="A807" s="16"/>
      <c r="B807" s="15"/>
      <c r="C807" s="19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 spans="1:19" x14ac:dyDescent="0.25">
      <c r="A808" s="16"/>
      <c r="B808" s="15"/>
      <c r="C808" s="19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 spans="1:19" x14ac:dyDescent="0.25">
      <c r="A809" s="16"/>
      <c r="B809" s="15"/>
      <c r="C809" s="19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 spans="1:19" x14ac:dyDescent="0.25">
      <c r="A810" s="16"/>
      <c r="B810" s="15"/>
      <c r="C810" s="19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 spans="1:19" x14ac:dyDescent="0.25">
      <c r="A811" s="16"/>
      <c r="B811" s="15"/>
      <c r="C811" s="19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 spans="1:19" x14ac:dyDescent="0.25">
      <c r="A812" s="16"/>
      <c r="B812" s="15"/>
      <c r="C812" s="19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 spans="1:19" x14ac:dyDescent="0.25">
      <c r="A813" s="16"/>
      <c r="B813" s="15"/>
      <c r="C813" s="19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 spans="1:19" x14ac:dyDescent="0.25">
      <c r="A814" s="16"/>
      <c r="B814" s="15"/>
      <c r="C814" s="19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 spans="1:19" x14ac:dyDescent="0.25">
      <c r="A815" s="16"/>
      <c r="B815" s="15"/>
      <c r="C815" s="19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 spans="1:19" x14ac:dyDescent="0.25">
      <c r="A816" s="16"/>
      <c r="B816" s="15"/>
      <c r="C816" s="19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 spans="1:19" x14ac:dyDescent="0.25">
      <c r="A817" s="16"/>
      <c r="B817" s="15"/>
      <c r="C817" s="19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 spans="1:19" x14ac:dyDescent="0.25">
      <c r="A818" s="16"/>
      <c r="B818" s="15"/>
      <c r="C818" s="19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 spans="1:19" x14ac:dyDescent="0.25">
      <c r="A819" s="16"/>
      <c r="B819" s="15"/>
      <c r="C819" s="19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 spans="1:19" x14ac:dyDescent="0.25">
      <c r="A820" s="16"/>
      <c r="B820" s="15"/>
      <c r="C820" s="19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 spans="1:19" x14ac:dyDescent="0.25">
      <c r="A821" s="16"/>
      <c r="B821" s="15"/>
      <c r="C821" s="19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 spans="1:19" x14ac:dyDescent="0.25">
      <c r="A822" s="16"/>
      <c r="B822" s="15"/>
      <c r="C822" s="19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 spans="1:19" x14ac:dyDescent="0.25">
      <c r="A823" s="16"/>
      <c r="B823" s="15"/>
      <c r="C823" s="19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 spans="1:19" x14ac:dyDescent="0.25">
      <c r="A824" s="16"/>
      <c r="B824" s="15"/>
      <c r="C824" s="19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spans="1:19" x14ac:dyDescent="0.25">
      <c r="A825" s="16"/>
      <c r="B825" s="15"/>
      <c r="C825" s="19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 spans="1:19" x14ac:dyDescent="0.25">
      <c r="A826" s="16"/>
      <c r="B826" s="15"/>
      <c r="C826" s="19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 spans="1:19" x14ac:dyDescent="0.25">
      <c r="A827" s="16"/>
      <c r="B827" s="15"/>
      <c r="C827" s="19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 spans="1:19" x14ac:dyDescent="0.25">
      <c r="A828" s="16"/>
      <c r="B828" s="15"/>
      <c r="C828" s="19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 spans="1:19" x14ac:dyDescent="0.25">
      <c r="A829" s="16"/>
      <c r="B829" s="15"/>
      <c r="C829" s="19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 spans="1:19" x14ac:dyDescent="0.25">
      <c r="A830" s="16"/>
      <c r="B830" s="15"/>
      <c r="C830" s="19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 spans="1:19" x14ac:dyDescent="0.25">
      <c r="A831" s="16"/>
      <c r="B831" s="15"/>
      <c r="C831" s="19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 spans="1:19" x14ac:dyDescent="0.25">
      <c r="A832" s="16"/>
      <c r="B832" s="15"/>
      <c r="C832" s="19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 spans="1:19" x14ac:dyDescent="0.25">
      <c r="A833" s="16"/>
      <c r="B833" s="15"/>
      <c r="C833" s="19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</row>
    <row r="834" spans="1:19" x14ac:dyDescent="0.25">
      <c r="A834" s="16"/>
      <c r="B834" s="15"/>
      <c r="C834" s="19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 spans="1:19" x14ac:dyDescent="0.25">
      <c r="A835" s="16"/>
      <c r="B835" s="15"/>
      <c r="C835" s="19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 spans="1:19" x14ac:dyDescent="0.25">
      <c r="A836" s="16"/>
      <c r="B836" s="15"/>
      <c r="C836" s="19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 spans="1:19" x14ac:dyDescent="0.25">
      <c r="A837" s="16"/>
      <c r="B837" s="15"/>
      <c r="C837" s="19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 spans="1:19" x14ac:dyDescent="0.25">
      <c r="A838" s="16"/>
      <c r="B838" s="15"/>
      <c r="C838" s="19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 spans="1:19" x14ac:dyDescent="0.25">
      <c r="A839" s="16"/>
      <c r="B839" s="15"/>
      <c r="C839" s="19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 spans="1:19" x14ac:dyDescent="0.25">
      <c r="A840" s="16"/>
      <c r="B840" s="15"/>
      <c r="C840" s="19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 spans="1:19" x14ac:dyDescent="0.25">
      <c r="A841" s="16"/>
      <c r="B841" s="15"/>
      <c r="C841" s="19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 spans="1:19" x14ac:dyDescent="0.25">
      <c r="A842" s="16"/>
      <c r="B842" s="15"/>
      <c r="C842" s="19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 spans="1:19" x14ac:dyDescent="0.25">
      <c r="A843" s="16"/>
      <c r="B843" s="15"/>
      <c r="C843" s="19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 spans="1:19" x14ac:dyDescent="0.25">
      <c r="A844" s="16"/>
      <c r="B844" s="15"/>
      <c r="C844" s="19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spans="1:19" x14ac:dyDescent="0.25">
      <c r="A845" s="16"/>
      <c r="B845" s="15"/>
      <c r="C845" s="19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 spans="1:19" x14ac:dyDescent="0.25">
      <c r="A846" s="16"/>
      <c r="B846" s="15"/>
      <c r="C846" s="19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 spans="1:19" x14ac:dyDescent="0.25">
      <c r="A847" s="16"/>
      <c r="B847" s="15"/>
      <c r="C847" s="19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 spans="1:19" x14ac:dyDescent="0.25">
      <c r="A848" s="16"/>
      <c r="B848" s="15"/>
      <c r="C848" s="19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 spans="1:19" x14ac:dyDescent="0.25">
      <c r="A849" s="16"/>
      <c r="B849" s="15"/>
      <c r="C849" s="19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 spans="1:19" x14ac:dyDescent="0.25">
      <c r="A850" s="16"/>
      <c r="B850" s="15"/>
      <c r="C850" s="19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 spans="1:19" x14ac:dyDescent="0.25">
      <c r="A851" s="16"/>
      <c r="B851" s="15"/>
      <c r="C851" s="19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 spans="1:19" x14ac:dyDescent="0.25">
      <c r="A852" s="16"/>
      <c r="B852" s="15"/>
      <c r="C852" s="19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 spans="1:19" x14ac:dyDescent="0.25">
      <c r="A853" s="16"/>
      <c r="B853" s="15"/>
      <c r="C853" s="19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 spans="1:19" x14ac:dyDescent="0.25">
      <c r="A854" s="16"/>
      <c r="B854" s="15"/>
      <c r="C854" s="19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 spans="1:19" x14ac:dyDescent="0.25">
      <c r="A855" s="16"/>
      <c r="B855" s="15"/>
      <c r="C855" s="19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spans="1:19" x14ac:dyDescent="0.25">
      <c r="A856" s="16"/>
      <c r="B856" s="15"/>
      <c r="C856" s="19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 spans="1:19" x14ac:dyDescent="0.25">
      <c r="A857" s="16"/>
      <c r="B857" s="15"/>
      <c r="C857" s="19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 spans="1:19" x14ac:dyDescent="0.25">
      <c r="A858" s="16"/>
      <c r="B858" s="15"/>
      <c r="C858" s="19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 spans="1:19" x14ac:dyDescent="0.25">
      <c r="A859" s="16"/>
      <c r="B859" s="15"/>
      <c r="C859" s="19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 spans="1:19" x14ac:dyDescent="0.25">
      <c r="A860" s="16"/>
      <c r="B860" s="15"/>
      <c r="C860" s="19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 spans="1:19" x14ac:dyDescent="0.25">
      <c r="A861" s="16"/>
      <c r="B861" s="15"/>
      <c r="C861" s="19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 spans="1:19" x14ac:dyDescent="0.25">
      <c r="A862" s="16"/>
      <c r="B862" s="15"/>
      <c r="C862" s="19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 spans="1:19" x14ac:dyDescent="0.25">
      <c r="A863" s="16"/>
      <c r="B863" s="15"/>
      <c r="C863" s="19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 spans="1:19" x14ac:dyDescent="0.25">
      <c r="A864" s="16"/>
      <c r="B864" s="15"/>
      <c r="C864" s="19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 spans="1:19" x14ac:dyDescent="0.25">
      <c r="A865" s="16"/>
      <c r="B865" s="15"/>
      <c r="C865" s="19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 spans="1:19" x14ac:dyDescent="0.25">
      <c r="A866" s="16"/>
      <c r="B866" s="15"/>
      <c r="C866" s="19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 spans="1:19" x14ac:dyDescent="0.25">
      <c r="A867" s="16"/>
      <c r="B867" s="15"/>
      <c r="C867" s="19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 spans="1:19" x14ac:dyDescent="0.25">
      <c r="A868" s="16"/>
      <c r="B868" s="15"/>
      <c r="C868" s="19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 spans="1:19" x14ac:dyDescent="0.25">
      <c r="A869" s="16"/>
      <c r="B869" s="15"/>
      <c r="C869" s="19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 spans="1:19" x14ac:dyDescent="0.25">
      <c r="A870" s="16"/>
      <c r="B870" s="15"/>
      <c r="C870" s="19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 spans="1:19" x14ac:dyDescent="0.25">
      <c r="A871" s="16"/>
      <c r="B871" s="15"/>
      <c r="C871" s="19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 spans="1:19" x14ac:dyDescent="0.25">
      <c r="A872" s="16"/>
      <c r="B872" s="15"/>
      <c r="C872" s="19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 spans="1:19" x14ac:dyDescent="0.25">
      <c r="A873" s="16"/>
      <c r="B873" s="15"/>
      <c r="C873" s="19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 spans="1:19" x14ac:dyDescent="0.25">
      <c r="A874" s="16"/>
      <c r="B874" s="15"/>
      <c r="C874" s="19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 spans="1:19" x14ac:dyDescent="0.25">
      <c r="A875" s="16"/>
      <c r="B875" s="15"/>
      <c r="C875" s="19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 spans="1:19" x14ac:dyDescent="0.25">
      <c r="A876" s="16"/>
      <c r="B876" s="15"/>
      <c r="C876" s="19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 spans="1:19" x14ac:dyDescent="0.25">
      <c r="A877" s="16"/>
      <c r="B877" s="15"/>
      <c r="C877" s="19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 spans="1:19" x14ac:dyDescent="0.25">
      <c r="A878" s="16"/>
      <c r="B878" s="15"/>
      <c r="C878" s="19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 spans="1:19" x14ac:dyDescent="0.25">
      <c r="A879" s="16"/>
      <c r="B879" s="15"/>
      <c r="C879" s="19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 spans="1:19" x14ac:dyDescent="0.25">
      <c r="A880" s="16"/>
      <c r="B880" s="15"/>
      <c r="C880" s="19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 spans="1:19" x14ac:dyDescent="0.25">
      <c r="A881" s="16"/>
      <c r="B881" s="15"/>
      <c r="C881" s="19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 spans="1:19" x14ac:dyDescent="0.25">
      <c r="A882" s="16"/>
      <c r="B882" s="15"/>
      <c r="C882" s="19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 spans="1:19" x14ac:dyDescent="0.25">
      <c r="A883" s="16"/>
      <c r="B883" s="15"/>
      <c r="C883" s="19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 spans="1:19" x14ac:dyDescent="0.25">
      <c r="A884" s="16"/>
      <c r="B884" s="15"/>
      <c r="C884" s="19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spans="1:19" x14ac:dyDescent="0.25">
      <c r="A885" s="16"/>
      <c r="B885" s="15"/>
      <c r="C885" s="19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 spans="1:19" x14ac:dyDescent="0.25">
      <c r="A886" s="16"/>
      <c r="B886" s="15"/>
      <c r="C886" s="19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 spans="1:19" x14ac:dyDescent="0.25">
      <c r="A887" s="16"/>
      <c r="B887" s="15"/>
      <c r="C887" s="19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 spans="1:19" x14ac:dyDescent="0.25">
      <c r="A888" s="16"/>
      <c r="B888" s="15"/>
      <c r="C888" s="19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 spans="1:19" x14ac:dyDescent="0.25">
      <c r="A889" s="16"/>
      <c r="B889" s="15"/>
      <c r="C889" s="19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 spans="1:19" x14ac:dyDescent="0.25">
      <c r="A890" s="16"/>
      <c r="B890" s="15"/>
      <c r="C890" s="19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 spans="1:19" x14ac:dyDescent="0.25">
      <c r="A891" s="16"/>
      <c r="B891" s="15"/>
      <c r="C891" s="19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 spans="1:19" x14ac:dyDescent="0.25">
      <c r="A892" s="16"/>
      <c r="B892" s="15"/>
      <c r="C892" s="19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 spans="1:19" x14ac:dyDescent="0.25">
      <c r="A893" s="16"/>
      <c r="B893" s="15"/>
      <c r="C893" s="19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 spans="1:19" x14ac:dyDescent="0.25">
      <c r="A894" s="16"/>
      <c r="B894" s="15"/>
      <c r="C894" s="19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 spans="1:19" x14ac:dyDescent="0.25">
      <c r="A895" s="16"/>
      <c r="B895" s="15"/>
      <c r="C895" s="19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</row>
    <row r="896" spans="1:19" x14ac:dyDescent="0.25">
      <c r="A896" s="16"/>
      <c r="B896" s="15"/>
      <c r="C896" s="19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 spans="1:19" x14ac:dyDescent="0.25">
      <c r="A897" s="16"/>
      <c r="B897" s="15"/>
      <c r="C897" s="19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 spans="1:19" x14ac:dyDescent="0.25">
      <c r="A898" s="16"/>
      <c r="B898" s="15"/>
      <c r="C898" s="19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 spans="1:19" x14ac:dyDescent="0.25">
      <c r="A899" s="16"/>
      <c r="B899" s="15"/>
      <c r="C899" s="19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 spans="1:19" x14ac:dyDescent="0.25">
      <c r="A900" s="16"/>
      <c r="B900" s="15"/>
      <c r="C900" s="19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 spans="1:19" x14ac:dyDescent="0.25">
      <c r="A901" s="16"/>
      <c r="B901" s="15"/>
      <c r="C901" s="19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 spans="1:19" x14ac:dyDescent="0.25">
      <c r="A902" s="16"/>
      <c r="B902" s="15"/>
      <c r="C902" s="19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 spans="1:19" x14ac:dyDescent="0.25">
      <c r="A903" s="16"/>
      <c r="B903" s="15"/>
      <c r="C903" s="19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 spans="1:19" x14ac:dyDescent="0.25">
      <c r="A904" s="16"/>
      <c r="B904" s="15"/>
      <c r="C904" s="19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 spans="1:19" x14ac:dyDescent="0.25">
      <c r="A905" s="16"/>
      <c r="B905" s="15"/>
      <c r="C905" s="19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 spans="1:19" x14ac:dyDescent="0.25">
      <c r="A906" s="16"/>
      <c r="B906" s="15"/>
      <c r="C906" s="19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 spans="1:19" x14ac:dyDescent="0.25">
      <c r="A907" s="16"/>
      <c r="B907" s="15"/>
      <c r="C907" s="19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 spans="1:19" x14ac:dyDescent="0.25">
      <c r="A908" s="16"/>
      <c r="B908" s="15"/>
      <c r="C908" s="19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 spans="1:19" x14ac:dyDescent="0.25">
      <c r="A909" s="16"/>
      <c r="B909" s="15"/>
      <c r="C909" s="19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 spans="1:19" x14ac:dyDescent="0.25">
      <c r="A910" s="16"/>
      <c r="B910" s="15"/>
      <c r="C910" s="19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 spans="1:19" x14ac:dyDescent="0.25">
      <c r="A911" s="16"/>
      <c r="B911" s="15"/>
      <c r="C911" s="19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 spans="1:19" x14ac:dyDescent="0.25">
      <c r="A912" s="16"/>
      <c r="B912" s="15"/>
      <c r="C912" s="19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 spans="1:19" x14ac:dyDescent="0.25">
      <c r="A913" s="16"/>
      <c r="B913" s="15"/>
      <c r="C913" s="19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 spans="1:19" x14ac:dyDescent="0.25">
      <c r="A914" s="16"/>
      <c r="B914" s="15"/>
      <c r="C914" s="19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 spans="1:19" x14ac:dyDescent="0.25">
      <c r="A915" s="16"/>
      <c r="B915" s="15"/>
      <c r="C915" s="19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 spans="1:19" x14ac:dyDescent="0.25">
      <c r="A916" s="16"/>
      <c r="B916" s="15"/>
      <c r="C916" s="19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 spans="1:19" x14ac:dyDescent="0.25">
      <c r="A917" s="16"/>
      <c r="B917" s="15"/>
      <c r="C917" s="19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 spans="1:19" x14ac:dyDescent="0.25">
      <c r="A918" s="16"/>
      <c r="B918" s="15"/>
      <c r="C918" s="19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 spans="1:19" x14ac:dyDescent="0.25">
      <c r="A919" s="16"/>
      <c r="B919" s="15"/>
      <c r="C919" s="19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 spans="1:19" x14ac:dyDescent="0.25">
      <c r="A920" s="16"/>
      <c r="B920" s="15"/>
      <c r="C920" s="19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 spans="1:19" x14ac:dyDescent="0.25">
      <c r="A921" s="16"/>
      <c r="B921" s="15"/>
      <c r="C921" s="19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 spans="1:19" x14ac:dyDescent="0.25">
      <c r="A922" s="16"/>
      <c r="B922" s="15"/>
      <c r="C922" s="19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 spans="1:19" x14ac:dyDescent="0.25">
      <c r="A923" s="16"/>
      <c r="B923" s="15"/>
      <c r="C923" s="19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 spans="1:19" x14ac:dyDescent="0.25">
      <c r="A924" s="16"/>
      <c r="B924" s="15"/>
      <c r="C924" s="19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 spans="1:19" x14ac:dyDescent="0.25">
      <c r="A925" s="16"/>
      <c r="B925" s="15"/>
      <c r="C925" s="19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</row>
    <row r="926" spans="1:19" x14ac:dyDescent="0.25">
      <c r="A926" s="16"/>
      <c r="B926" s="15"/>
      <c r="C926" s="19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 spans="1:19" x14ac:dyDescent="0.25">
      <c r="A927" s="16"/>
      <c r="B927" s="15"/>
      <c r="C927" s="19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 spans="1:19" x14ac:dyDescent="0.25">
      <c r="A928" s="16"/>
      <c r="B928" s="15"/>
      <c r="C928" s="19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 spans="1:19" x14ac:dyDescent="0.25">
      <c r="A929" s="16"/>
      <c r="B929" s="15"/>
      <c r="C929" s="19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 spans="1:19" x14ac:dyDescent="0.25">
      <c r="A930" s="16"/>
      <c r="B930" s="15"/>
      <c r="C930" s="19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 spans="1:19" x14ac:dyDescent="0.25">
      <c r="A931" s="16"/>
      <c r="B931" s="15"/>
      <c r="C931" s="19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 spans="1:19" x14ac:dyDescent="0.25">
      <c r="A932" s="16"/>
      <c r="B932" s="15"/>
      <c r="C932" s="19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 spans="1:19" x14ac:dyDescent="0.25">
      <c r="A933" s="16"/>
      <c r="B933" s="15"/>
      <c r="C933" s="19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 spans="1:19" x14ac:dyDescent="0.25">
      <c r="A934" s="16"/>
      <c r="B934" s="15"/>
      <c r="C934" s="19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 spans="1:19" x14ac:dyDescent="0.25">
      <c r="A935" s="16"/>
      <c r="B935" s="15"/>
      <c r="C935" s="19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 spans="1:19" x14ac:dyDescent="0.25">
      <c r="A936" s="16"/>
      <c r="B936" s="15"/>
      <c r="C936" s="19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 spans="1:19" x14ac:dyDescent="0.25">
      <c r="A937" s="16"/>
      <c r="B937" s="15"/>
      <c r="C937" s="19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 spans="1:19" x14ac:dyDescent="0.25">
      <c r="A938" s="16"/>
      <c r="B938" s="15"/>
      <c r="C938" s="19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 spans="1:19" x14ac:dyDescent="0.25">
      <c r="A939" s="16"/>
      <c r="B939" s="15"/>
      <c r="C939" s="19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 spans="1:19" x14ac:dyDescent="0.25">
      <c r="A940" s="16"/>
      <c r="B940" s="15"/>
      <c r="C940" s="19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 spans="1:19" x14ac:dyDescent="0.25">
      <c r="A941" s="16"/>
      <c r="B941" s="15"/>
      <c r="C941" s="19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 spans="1:19" x14ac:dyDescent="0.25">
      <c r="A942" s="16"/>
      <c r="B942" s="15"/>
      <c r="C942" s="19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 spans="1:19" x14ac:dyDescent="0.25">
      <c r="A943" s="16"/>
      <c r="B943" s="15"/>
      <c r="C943" s="19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 spans="1:19" x14ac:dyDescent="0.25">
      <c r="A944" s="16"/>
      <c r="B944" s="15"/>
      <c r="C944" s="19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 spans="1:19" x14ac:dyDescent="0.25">
      <c r="A945" s="16"/>
      <c r="B945" s="15"/>
      <c r="C945" s="19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 spans="1:19" x14ac:dyDescent="0.25">
      <c r="A946" s="16"/>
      <c r="B946" s="15"/>
      <c r="C946" s="19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 spans="1:19" x14ac:dyDescent="0.25">
      <c r="A947" s="16"/>
      <c r="B947" s="15"/>
      <c r="C947" s="19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 spans="1:19" x14ac:dyDescent="0.25">
      <c r="A948" s="16"/>
      <c r="B948" s="15"/>
      <c r="C948" s="19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spans="1:19" x14ac:dyDescent="0.25">
      <c r="A949" s="16"/>
      <c r="B949" s="15"/>
      <c r="C949" s="19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 spans="1:19" x14ac:dyDescent="0.25">
      <c r="A950" s="16"/>
      <c r="B950" s="15"/>
      <c r="C950" s="19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 spans="1:19" x14ac:dyDescent="0.25">
      <c r="A951" s="16"/>
      <c r="B951" s="15"/>
      <c r="C951" s="19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 spans="1:19" x14ac:dyDescent="0.25">
      <c r="A952" s="16"/>
      <c r="B952" s="15"/>
      <c r="C952" s="19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 spans="1:19" x14ac:dyDescent="0.25">
      <c r="A953" s="16"/>
      <c r="B953" s="15"/>
      <c r="C953" s="19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 spans="1:19" x14ac:dyDescent="0.25">
      <c r="A954" s="16"/>
      <c r="B954" s="15"/>
      <c r="C954" s="19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 spans="1:19" x14ac:dyDescent="0.25">
      <c r="A955" s="16"/>
      <c r="B955" s="15"/>
      <c r="C955" s="19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</row>
    <row r="956" spans="1:19" x14ac:dyDescent="0.25">
      <c r="A956" s="16"/>
      <c r="B956" s="15"/>
      <c r="C956" s="19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 spans="1:19" x14ac:dyDescent="0.25">
      <c r="A957" s="16"/>
      <c r="B957" s="15"/>
      <c r="C957" s="19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 spans="1:19" x14ac:dyDescent="0.25">
      <c r="A958" s="16"/>
      <c r="B958" s="15"/>
      <c r="C958" s="19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 spans="1:19" x14ac:dyDescent="0.25">
      <c r="A959" s="16"/>
      <c r="B959" s="15"/>
      <c r="C959" s="19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 spans="1:19" x14ac:dyDescent="0.25">
      <c r="A960" s="16"/>
      <c r="B960" s="15"/>
      <c r="C960" s="19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 spans="1:19" x14ac:dyDescent="0.25">
      <c r="A961" s="16"/>
      <c r="B961" s="15"/>
      <c r="C961" s="19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 spans="1:19" x14ac:dyDescent="0.25">
      <c r="A962" s="16"/>
      <c r="B962" s="15"/>
      <c r="C962" s="19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 spans="1:19" x14ac:dyDescent="0.25">
      <c r="A963" s="16"/>
      <c r="B963" s="15"/>
      <c r="C963" s="19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 spans="1:19" x14ac:dyDescent="0.25">
      <c r="A964" s="16"/>
      <c r="B964" s="15"/>
      <c r="C964" s="19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 spans="1:19" x14ac:dyDescent="0.25">
      <c r="A965" s="16"/>
      <c r="B965" s="15"/>
      <c r="C965" s="19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 spans="1:19" x14ac:dyDescent="0.25">
      <c r="A966" s="16"/>
      <c r="B966" s="15"/>
      <c r="C966" s="19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 spans="1:19" x14ac:dyDescent="0.25">
      <c r="A967" s="16"/>
      <c r="B967" s="15"/>
      <c r="C967" s="19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 spans="1:19" x14ac:dyDescent="0.25">
      <c r="A968" s="16"/>
      <c r="B968" s="15"/>
      <c r="C968" s="19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 spans="1:19" x14ac:dyDescent="0.25">
      <c r="A969" s="16"/>
      <c r="B969" s="15"/>
      <c r="C969" s="19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 spans="1:19" x14ac:dyDescent="0.25">
      <c r="A970" s="16"/>
      <c r="B970" s="15"/>
      <c r="C970" s="19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 spans="1:19" x14ac:dyDescent="0.25">
      <c r="A971" s="16"/>
      <c r="B971" s="15"/>
      <c r="C971" s="19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 spans="1:19" x14ac:dyDescent="0.25">
      <c r="A972" s="16"/>
      <c r="B972" s="15"/>
      <c r="C972" s="19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 spans="1:19" x14ac:dyDescent="0.25">
      <c r="A973" s="16"/>
      <c r="B973" s="15"/>
      <c r="C973" s="19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 spans="1:19" x14ac:dyDescent="0.25">
      <c r="A974" s="16"/>
      <c r="B974" s="15"/>
      <c r="C974" s="19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 spans="1:19" x14ac:dyDescent="0.25">
      <c r="A975" s="16"/>
      <c r="B975" s="15"/>
      <c r="C975" s="19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 spans="1:19" x14ac:dyDescent="0.25">
      <c r="A976" s="16"/>
      <c r="B976" s="15"/>
      <c r="C976" s="19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 spans="1:19" x14ac:dyDescent="0.25">
      <c r="A977" s="16"/>
      <c r="B977" s="15"/>
      <c r="C977" s="19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 spans="1:19" x14ac:dyDescent="0.25">
      <c r="A978" s="16"/>
      <c r="B978" s="15"/>
      <c r="C978" s="19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 spans="1:19" x14ac:dyDescent="0.25">
      <c r="A979" s="16"/>
      <c r="B979" s="15"/>
      <c r="C979" s="19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 spans="1:19" x14ac:dyDescent="0.25">
      <c r="A980" s="16"/>
      <c r="B980" s="15"/>
      <c r="C980" s="19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 spans="1:19" x14ac:dyDescent="0.25">
      <c r="A981" s="16"/>
      <c r="B981" s="15"/>
      <c r="C981" s="19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 spans="1:19" x14ac:dyDescent="0.25">
      <c r="A982" s="16"/>
      <c r="B982" s="15"/>
      <c r="C982" s="19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 spans="1:19" x14ac:dyDescent="0.25">
      <c r="A983" s="16"/>
      <c r="B983" s="15"/>
      <c r="C983" s="19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 spans="1:19" x14ac:dyDescent="0.25">
      <c r="A984" s="16"/>
      <c r="B984" s="15"/>
      <c r="C984" s="19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 spans="1:19" x14ac:dyDescent="0.25">
      <c r="A985" s="16"/>
      <c r="B985" s="15"/>
      <c r="C985" s="19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 spans="1:19" x14ac:dyDescent="0.25">
      <c r="A986" s="16"/>
      <c r="B986" s="15"/>
      <c r="C986" s="19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 spans="1:19" x14ac:dyDescent="0.25">
      <c r="A987" s="16"/>
      <c r="B987" s="15"/>
      <c r="C987" s="19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</row>
    <row r="988" spans="1:19" x14ac:dyDescent="0.25">
      <c r="A988" s="16"/>
      <c r="B988" s="15"/>
      <c r="C988" s="19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 spans="1:19" x14ac:dyDescent="0.25">
      <c r="A989" s="16"/>
      <c r="B989" s="15"/>
      <c r="C989" s="19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 spans="1:19" x14ac:dyDescent="0.25">
      <c r="A990" s="16"/>
      <c r="B990" s="15"/>
      <c r="C990" s="19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 spans="1:19" x14ac:dyDescent="0.25">
      <c r="A991" s="16"/>
      <c r="B991" s="15"/>
      <c r="C991" s="19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 spans="1:19" x14ac:dyDescent="0.25">
      <c r="A992" s="16"/>
      <c r="B992" s="15"/>
      <c r="C992" s="19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 spans="1:19" x14ac:dyDescent="0.25">
      <c r="A993" s="16"/>
      <c r="B993" s="15"/>
      <c r="C993" s="19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 spans="1:19" x14ac:dyDescent="0.25">
      <c r="A994" s="16"/>
      <c r="B994" s="15"/>
      <c r="C994" s="19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 spans="1:19" x14ac:dyDescent="0.25">
      <c r="A995" s="16"/>
      <c r="B995" s="15"/>
      <c r="C995" s="19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 spans="1:19" x14ac:dyDescent="0.25">
      <c r="A996" s="16"/>
      <c r="B996" s="15"/>
      <c r="C996" s="19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 spans="1:19" x14ac:dyDescent="0.25">
      <c r="A997" s="16"/>
      <c r="B997" s="15"/>
      <c r="C997" s="19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  <row r="998" spans="1:19" x14ac:dyDescent="0.25">
      <c r="A998" s="16"/>
      <c r="B998" s="15"/>
      <c r="C998" s="19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 spans="1:19" x14ac:dyDescent="0.25">
      <c r="A999" s="16"/>
      <c r="B999" s="15"/>
      <c r="C999" s="19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</row>
    <row r="1000" spans="1:19" x14ac:dyDescent="0.25">
      <c r="A1000" s="16"/>
      <c r="B1000" s="15"/>
      <c r="C1000" s="19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 spans="1:19" x14ac:dyDescent="0.25">
      <c r="A1001" s="16"/>
      <c r="B1001" s="15"/>
      <c r="C1001" s="19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</row>
    <row r="1002" spans="1:19" x14ac:dyDescent="0.25">
      <c r="A1002" s="16"/>
      <c r="B1002" s="15"/>
      <c r="C1002" s="19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</row>
    <row r="1003" spans="1:19" x14ac:dyDescent="0.25">
      <c r="A1003" s="16"/>
      <c r="B1003" s="15"/>
      <c r="C1003" s="19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</row>
    <row r="1004" spans="1:19" x14ac:dyDescent="0.25">
      <c r="A1004" s="16"/>
      <c r="B1004" s="15"/>
      <c r="C1004" s="19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</row>
    <row r="1005" spans="1:19" x14ac:dyDescent="0.25">
      <c r="A1005" s="16"/>
      <c r="B1005" s="15"/>
      <c r="C1005" s="19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</row>
    <row r="1006" spans="1:19" x14ac:dyDescent="0.25">
      <c r="A1006" s="16"/>
      <c r="B1006" s="15"/>
      <c r="C1006" s="19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</row>
    <row r="1007" spans="1:19" x14ac:dyDescent="0.25">
      <c r="A1007" s="16"/>
      <c r="B1007" s="15"/>
      <c r="C1007" s="19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</row>
    <row r="1008" spans="1:19" x14ac:dyDescent="0.25">
      <c r="A1008" s="16"/>
      <c r="B1008" s="15"/>
      <c r="C1008" s="19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</row>
    <row r="1009" spans="1:19" x14ac:dyDescent="0.25">
      <c r="A1009" s="16"/>
      <c r="B1009" s="15"/>
      <c r="C1009" s="19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</row>
    <row r="1010" spans="1:19" x14ac:dyDescent="0.25">
      <c r="A1010" s="16"/>
      <c r="B1010" s="15"/>
      <c r="C1010" s="19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</row>
    <row r="1011" spans="1:19" x14ac:dyDescent="0.25">
      <c r="A1011" s="16"/>
      <c r="B1011" s="15"/>
      <c r="C1011" s="19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</row>
    <row r="1012" spans="1:19" x14ac:dyDescent="0.25">
      <c r="A1012" s="16"/>
      <c r="B1012" s="15"/>
      <c r="C1012" s="19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</row>
    <row r="1013" spans="1:19" x14ac:dyDescent="0.25">
      <c r="A1013" s="16"/>
      <c r="B1013" s="15"/>
      <c r="C1013" s="19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</row>
    <row r="1014" spans="1:19" x14ac:dyDescent="0.25">
      <c r="A1014" s="16"/>
      <c r="B1014" s="15"/>
      <c r="C1014" s="19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</row>
    <row r="1015" spans="1:19" x14ac:dyDescent="0.25">
      <c r="A1015" s="16"/>
      <c r="B1015" s="15"/>
      <c r="C1015" s="19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</row>
    <row r="1016" spans="1:19" x14ac:dyDescent="0.25">
      <c r="A1016" s="16"/>
      <c r="B1016" s="15"/>
      <c r="C1016" s="19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</row>
    <row r="1017" spans="1:19" x14ac:dyDescent="0.25">
      <c r="A1017" s="16"/>
      <c r="B1017" s="15"/>
      <c r="C1017" s="19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</row>
    <row r="1018" spans="1:19" x14ac:dyDescent="0.25">
      <c r="A1018" s="16"/>
      <c r="B1018" s="15"/>
      <c r="C1018" s="19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</row>
    <row r="1019" spans="1:19" x14ac:dyDescent="0.25">
      <c r="A1019" s="16"/>
      <c r="B1019" s="15"/>
      <c r="C1019" s="19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</row>
    <row r="1020" spans="1:19" x14ac:dyDescent="0.25">
      <c r="A1020" s="16"/>
      <c r="B1020" s="15"/>
      <c r="C1020" s="19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</row>
    <row r="1021" spans="1:19" x14ac:dyDescent="0.25">
      <c r="A1021" s="16"/>
      <c r="B1021" s="15"/>
      <c r="C1021" s="19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</row>
    <row r="1022" spans="1:19" x14ac:dyDescent="0.25">
      <c r="A1022" s="16"/>
      <c r="B1022" s="15"/>
      <c r="C1022" s="19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</row>
    <row r="1023" spans="1:19" x14ac:dyDescent="0.25">
      <c r="A1023" s="16"/>
      <c r="B1023" s="15"/>
      <c r="C1023" s="19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</row>
    <row r="1024" spans="1:19" x14ac:dyDescent="0.25">
      <c r="A1024" s="16"/>
      <c r="B1024" s="15"/>
      <c r="C1024" s="19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</row>
    <row r="1025" spans="1:19" x14ac:dyDescent="0.25">
      <c r="A1025" s="16"/>
      <c r="B1025" s="15"/>
      <c r="C1025" s="19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</row>
    <row r="1026" spans="1:19" x14ac:dyDescent="0.25">
      <c r="A1026" s="16"/>
      <c r="B1026" s="15"/>
      <c r="C1026" s="19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</row>
    <row r="1027" spans="1:19" x14ac:dyDescent="0.25">
      <c r="A1027" s="16"/>
      <c r="B1027" s="15"/>
      <c r="C1027" s="19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</row>
    <row r="1028" spans="1:19" x14ac:dyDescent="0.25">
      <c r="A1028" s="16"/>
      <c r="B1028" s="15"/>
      <c r="C1028" s="19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</row>
    <row r="1029" spans="1:19" x14ac:dyDescent="0.25">
      <c r="A1029" s="16"/>
      <c r="B1029" s="15"/>
      <c r="C1029" s="19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</row>
    <row r="1030" spans="1:19" x14ac:dyDescent="0.25">
      <c r="A1030" s="16"/>
      <c r="B1030" s="15"/>
      <c r="C1030" s="19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</row>
    <row r="1031" spans="1:19" x14ac:dyDescent="0.25">
      <c r="A1031" s="16"/>
      <c r="B1031" s="15"/>
      <c r="C1031" s="19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</row>
    <row r="1032" spans="1:19" x14ac:dyDescent="0.25">
      <c r="A1032" s="16"/>
      <c r="B1032" s="15"/>
      <c r="C1032" s="19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</row>
    <row r="1033" spans="1:19" x14ac:dyDescent="0.25">
      <c r="A1033" s="16"/>
      <c r="B1033" s="15"/>
      <c r="C1033" s="19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</row>
    <row r="1034" spans="1:19" x14ac:dyDescent="0.25">
      <c r="A1034" s="16"/>
      <c r="B1034" s="15"/>
      <c r="C1034" s="19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</row>
    <row r="1035" spans="1:19" x14ac:dyDescent="0.25">
      <c r="A1035" s="16"/>
      <c r="B1035" s="15"/>
      <c r="C1035" s="19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</row>
    <row r="1036" spans="1:19" x14ac:dyDescent="0.25">
      <c r="A1036" s="16"/>
      <c r="B1036" s="15"/>
      <c r="C1036" s="19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</row>
    <row r="1037" spans="1:19" x14ac:dyDescent="0.25">
      <c r="A1037" s="16"/>
      <c r="B1037" s="15"/>
      <c r="C1037" s="19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</row>
    <row r="1038" spans="1:19" x14ac:dyDescent="0.25">
      <c r="A1038" s="16"/>
      <c r="B1038" s="15"/>
      <c r="C1038" s="19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</row>
    <row r="1039" spans="1:19" x14ac:dyDescent="0.25">
      <c r="A1039" s="16"/>
      <c r="B1039" s="15"/>
      <c r="C1039" s="19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</row>
    <row r="1040" spans="1:19" x14ac:dyDescent="0.25">
      <c r="A1040" s="16"/>
      <c r="B1040" s="15"/>
      <c r="C1040" s="19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</row>
    <row r="1041" spans="1:19" x14ac:dyDescent="0.25">
      <c r="A1041" s="16"/>
      <c r="B1041" s="15"/>
      <c r="C1041" s="19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</row>
    <row r="1042" spans="1:19" x14ac:dyDescent="0.25">
      <c r="A1042" s="16"/>
      <c r="B1042" s="15"/>
      <c r="C1042" s="19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</row>
    <row r="1043" spans="1:19" x14ac:dyDescent="0.25">
      <c r="A1043" s="16"/>
      <c r="B1043" s="15"/>
      <c r="C1043" s="19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</row>
    <row r="1044" spans="1:19" x14ac:dyDescent="0.25">
      <c r="A1044" s="16"/>
      <c r="B1044" s="15"/>
      <c r="C1044" s="19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</row>
    <row r="1045" spans="1:19" x14ac:dyDescent="0.25">
      <c r="A1045" s="16"/>
      <c r="B1045" s="15"/>
      <c r="C1045" s="19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</row>
    <row r="1046" spans="1:19" x14ac:dyDescent="0.25">
      <c r="A1046" s="16"/>
      <c r="B1046" s="15"/>
      <c r="C1046" s="19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</row>
    <row r="1047" spans="1:19" x14ac:dyDescent="0.25">
      <c r="A1047" s="16"/>
      <c r="B1047" s="15"/>
      <c r="C1047" s="19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</row>
    <row r="1048" spans="1:19" x14ac:dyDescent="0.25">
      <c r="A1048" s="16"/>
      <c r="B1048" s="15"/>
      <c r="C1048" s="19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</row>
    <row r="1049" spans="1:19" x14ac:dyDescent="0.25">
      <c r="A1049" s="16"/>
      <c r="B1049" s="15"/>
      <c r="C1049" s="19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</row>
    <row r="1050" spans="1:19" x14ac:dyDescent="0.25">
      <c r="A1050" s="16"/>
      <c r="B1050" s="15"/>
      <c r="C1050" s="19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</row>
    <row r="1051" spans="1:19" x14ac:dyDescent="0.25">
      <c r="A1051" s="16"/>
      <c r="B1051" s="15"/>
      <c r="C1051" s="19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</row>
    <row r="1052" spans="1:19" x14ac:dyDescent="0.25">
      <c r="A1052" s="16"/>
      <c r="B1052" s="15"/>
      <c r="C1052" s="19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</row>
    <row r="1053" spans="1:19" x14ac:dyDescent="0.25">
      <c r="A1053" s="16"/>
      <c r="B1053" s="15"/>
      <c r="C1053" s="19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</row>
    <row r="1054" spans="1:19" x14ac:dyDescent="0.25">
      <c r="A1054" s="16"/>
      <c r="B1054" s="15"/>
      <c r="C1054" s="19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</row>
    <row r="1055" spans="1:19" x14ac:dyDescent="0.25">
      <c r="A1055" s="16"/>
      <c r="B1055" s="15"/>
      <c r="C1055" s="19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</row>
    <row r="1056" spans="1:19" x14ac:dyDescent="0.25">
      <c r="A1056" s="16"/>
      <c r="B1056" s="15"/>
      <c r="C1056" s="19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spans="1:19" x14ac:dyDescent="0.25">
      <c r="A1057" s="16"/>
      <c r="B1057" s="15"/>
      <c r="C1057" s="19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spans="1:19" x14ac:dyDescent="0.25">
      <c r="A1058" s="16"/>
      <c r="B1058" s="15"/>
      <c r="C1058" s="19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spans="1:19" x14ac:dyDescent="0.25">
      <c r="A1059" s="16"/>
      <c r="B1059" s="15"/>
      <c r="C1059" s="19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spans="1:19" x14ac:dyDescent="0.25">
      <c r="A1060" s="16"/>
      <c r="B1060" s="15"/>
      <c r="C1060" s="19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spans="1:19" x14ac:dyDescent="0.25">
      <c r="A1061" s="16"/>
      <c r="B1061" s="15"/>
      <c r="C1061" s="19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</row>
    <row r="1062" spans="1:19" x14ac:dyDescent="0.25">
      <c r="A1062" s="16"/>
      <c r="B1062" s="15"/>
      <c r="C1062" s="19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</row>
    <row r="1063" spans="1:19" x14ac:dyDescent="0.25">
      <c r="A1063" s="16"/>
      <c r="B1063" s="15"/>
      <c r="C1063" s="19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</row>
    <row r="1064" spans="1:19" x14ac:dyDescent="0.25">
      <c r="A1064" s="16"/>
      <c r="B1064" s="15"/>
      <c r="C1064" s="19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</row>
    <row r="1065" spans="1:19" x14ac:dyDescent="0.25">
      <c r="A1065" s="16"/>
      <c r="B1065" s="15"/>
      <c r="C1065" s="19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</row>
    <row r="1066" spans="1:19" x14ac:dyDescent="0.25">
      <c r="A1066" s="16"/>
      <c r="B1066" s="15"/>
      <c r="C1066" s="19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</row>
    <row r="1067" spans="1:19" x14ac:dyDescent="0.25">
      <c r="A1067" s="16"/>
      <c r="B1067" s="15"/>
      <c r="C1067" s="19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</row>
    <row r="1068" spans="1:19" x14ac:dyDescent="0.25">
      <c r="A1068" s="16"/>
      <c r="B1068" s="15"/>
      <c r="C1068" s="19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</row>
    <row r="1069" spans="1:19" x14ac:dyDescent="0.25">
      <c r="A1069" s="16"/>
      <c r="B1069" s="15"/>
      <c r="C1069" s="19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</row>
    <row r="1070" spans="1:19" x14ac:dyDescent="0.25">
      <c r="A1070" s="16"/>
      <c r="B1070" s="15"/>
      <c r="C1070" s="19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</row>
    <row r="1071" spans="1:19" x14ac:dyDescent="0.25">
      <c r="A1071" s="16"/>
      <c r="B1071" s="15"/>
      <c r="C1071" s="19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</row>
    <row r="1072" spans="1:19" x14ac:dyDescent="0.25">
      <c r="A1072" s="16"/>
      <c r="B1072" s="15"/>
      <c r="C1072" s="19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</row>
    <row r="1073" spans="1:19" x14ac:dyDescent="0.25">
      <c r="A1073" s="16"/>
      <c r="B1073" s="15"/>
      <c r="C1073" s="19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</row>
    <row r="1074" spans="1:19" x14ac:dyDescent="0.25">
      <c r="A1074" s="16"/>
      <c r="B1074" s="15"/>
      <c r="C1074" s="19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</row>
    <row r="1075" spans="1:19" x14ac:dyDescent="0.25">
      <c r="A1075" s="16"/>
      <c r="B1075" s="15"/>
      <c r="C1075" s="19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</row>
    <row r="1076" spans="1:19" x14ac:dyDescent="0.25">
      <c r="A1076" s="16"/>
      <c r="B1076" s="15"/>
      <c r="C1076" s="19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</row>
    <row r="1077" spans="1:19" x14ac:dyDescent="0.25">
      <c r="A1077" s="16"/>
      <c r="B1077" s="15"/>
      <c r="C1077" s="19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</row>
    <row r="1078" spans="1:19" x14ac:dyDescent="0.25">
      <c r="A1078" s="16"/>
      <c r="B1078" s="15"/>
      <c r="C1078" s="19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</row>
    <row r="1079" spans="1:19" x14ac:dyDescent="0.25">
      <c r="A1079" s="16"/>
      <c r="B1079" s="15"/>
      <c r="C1079" s="19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</row>
    <row r="1080" spans="1:19" x14ac:dyDescent="0.25">
      <c r="A1080" s="16"/>
      <c r="B1080" s="15"/>
      <c r="C1080" s="19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</row>
    <row r="1081" spans="1:19" x14ac:dyDescent="0.25">
      <c r="A1081" s="16"/>
      <c r="B1081" s="15"/>
      <c r="C1081" s="19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</row>
    <row r="1082" spans="1:19" x14ac:dyDescent="0.25">
      <c r="A1082" s="16"/>
      <c r="B1082" s="15"/>
      <c r="C1082" s="19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</row>
    <row r="1083" spans="1:19" x14ac:dyDescent="0.25">
      <c r="A1083" s="16"/>
      <c r="B1083" s="15"/>
      <c r="C1083" s="19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</row>
    <row r="1084" spans="1:19" x14ac:dyDescent="0.25">
      <c r="A1084" s="16"/>
      <c r="B1084" s="15"/>
      <c r="C1084" s="19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</row>
    <row r="1085" spans="1:19" x14ac:dyDescent="0.25">
      <c r="A1085" s="16"/>
      <c r="B1085" s="15"/>
      <c r="C1085" s="19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</row>
    <row r="1086" spans="1:19" x14ac:dyDescent="0.25">
      <c r="A1086" s="16"/>
      <c r="B1086" s="15"/>
      <c r="C1086" s="19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</row>
    <row r="1087" spans="1:19" x14ac:dyDescent="0.25">
      <c r="A1087" s="16"/>
      <c r="B1087" s="15"/>
      <c r="C1087" s="19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</row>
    <row r="1088" spans="1:19" x14ac:dyDescent="0.25">
      <c r="A1088" s="16"/>
      <c r="B1088" s="15"/>
      <c r="C1088" s="19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</row>
    <row r="1089" spans="1:19" x14ac:dyDescent="0.25">
      <c r="A1089" s="16"/>
      <c r="B1089" s="15"/>
      <c r="C1089" s="19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</row>
  </sheetData>
  <autoFilter ref="A1:M1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M3" sqref="M3:M7"/>
    </sheetView>
  </sheetViews>
  <sheetFormatPr defaultRowHeight="15" x14ac:dyDescent="0.25"/>
  <sheetData>
    <row r="2" spans="2:13" x14ac:dyDescent="0.25">
      <c r="B2" t="s">
        <v>358</v>
      </c>
      <c r="C2" t="s">
        <v>359</v>
      </c>
      <c r="D2" t="s">
        <v>360</v>
      </c>
      <c r="E2" t="s">
        <v>362</v>
      </c>
      <c r="F2" t="s">
        <v>363</v>
      </c>
    </row>
    <row r="3" spans="2:13" x14ac:dyDescent="0.25">
      <c r="B3">
        <v>1</v>
      </c>
      <c r="C3">
        <v>4</v>
      </c>
      <c r="D3">
        <f>C3</f>
        <v>4</v>
      </c>
      <c r="E3">
        <f>C3/4</f>
        <v>1</v>
      </c>
      <c r="F3">
        <f>C3</f>
        <v>4</v>
      </c>
      <c r="H3" t="s">
        <v>159</v>
      </c>
      <c r="I3" t="s">
        <v>361</v>
      </c>
      <c r="J3" t="s">
        <v>364</v>
      </c>
      <c r="K3" t="s">
        <v>366</v>
      </c>
      <c r="L3" t="s">
        <v>367</v>
      </c>
      <c r="M3" t="s">
        <v>365</v>
      </c>
    </row>
    <row r="4" spans="2:13" x14ac:dyDescent="0.25">
      <c r="B4">
        <v>2</v>
      </c>
      <c r="C4">
        <v>4</v>
      </c>
      <c r="D4">
        <f t="shared" ref="D4:D22" si="0">C4</f>
        <v>4</v>
      </c>
      <c r="E4">
        <f t="shared" ref="E4:E22" si="1">C4/4</f>
        <v>1</v>
      </c>
      <c r="F4">
        <f>C4+F3</f>
        <v>8</v>
      </c>
      <c r="H4">
        <v>1</v>
      </c>
      <c r="I4">
        <f>F6</f>
        <v>16</v>
      </c>
      <c r="J4">
        <f>I4</f>
        <v>16</v>
      </c>
      <c r="K4" t="s">
        <v>368</v>
      </c>
      <c r="L4" t="s">
        <v>369</v>
      </c>
      <c r="M4" t="s">
        <v>370</v>
      </c>
    </row>
    <row r="5" spans="2:13" x14ac:dyDescent="0.25">
      <c r="B5">
        <v>3</v>
      </c>
      <c r="C5">
        <v>4</v>
      </c>
      <c r="D5">
        <f t="shared" si="0"/>
        <v>4</v>
      </c>
      <c r="E5">
        <f t="shared" si="1"/>
        <v>1</v>
      </c>
      <c r="F5">
        <f t="shared" ref="F5:F22" si="2">C5+F4</f>
        <v>12</v>
      </c>
      <c r="H5">
        <v>2</v>
      </c>
      <c r="I5">
        <f>F12-I4</f>
        <v>48</v>
      </c>
      <c r="J5">
        <f>I5</f>
        <v>48</v>
      </c>
      <c r="K5" t="s">
        <v>371</v>
      </c>
      <c r="L5" t="s">
        <v>372</v>
      </c>
      <c r="M5" t="s">
        <v>373</v>
      </c>
    </row>
    <row r="6" spans="2:13" x14ac:dyDescent="0.25">
      <c r="B6">
        <v>4</v>
      </c>
      <c r="C6">
        <v>4</v>
      </c>
      <c r="D6">
        <f t="shared" si="0"/>
        <v>4</v>
      </c>
      <c r="E6">
        <f t="shared" si="1"/>
        <v>1</v>
      </c>
      <c r="F6">
        <f t="shared" si="2"/>
        <v>16</v>
      </c>
      <c r="H6">
        <v>3</v>
      </c>
      <c r="I6">
        <f>F18-I5-I4</f>
        <v>48</v>
      </c>
      <c r="J6">
        <f>I6</f>
        <v>48</v>
      </c>
      <c r="K6" t="s">
        <v>374</v>
      </c>
      <c r="L6" t="s">
        <v>372</v>
      </c>
      <c r="M6" t="s">
        <v>373</v>
      </c>
    </row>
    <row r="7" spans="2:13" x14ac:dyDescent="0.25">
      <c r="B7">
        <v>5</v>
      </c>
      <c r="C7">
        <v>8</v>
      </c>
      <c r="D7">
        <f t="shared" si="0"/>
        <v>8</v>
      </c>
      <c r="E7">
        <f t="shared" si="1"/>
        <v>2</v>
      </c>
      <c r="F7">
        <f t="shared" si="2"/>
        <v>24</v>
      </c>
      <c r="H7">
        <v>4</v>
      </c>
      <c r="I7">
        <f>F22-I6-I5-I4</f>
        <v>32</v>
      </c>
      <c r="J7">
        <f>I7</f>
        <v>32</v>
      </c>
      <c r="K7" t="s">
        <v>375</v>
      </c>
      <c r="L7">
        <v>12</v>
      </c>
      <c r="M7">
        <f>J7/L7</f>
        <v>2.6666666666666665</v>
      </c>
    </row>
    <row r="8" spans="2:13" x14ac:dyDescent="0.25">
      <c r="B8">
        <v>6</v>
      </c>
      <c r="C8">
        <v>8</v>
      </c>
      <c r="D8">
        <f t="shared" si="0"/>
        <v>8</v>
      </c>
      <c r="E8">
        <f t="shared" si="1"/>
        <v>2</v>
      </c>
      <c r="F8">
        <f t="shared" si="2"/>
        <v>32</v>
      </c>
    </row>
    <row r="9" spans="2:13" x14ac:dyDescent="0.25">
      <c r="B9">
        <v>7</v>
      </c>
      <c r="C9">
        <v>8</v>
      </c>
      <c r="D9">
        <f t="shared" si="0"/>
        <v>8</v>
      </c>
      <c r="E9">
        <f t="shared" si="1"/>
        <v>2</v>
      </c>
      <c r="F9">
        <f t="shared" si="2"/>
        <v>40</v>
      </c>
    </row>
    <row r="10" spans="2:13" x14ac:dyDescent="0.25">
      <c r="B10">
        <v>8</v>
      </c>
      <c r="C10">
        <v>8</v>
      </c>
      <c r="D10">
        <f t="shared" si="0"/>
        <v>8</v>
      </c>
      <c r="E10">
        <f t="shared" si="1"/>
        <v>2</v>
      </c>
      <c r="F10">
        <f t="shared" si="2"/>
        <v>48</v>
      </c>
    </row>
    <row r="11" spans="2:13" x14ac:dyDescent="0.25">
      <c r="B11">
        <v>9</v>
      </c>
      <c r="C11">
        <v>8</v>
      </c>
      <c r="D11">
        <f t="shared" si="0"/>
        <v>8</v>
      </c>
      <c r="E11">
        <f t="shared" si="1"/>
        <v>2</v>
      </c>
      <c r="F11">
        <f t="shared" si="2"/>
        <v>56</v>
      </c>
    </row>
    <row r="12" spans="2:13" x14ac:dyDescent="0.25">
      <c r="B12">
        <v>10</v>
      </c>
      <c r="C12">
        <v>8</v>
      </c>
      <c r="D12">
        <f t="shared" si="0"/>
        <v>8</v>
      </c>
      <c r="E12">
        <f t="shared" si="1"/>
        <v>2</v>
      </c>
      <c r="F12">
        <f t="shared" si="2"/>
        <v>64</v>
      </c>
    </row>
    <row r="13" spans="2:13" x14ac:dyDescent="0.25">
      <c r="B13">
        <v>11</v>
      </c>
      <c r="C13">
        <v>8</v>
      </c>
      <c r="D13">
        <f t="shared" si="0"/>
        <v>8</v>
      </c>
      <c r="E13">
        <f t="shared" si="1"/>
        <v>2</v>
      </c>
      <c r="F13">
        <f t="shared" si="2"/>
        <v>72</v>
      </c>
    </row>
    <row r="14" spans="2:13" x14ac:dyDescent="0.25">
      <c r="B14">
        <v>12</v>
      </c>
      <c r="C14">
        <v>8</v>
      </c>
      <c r="D14">
        <f t="shared" si="0"/>
        <v>8</v>
      </c>
      <c r="E14">
        <f t="shared" si="1"/>
        <v>2</v>
      </c>
      <c r="F14">
        <f t="shared" si="2"/>
        <v>80</v>
      </c>
    </row>
    <row r="15" spans="2:13" x14ac:dyDescent="0.25">
      <c r="B15">
        <v>13</v>
      </c>
      <c r="C15">
        <v>8</v>
      </c>
      <c r="D15">
        <f t="shared" si="0"/>
        <v>8</v>
      </c>
      <c r="E15">
        <f t="shared" si="1"/>
        <v>2</v>
      </c>
      <c r="F15">
        <f t="shared" si="2"/>
        <v>88</v>
      </c>
    </row>
    <row r="16" spans="2:13" x14ac:dyDescent="0.25">
      <c r="B16">
        <v>14</v>
      </c>
      <c r="C16">
        <v>8</v>
      </c>
      <c r="D16">
        <f t="shared" si="0"/>
        <v>8</v>
      </c>
      <c r="E16">
        <f t="shared" si="1"/>
        <v>2</v>
      </c>
      <c r="F16">
        <f t="shared" si="2"/>
        <v>96</v>
      </c>
    </row>
    <row r="17" spans="2:6" x14ac:dyDescent="0.25">
      <c r="B17">
        <v>15</v>
      </c>
      <c r="C17">
        <v>8</v>
      </c>
      <c r="D17">
        <f t="shared" si="0"/>
        <v>8</v>
      </c>
      <c r="E17">
        <f t="shared" si="1"/>
        <v>2</v>
      </c>
      <c r="F17">
        <f t="shared" si="2"/>
        <v>104</v>
      </c>
    </row>
    <row r="18" spans="2:6" x14ac:dyDescent="0.25">
      <c r="B18">
        <v>16</v>
      </c>
      <c r="C18">
        <v>8</v>
      </c>
      <c r="D18">
        <f t="shared" si="0"/>
        <v>8</v>
      </c>
      <c r="E18">
        <f t="shared" si="1"/>
        <v>2</v>
      </c>
      <c r="F18">
        <f t="shared" si="2"/>
        <v>112</v>
      </c>
    </row>
    <row r="19" spans="2:6" x14ac:dyDescent="0.25">
      <c r="B19">
        <v>17</v>
      </c>
      <c r="C19">
        <v>8</v>
      </c>
      <c r="D19">
        <f t="shared" si="0"/>
        <v>8</v>
      </c>
      <c r="E19">
        <f t="shared" si="1"/>
        <v>2</v>
      </c>
      <c r="F19">
        <f t="shared" si="2"/>
        <v>120</v>
      </c>
    </row>
    <row r="20" spans="2:6" x14ac:dyDescent="0.25">
      <c r="B20">
        <v>18</v>
      </c>
      <c r="C20">
        <v>8</v>
      </c>
      <c r="D20">
        <f t="shared" si="0"/>
        <v>8</v>
      </c>
      <c r="E20">
        <f t="shared" si="1"/>
        <v>2</v>
      </c>
      <c r="F20">
        <f t="shared" si="2"/>
        <v>128</v>
      </c>
    </row>
    <row r="21" spans="2:6" x14ac:dyDescent="0.25">
      <c r="B21">
        <v>19</v>
      </c>
      <c r="C21">
        <v>8</v>
      </c>
      <c r="D21">
        <f t="shared" si="0"/>
        <v>8</v>
      </c>
      <c r="E21">
        <f t="shared" si="1"/>
        <v>2</v>
      </c>
      <c r="F21">
        <f t="shared" si="2"/>
        <v>136</v>
      </c>
    </row>
    <row r="22" spans="2:6" x14ac:dyDescent="0.25">
      <c r="B22">
        <v>20</v>
      </c>
      <c r="C22">
        <v>8</v>
      </c>
      <c r="D22">
        <f t="shared" si="0"/>
        <v>8</v>
      </c>
      <c r="E22">
        <f t="shared" si="1"/>
        <v>2</v>
      </c>
      <c r="F22">
        <f t="shared" si="2"/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7"/>
  <sheetViews>
    <sheetView workbookViewId="0">
      <selection activeCell="C3" sqref="C3:I7"/>
    </sheetView>
  </sheetViews>
  <sheetFormatPr defaultRowHeight="15" x14ac:dyDescent="0.25"/>
  <cols>
    <col min="5" max="5" width="11.28515625" customWidth="1"/>
    <col min="7" max="7" width="11" customWidth="1"/>
  </cols>
  <sheetData>
    <row r="3" spans="4:9" ht="47.25" x14ac:dyDescent="0.25">
      <c r="D3" s="11" t="s">
        <v>188</v>
      </c>
      <c r="E3" s="2" t="s">
        <v>376</v>
      </c>
      <c r="F3" s="11" t="s">
        <v>378</v>
      </c>
      <c r="G3" s="2" t="s">
        <v>377</v>
      </c>
      <c r="H3" s="2" t="s">
        <v>379</v>
      </c>
    </row>
    <row r="4" spans="4:9" x14ac:dyDescent="0.25">
      <c r="D4" s="12" t="s">
        <v>184</v>
      </c>
      <c r="E4" s="6">
        <f>results!T3</f>
        <v>1.3658750136806392</v>
      </c>
      <c r="F4" t="str">
        <f>rules_80!K4</f>
        <v>A,B,C,F</v>
      </c>
      <c r="G4" t="str">
        <f>rules_80!M4</f>
        <v>from 2 to 4</v>
      </c>
      <c r="H4">
        <v>3</v>
      </c>
      <c r="I4">
        <f>H4/E4</f>
        <v>2.1963942307692306</v>
      </c>
    </row>
    <row r="5" spans="4:9" x14ac:dyDescent="0.25">
      <c r="D5" s="12" t="s">
        <v>185</v>
      </c>
      <c r="E5" s="6">
        <f>results!T4</f>
        <v>3.1371060196968292</v>
      </c>
      <c r="F5" t="str">
        <f>rules_80!K5</f>
        <v>D. G</v>
      </c>
      <c r="G5" t="str">
        <f>rules_80!M5</f>
        <v>from 4 to 6</v>
      </c>
      <c r="H5">
        <v>5</v>
      </c>
      <c r="I5">
        <f t="shared" ref="I5:I7" si="0">H5/E5</f>
        <v>1.5938256369426753</v>
      </c>
    </row>
    <row r="6" spans="4:9" x14ac:dyDescent="0.25">
      <c r="D6" s="12" t="s">
        <v>186</v>
      </c>
      <c r="E6" s="6">
        <f>results!T5</f>
        <v>2.3149105039064115</v>
      </c>
      <c r="F6" t="str">
        <f>rules_80!K6</f>
        <v>E, H</v>
      </c>
      <c r="G6" t="str">
        <f>rules_80!M6</f>
        <v>from 4 to 6</v>
      </c>
      <c r="H6">
        <v>5</v>
      </c>
      <c r="I6">
        <f t="shared" si="0"/>
        <v>2.1599107142857141</v>
      </c>
    </row>
    <row r="7" spans="4:9" x14ac:dyDescent="0.25">
      <c r="D7" s="12" t="s">
        <v>187</v>
      </c>
      <c r="E7" s="6">
        <f>results!T6</f>
        <v>1.0176125244618395</v>
      </c>
      <c r="F7" t="str">
        <f>rules_80!K7</f>
        <v>I</v>
      </c>
      <c r="G7">
        <f>rules_80!M7</f>
        <v>2.6666666666666665</v>
      </c>
      <c r="H7">
        <f>G7</f>
        <v>2.6666666666666665</v>
      </c>
      <c r="I7">
        <f t="shared" si="0"/>
        <v>2.6205128205128205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A4" sqref="A4"/>
    </sheetView>
  </sheetViews>
  <sheetFormatPr defaultRowHeight="15" x14ac:dyDescent="0.25"/>
  <sheetData>
    <row r="2" spans="1:3" x14ac:dyDescent="0.25">
      <c r="A2" t="s">
        <v>380</v>
      </c>
      <c r="B2" t="s">
        <v>381</v>
      </c>
      <c r="C2" s="46" t="s">
        <v>382</v>
      </c>
    </row>
    <row r="4" spans="1:3" x14ac:dyDescent="0.25">
      <c r="A4" t="s">
        <v>383</v>
      </c>
    </row>
    <row r="6" spans="1:3" x14ac:dyDescent="0.25">
      <c r="A6" t="s">
        <v>384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Y16"/>
  <sheetViews>
    <sheetView topLeftCell="L1" workbookViewId="0">
      <selection activeCell="S2" sqref="S2:T6"/>
    </sheetView>
  </sheetViews>
  <sheetFormatPr defaultRowHeight="15" x14ac:dyDescent="0.25"/>
  <cols>
    <col min="4" max="4" width="15.42578125" customWidth="1"/>
    <col min="5" max="5" width="24.7109375" customWidth="1"/>
    <col min="6" max="6" width="13.28515625" customWidth="1"/>
    <col min="7" max="7" width="15.5703125" customWidth="1"/>
    <col min="8" max="8" width="19.5703125" customWidth="1"/>
    <col min="10" max="10" width="11.140625" customWidth="1"/>
    <col min="11" max="11" width="14.5703125" customWidth="1"/>
    <col min="12" max="12" width="10.5703125" customWidth="1"/>
    <col min="14" max="14" width="13.7109375" customWidth="1"/>
    <col min="15" max="15" width="16" customWidth="1"/>
    <col min="16" max="16" width="12" customWidth="1"/>
    <col min="20" max="20" width="18.85546875" customWidth="1"/>
    <col min="21" max="21" width="17.42578125" customWidth="1"/>
    <col min="22" max="22" width="24.28515625" customWidth="1"/>
    <col min="23" max="23" width="14.5703125" customWidth="1"/>
    <col min="24" max="24" width="13.85546875" customWidth="1"/>
  </cols>
  <sheetData>
    <row r="2" spans="1:25" ht="157.5" x14ac:dyDescent="0.25">
      <c r="A2" s="2" t="s">
        <v>174</v>
      </c>
      <c r="B2" s="2" t="s">
        <v>175</v>
      </c>
      <c r="C2" s="2" t="s">
        <v>176</v>
      </c>
      <c r="D2" s="2" t="s">
        <v>177</v>
      </c>
      <c r="E2" s="2" t="s">
        <v>159</v>
      </c>
      <c r="F2" s="2" t="s">
        <v>160</v>
      </c>
      <c r="G2" s="2" t="s">
        <v>161</v>
      </c>
      <c r="H2" s="2" t="s">
        <v>162</v>
      </c>
      <c r="I2" s="2" t="s">
        <v>159</v>
      </c>
      <c r="J2" s="2" t="s">
        <v>163</v>
      </c>
      <c r="K2" s="2" t="s">
        <v>164</v>
      </c>
      <c r="L2" s="2" t="s">
        <v>165</v>
      </c>
      <c r="M2" s="2" t="s">
        <v>166</v>
      </c>
      <c r="N2" s="2" t="s">
        <v>178</v>
      </c>
      <c r="O2" s="2" t="s">
        <v>179</v>
      </c>
      <c r="P2" s="2" t="s">
        <v>180</v>
      </c>
      <c r="Q2" s="2" t="s">
        <v>181</v>
      </c>
      <c r="R2" s="2" t="s">
        <v>183</v>
      </c>
      <c r="S2" s="11" t="s">
        <v>188</v>
      </c>
      <c r="T2" s="2" t="s">
        <v>182</v>
      </c>
      <c r="U2" s="2" t="s">
        <v>189</v>
      </c>
      <c r="V2" s="2" t="s">
        <v>190</v>
      </c>
      <c r="W2" s="2" t="s">
        <v>191</v>
      </c>
      <c r="X2" s="2" t="s">
        <v>192</v>
      </c>
      <c r="Y2" s="2" t="s">
        <v>193</v>
      </c>
    </row>
    <row r="3" spans="1:25" x14ac:dyDescent="0.25">
      <c r="A3" s="7">
        <v>1</v>
      </c>
      <c r="B3" s="3">
        <f>SUMIFS(data_ddal!L$2:L$122,data_ddal!$C$2:$C$122,$A3)</f>
        <v>11421.25</v>
      </c>
      <c r="C3" s="3">
        <f>SUMIFS(data_ddal!M$2:M$122,data_ddal!$C$2:$C$122,$A3)</f>
        <v>9312</v>
      </c>
      <c r="D3" s="3">
        <f>data_ddal!C124/A3</f>
        <v>48</v>
      </c>
      <c r="E3" s="7">
        <v>1</v>
      </c>
      <c r="F3" s="4">
        <f t="shared" ref="F3:G6" si="0">B3/$D3</f>
        <v>237.94270833333334</v>
      </c>
      <c r="G3" s="5">
        <f t="shared" si="0"/>
        <v>194</v>
      </c>
      <c r="H3" s="4">
        <f>G3/5</f>
        <v>38.799999999999997</v>
      </c>
      <c r="I3" s="7">
        <v>1</v>
      </c>
      <c r="J3" s="4">
        <f>6500</f>
        <v>6500</v>
      </c>
      <c r="K3" s="4">
        <f>J3/F3</f>
        <v>27.317500273612783</v>
      </c>
      <c r="L3" s="4">
        <f>K3*H3</f>
        <v>1059.9190106161759</v>
      </c>
      <c r="M3" s="4">
        <f>K3*2.5</f>
        <v>68.293750684031963</v>
      </c>
      <c r="N3" s="10">
        <f>K3/4</f>
        <v>6.8293750684031957</v>
      </c>
      <c r="O3" s="6">
        <f>M3</f>
        <v>68.293750684031963</v>
      </c>
      <c r="P3" s="6">
        <f>L3</f>
        <v>1059.9190106161759</v>
      </c>
      <c r="Q3" s="6">
        <f>K3</f>
        <v>27.317500273612783</v>
      </c>
      <c r="R3" s="4">
        <f>Q3/20</f>
        <v>1.3658750136806392</v>
      </c>
      <c r="S3" s="12" t="s">
        <v>184</v>
      </c>
      <c r="T3" s="6">
        <f>K3/20</f>
        <v>1.3658750136806392</v>
      </c>
      <c r="U3" s="6">
        <f>data_ddal!E124</f>
        <v>3.1041666666666665</v>
      </c>
      <c r="V3" s="6">
        <f>K3/U3</f>
        <v>8.8002685445195539</v>
      </c>
      <c r="W3" s="6">
        <f>V3</f>
        <v>8.8002685445195539</v>
      </c>
      <c r="X3" s="6">
        <f>W3</f>
        <v>8.8002685445195539</v>
      </c>
      <c r="Y3" s="3"/>
    </row>
    <row r="4" spans="1:25" x14ac:dyDescent="0.25">
      <c r="A4" s="7">
        <v>2</v>
      </c>
      <c r="B4" s="3">
        <f>SUMIFS(data_ddal!L$2:L$122,data_ddal!$C$2:$C$122,$A4)</f>
        <v>50046.125</v>
      </c>
      <c r="C4" s="3">
        <f>SUMIFS(data_ddal!M$2:M$122,data_ddal!$C$2:$C$122,$A4)</f>
        <v>41594.75</v>
      </c>
      <c r="D4" s="3">
        <f>data_ddal!C125/A4</f>
        <v>40</v>
      </c>
      <c r="E4" s="7">
        <v>2</v>
      </c>
      <c r="F4" s="4">
        <f t="shared" si="0"/>
        <v>1251.153125</v>
      </c>
      <c r="G4" s="5">
        <f t="shared" si="0"/>
        <v>1039.8687500000001</v>
      </c>
      <c r="H4" s="4">
        <f>G4/5</f>
        <v>207.97375000000002</v>
      </c>
      <c r="I4" s="7">
        <v>2</v>
      </c>
      <c r="J4" s="4">
        <f>85000-J3</f>
        <v>78500</v>
      </c>
      <c r="K4" s="4">
        <f>J4/F4</f>
        <v>62.742120393936588</v>
      </c>
      <c r="L4" s="4">
        <f>K4*H4</f>
        <v>13048.714061278471</v>
      </c>
      <c r="M4" s="4">
        <f>K4*2.5</f>
        <v>156.85530098484148</v>
      </c>
      <c r="N4" s="10">
        <f>K4/4</f>
        <v>15.685530098484147</v>
      </c>
      <c r="O4" s="6">
        <f>M4+O3</f>
        <v>225.14905166887343</v>
      </c>
      <c r="P4" s="6">
        <f>L4+P3</f>
        <v>14108.633071894648</v>
      </c>
      <c r="Q4" s="6">
        <f>Q3+K4</f>
        <v>90.059620667549368</v>
      </c>
      <c r="R4" s="4">
        <f>Q4/20</f>
        <v>4.502981033377468</v>
      </c>
      <c r="S4" s="12" t="s">
        <v>185</v>
      </c>
      <c r="T4" s="6">
        <f>K4/20</f>
        <v>3.1371060196968292</v>
      </c>
      <c r="U4" s="6">
        <f>data_ddal!E125</f>
        <v>3.4249999999999998</v>
      </c>
      <c r="V4" s="6">
        <f t="shared" ref="V4:V6" si="1">K4/U4</f>
        <v>18.318867268302654</v>
      </c>
      <c r="W4" s="6">
        <f t="shared" ref="W4:W6" si="2">V4</f>
        <v>18.318867268302654</v>
      </c>
      <c r="X4" s="6">
        <f>W4+X3</f>
        <v>27.119135812822208</v>
      </c>
      <c r="Y4" s="3">
        <v>3</v>
      </c>
    </row>
    <row r="5" spans="1:25" x14ac:dyDescent="0.25">
      <c r="A5" s="7">
        <v>3</v>
      </c>
      <c r="B5" s="3">
        <f>SUMIFS(data_ddal!L$2:L$122,data_ddal!$C$2:$C$122,$A5)</f>
        <v>45358.125</v>
      </c>
      <c r="C5" s="3">
        <f>SUMIFS(data_ddal!M$2:M$122,data_ddal!$C$2:$C$122,$A5)</f>
        <v>33558</v>
      </c>
      <c r="D5" s="3">
        <f>data_ddal!C126/A5</f>
        <v>15</v>
      </c>
      <c r="E5" s="7">
        <v>3</v>
      </c>
      <c r="F5" s="4">
        <f t="shared" si="0"/>
        <v>3023.875</v>
      </c>
      <c r="G5" s="5">
        <f t="shared" si="0"/>
        <v>2237.1999999999998</v>
      </c>
      <c r="H5" s="4">
        <f>G5/5</f>
        <v>447.43999999999994</v>
      </c>
      <c r="I5" s="7">
        <v>3</v>
      </c>
      <c r="J5" s="4">
        <f>225000-J4-J3</f>
        <v>140000</v>
      </c>
      <c r="K5" s="4">
        <f>J5/F5</f>
        <v>46.298210078128228</v>
      </c>
      <c r="L5" s="4">
        <f>K5*H5</f>
        <v>20715.671117357691</v>
      </c>
      <c r="M5" s="4">
        <f>K5*2.5</f>
        <v>115.74552519532057</v>
      </c>
      <c r="N5" s="10">
        <f>K5/4</f>
        <v>11.574552519532057</v>
      </c>
      <c r="O5" s="6">
        <f t="shared" ref="O5:O6" si="3">M5+O4</f>
        <v>340.89457686419399</v>
      </c>
      <c r="P5" s="6">
        <f t="shared" ref="P5:P6" si="4">L5+P4</f>
        <v>34824.30418925234</v>
      </c>
      <c r="Q5" s="6">
        <f>Q4+K5</f>
        <v>136.3578307456776</v>
      </c>
      <c r="R5" s="4">
        <f>Q5/20</f>
        <v>6.81789153728388</v>
      </c>
      <c r="S5" s="12" t="s">
        <v>186</v>
      </c>
      <c r="T5" s="6">
        <f>K5/20</f>
        <v>2.3149105039064115</v>
      </c>
      <c r="U5" s="6">
        <f>data_ddal!E126</f>
        <v>4.3999999999999995</v>
      </c>
      <c r="V5" s="6">
        <f t="shared" si="1"/>
        <v>10.522320472301871</v>
      </c>
      <c r="W5" s="6">
        <f t="shared" si="2"/>
        <v>10.522320472301871</v>
      </c>
      <c r="X5" s="6">
        <f t="shared" ref="X5:X6" si="5">W5+X4</f>
        <v>37.641456285124079</v>
      </c>
      <c r="Y5" s="3">
        <v>4</v>
      </c>
    </row>
    <row r="6" spans="1:25" x14ac:dyDescent="0.25">
      <c r="A6" s="7">
        <v>4</v>
      </c>
      <c r="B6" s="3">
        <f>SUMIFS(data_ddal!L$2:L$122,data_ddal!$C$2:$C$122,$A6)</f>
        <v>63875</v>
      </c>
      <c r="C6" s="3">
        <f>SUMIFS(data_ddal!M$2:M$122,data_ddal!$C$2:$C$122,$A6)</f>
        <v>183100</v>
      </c>
      <c r="D6" s="3">
        <f>data_ddal!C127/A6</f>
        <v>10</v>
      </c>
      <c r="E6" s="7">
        <v>4</v>
      </c>
      <c r="F6" s="4">
        <f t="shared" si="0"/>
        <v>6387.5</v>
      </c>
      <c r="G6" s="5">
        <f t="shared" si="0"/>
        <v>18310</v>
      </c>
      <c r="H6" s="4">
        <f>G6/5</f>
        <v>3662</v>
      </c>
      <c r="I6" s="7">
        <v>4</v>
      </c>
      <c r="J6" s="4">
        <f>355000-J5-J4-J3</f>
        <v>130000</v>
      </c>
      <c r="K6" s="4">
        <f>J6/F6</f>
        <v>20.352250489236791</v>
      </c>
      <c r="L6" s="4">
        <f>K6*H6</f>
        <v>74529.941291585128</v>
      </c>
      <c r="M6" s="4">
        <f>K6*2.5</f>
        <v>50.88062622309198</v>
      </c>
      <c r="N6" s="10">
        <f>K6/4</f>
        <v>5.0880626223091978</v>
      </c>
      <c r="O6" s="6">
        <f t="shared" si="3"/>
        <v>391.77520308728595</v>
      </c>
      <c r="P6" s="6">
        <f t="shared" si="4"/>
        <v>109354.24548083748</v>
      </c>
      <c r="Q6" s="6">
        <f>Q5+K6</f>
        <v>156.71008123491438</v>
      </c>
      <c r="R6" s="4">
        <f>Q6/20</f>
        <v>7.835504061745719</v>
      </c>
      <c r="S6" s="12" t="s">
        <v>187</v>
      </c>
      <c r="T6" s="6">
        <f>K6/20</f>
        <v>1.0176125244618395</v>
      </c>
      <c r="U6" s="6">
        <f>data_ddal!E127</f>
        <v>3.6</v>
      </c>
      <c r="V6" s="6">
        <f t="shared" si="1"/>
        <v>5.653402913676886</v>
      </c>
      <c r="W6" s="6">
        <f t="shared" si="2"/>
        <v>5.653402913676886</v>
      </c>
      <c r="X6" s="6">
        <f t="shared" si="5"/>
        <v>43.294859198800964</v>
      </c>
      <c r="Y6" s="3">
        <v>4</v>
      </c>
    </row>
    <row r="7" spans="1:25" ht="15.75" x14ac:dyDescent="0.25">
      <c r="A7" t="s">
        <v>355</v>
      </c>
      <c r="I7" s="2" t="s">
        <v>167</v>
      </c>
      <c r="J7" s="6">
        <f>SUM(J3:J6)</f>
        <v>355000</v>
      </c>
      <c r="K7" s="4">
        <f>SUM(K3:K6)</f>
        <v>156.71008123491438</v>
      </c>
      <c r="L7" s="6">
        <f>SUM(L3:L6)</f>
        <v>109354.24548083748</v>
      </c>
      <c r="M7" s="4">
        <f>SUM(M3:M6)</f>
        <v>391.77520308728595</v>
      </c>
      <c r="N7" s="10">
        <f>K7/4</f>
        <v>39.177520308728596</v>
      </c>
    </row>
    <row r="8" spans="1:25" ht="47.25" x14ac:dyDescent="0.25">
      <c r="E8" t="s">
        <v>355</v>
      </c>
      <c r="F8" s="2" t="s">
        <v>160</v>
      </c>
      <c r="G8" s="2" t="s">
        <v>161</v>
      </c>
      <c r="H8" s="2" t="s">
        <v>162</v>
      </c>
    </row>
    <row r="9" spans="1:25" x14ac:dyDescent="0.25">
      <c r="E9" s="20">
        <v>1</v>
      </c>
      <c r="F9" s="4">
        <f>data_ccc!L139/data_ccc!C139</f>
        <v>257.76639344262293</v>
      </c>
      <c r="G9" s="4">
        <f>data_ccc!M139/data_ccc!C139</f>
        <v>239.30877049180327</v>
      </c>
      <c r="H9" s="4">
        <f>G9/5</f>
        <v>47.861754098360656</v>
      </c>
    </row>
    <row r="10" spans="1:25" x14ac:dyDescent="0.25">
      <c r="E10" s="20">
        <v>2</v>
      </c>
      <c r="F10" s="4">
        <f>data_ccc!L140/data_ccc!C140</f>
        <v>1487.9716981132076</v>
      </c>
      <c r="G10" s="4">
        <f>data_ccc!M140/data_ccc!C140</f>
        <v>892.54481132075466</v>
      </c>
      <c r="H10" s="4">
        <f t="shared" ref="H10:H11" si="6">G10/5</f>
        <v>178.50896226415094</v>
      </c>
    </row>
    <row r="11" spans="1:25" x14ac:dyDescent="0.25">
      <c r="E11" s="20">
        <v>3</v>
      </c>
      <c r="F11" s="4">
        <f>data_ccc!L141/data_ccc!C141</f>
        <v>3059.5454545454545</v>
      </c>
      <c r="G11" s="4">
        <f>data_ccc!M141/data_ccc!C141</f>
        <v>1992.8977272727273</v>
      </c>
      <c r="H11" s="4">
        <f t="shared" si="6"/>
        <v>398.57954545454544</v>
      </c>
    </row>
    <row r="13" spans="1:25" x14ac:dyDescent="0.25">
      <c r="E13" s="22" t="s">
        <v>353</v>
      </c>
      <c r="F13" s="45">
        <v>1</v>
      </c>
      <c r="G13" s="45"/>
      <c r="H13" s="45">
        <v>2</v>
      </c>
      <c r="I13" s="45"/>
      <c r="J13" s="45">
        <v>3</v>
      </c>
      <c r="K13" s="45"/>
    </row>
    <row r="14" spans="1:25" x14ac:dyDescent="0.25">
      <c r="E14" s="22" t="s">
        <v>357</v>
      </c>
      <c r="F14" s="22" t="s">
        <v>355</v>
      </c>
      <c r="G14" s="22" t="s">
        <v>356</v>
      </c>
      <c r="H14" s="22" t="s">
        <v>355</v>
      </c>
      <c r="I14" s="22" t="s">
        <v>356</v>
      </c>
      <c r="J14" s="22" t="s">
        <v>355</v>
      </c>
      <c r="K14" s="22" t="s">
        <v>356</v>
      </c>
    </row>
    <row r="15" spans="1:25" x14ac:dyDescent="0.25">
      <c r="E15" s="14" t="s">
        <v>160</v>
      </c>
      <c r="F15" s="4">
        <f>F9</f>
        <v>257.76639344262293</v>
      </c>
      <c r="G15" s="4">
        <f>F3</f>
        <v>237.94270833333334</v>
      </c>
      <c r="H15" s="4">
        <f>F10</f>
        <v>1487.9716981132076</v>
      </c>
      <c r="I15" s="4">
        <f>F4</f>
        <v>1251.153125</v>
      </c>
      <c r="J15" s="4">
        <f>F11</f>
        <v>3059.5454545454545</v>
      </c>
      <c r="K15" s="4">
        <f>F5</f>
        <v>3023.875</v>
      </c>
    </row>
    <row r="16" spans="1:25" ht="30" x14ac:dyDescent="0.25">
      <c r="E16" s="14" t="s">
        <v>162</v>
      </c>
      <c r="F16" s="4">
        <f>H9</f>
        <v>47.861754098360656</v>
      </c>
      <c r="G16" s="4">
        <f>H3</f>
        <v>38.799999999999997</v>
      </c>
      <c r="H16" s="4">
        <f>H10</f>
        <v>178.50896226415094</v>
      </c>
      <c r="I16" s="4">
        <f>H4</f>
        <v>207.97375000000002</v>
      </c>
      <c r="J16" s="4">
        <f>H11</f>
        <v>398.57954545454544</v>
      </c>
      <c r="K16" s="4">
        <f>H5</f>
        <v>447.43999999999994</v>
      </c>
    </row>
  </sheetData>
  <mergeCells count="3">
    <mergeCell ref="F13:G13"/>
    <mergeCell ref="H13:I13"/>
    <mergeCell ref="J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data_ddal</vt:lpstr>
      <vt:lpstr>data_ccc</vt:lpstr>
      <vt:lpstr>rules_80</vt:lpstr>
      <vt:lpstr>comparison</vt:lpstr>
      <vt:lpstr>credits</vt:lpstr>
      <vt:lpstr>results</vt:lpstr>
    </vt:vector>
  </TitlesOfParts>
  <Company>Palant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2018-08-01T20:28:57Z</dcterms:created>
  <dcterms:modified xsi:type="dcterms:W3CDTF">2018-08-01T22:29:58Z</dcterms:modified>
</cp:coreProperties>
</file>