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MY ASSIGNMENTS &amp; PROJECTS\CASE STUDY 1\"/>
    </mc:Choice>
  </mc:AlternateContent>
  <xr:revisionPtr revIDLastSave="0" documentId="13_ncr:1_{F8DE725B-8FC8-4A3C-8997-AB6C72CB25C4}" xr6:coauthVersionLast="46" xr6:coauthVersionMax="46" xr10:uidLastSave="{00000000-0000-0000-0000-000000000000}"/>
  <bookViews>
    <workbookView xWindow="-110" yWindow="-110" windowWidth="19420" windowHeight="10420" tabRatio="856" activeTab="2" xr2:uid="{3A5B4679-BD96-4CCC-998F-4E2AA429A578}"/>
  </bookViews>
  <sheets>
    <sheet name="Profit &amp; Loss statement" sheetId="2" r:id="rId1"/>
    <sheet name="Chart1" sheetId="16" r:id="rId2"/>
    <sheet name="Sheet2" sheetId="5" r:id="rId3"/>
    <sheet name="Overall" sheetId="3" r:id="rId4"/>
    <sheet name="Recipe wise" sheetId="4" r:id="rId5"/>
    <sheet name="Sheet1" sheetId="1" r:id="rId6"/>
    <sheet name="Sheet6" sheetId="9" r:id="rId7"/>
    <sheet name="Sheet7" sheetId="10" r:id="rId8"/>
    <sheet name="Sheet4" sheetId="7" r:id="rId9"/>
  </sheets>
  <definedNames>
    <definedName name="NetIncome">#REF!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03" i="5" l="1"/>
  <c r="BK72" i="5"/>
  <c r="BK69" i="5"/>
  <c r="BK68" i="5"/>
  <c r="M29" i="1"/>
  <c r="M27" i="1"/>
  <c r="M25" i="1"/>
  <c r="Q23" i="1"/>
  <c r="R23" i="1"/>
  <c r="P23" i="1"/>
  <c r="R22" i="1"/>
  <c r="Q22" i="1"/>
  <c r="P22" i="1"/>
  <c r="Q20" i="1"/>
  <c r="R20" i="1"/>
  <c r="P2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4" i="1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" i="1"/>
  <c r="R39" i="4"/>
  <c r="R40" i="4"/>
  <c r="R41" i="4"/>
  <c r="R42" i="4"/>
  <c r="R43" i="4"/>
  <c r="S39" i="4"/>
  <c r="S40" i="4"/>
  <c r="S41" i="4"/>
  <c r="S42" i="4"/>
  <c r="S43" i="4"/>
  <c r="T39" i="4"/>
  <c r="T40" i="4"/>
  <c r="T41" i="4"/>
  <c r="T42" i="4"/>
  <c r="T43" i="4"/>
  <c r="T6" i="4"/>
  <c r="T7" i="4"/>
  <c r="T8" i="4"/>
  <c r="T44" i="4" s="1"/>
  <c r="T45" i="4" s="1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5" i="4"/>
  <c r="S5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6" i="4"/>
  <c r="S7" i="4"/>
  <c r="S8" i="4"/>
  <c r="S47" i="4" s="1"/>
  <c r="S48" i="4" s="1"/>
  <c r="S9" i="4"/>
  <c r="S10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6" i="4"/>
  <c r="R7" i="4"/>
  <c r="R8" i="4"/>
  <c r="R44" i="4" s="1"/>
  <c r="R45" i="4" s="1"/>
  <c r="R9" i="4"/>
  <c r="R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" i="4"/>
  <c r="B175" i="5"/>
  <c r="S44" i="4" l="1"/>
  <c r="S45" i="4" s="1"/>
  <c r="R47" i="4"/>
  <c r="R48" i="4" s="1"/>
  <c r="T47" i="4"/>
  <c r="T48" i="4" s="1"/>
  <c r="D6" i="7" l="1"/>
  <c r="D5" i="7"/>
  <c r="J20" i="1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C16" i="2"/>
  <c r="D16" i="2" s="1"/>
  <c r="C17" i="2"/>
  <c r="A10" i="3"/>
  <c r="L5" i="4"/>
  <c r="L7" i="4"/>
  <c r="L8" i="4"/>
  <c r="L44" i="4" s="1"/>
  <c r="L9" i="4"/>
  <c r="L21" i="4"/>
  <c r="L24" i="4"/>
  <c r="L27" i="4"/>
  <c r="L28" i="4"/>
  <c r="L30" i="4"/>
  <c r="L31" i="4"/>
  <c r="L32" i="4"/>
  <c r="L33" i="4"/>
  <c r="L37" i="4"/>
  <c r="L38" i="4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" i="4"/>
  <c r="G49" i="4"/>
  <c r="G4" i="4"/>
  <c r="H4" i="4" s="1"/>
  <c r="B16" i="2"/>
  <c r="E47" i="4"/>
  <c r="E54" i="9"/>
  <c r="E53" i="9"/>
  <c r="E52" i="9"/>
  <c r="E51" i="9"/>
  <c r="D46" i="9"/>
  <c r="D47" i="9" s="1"/>
  <c r="B22" i="10"/>
  <c r="D51" i="9"/>
  <c r="C51" i="9"/>
  <c r="D21" i="10"/>
  <c r="D23" i="10" s="1"/>
  <c r="B45" i="9"/>
  <c r="C49" i="9" s="1"/>
  <c r="C50" i="9" s="1"/>
  <c r="D50" i="9" s="1"/>
  <c r="E49" i="9" s="1"/>
  <c r="C52" i="9"/>
  <c r="D22" i="10"/>
  <c r="B48" i="9"/>
  <c r="B52" i="9" s="1"/>
  <c r="F43" i="4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B176" i="5" l="1"/>
  <c r="AQ176" i="5"/>
  <c r="C18" i="2"/>
  <c r="E18" i="2" s="1"/>
  <c r="C25" i="10"/>
  <c r="C26" i="10" s="1"/>
  <c r="C27" i="10" s="1"/>
  <c r="D25" i="10" s="1"/>
  <c r="AY169" i="5"/>
  <c r="AY171" i="5" s="1"/>
  <c r="BD169" i="5"/>
  <c r="BD171" i="5" s="1"/>
  <c r="BC169" i="5"/>
  <c r="BC171" i="5" s="1"/>
  <c r="BE169" i="5"/>
  <c r="BE171" i="5" s="1"/>
  <c r="BA169" i="5"/>
  <c r="BA171" i="5" s="1"/>
  <c r="AZ169" i="5"/>
  <c r="AZ171" i="5" s="1"/>
  <c r="BF169" i="5"/>
  <c r="BF171" i="5" s="1"/>
  <c r="BB169" i="5"/>
  <c r="BB171" i="5" s="1"/>
  <c r="AX169" i="5"/>
  <c r="AX171" i="5" s="1"/>
  <c r="AW169" i="5"/>
  <c r="AW171" i="5" s="1"/>
  <c r="AV169" i="5"/>
  <c r="AV171" i="5" s="1"/>
  <c r="AU169" i="5"/>
  <c r="AU171" i="5" s="1"/>
  <c r="AT169" i="5"/>
  <c r="AT171" i="5" s="1"/>
  <c r="AS169" i="5"/>
  <c r="AS171" i="5" s="1"/>
  <c r="AR169" i="5"/>
  <c r="AR171" i="5" s="1"/>
  <c r="AQ169" i="5"/>
  <c r="AQ171" i="5" s="1"/>
  <c r="O169" i="5"/>
  <c r="O171" i="5" s="1"/>
  <c r="N169" i="5"/>
  <c r="N171" i="5" s="1"/>
  <c r="M169" i="5"/>
  <c r="M171" i="5" s="1"/>
  <c r="L169" i="5"/>
  <c r="L171" i="5" s="1"/>
  <c r="K169" i="5"/>
  <c r="K171" i="5" s="1"/>
  <c r="J169" i="5"/>
  <c r="J171" i="5" s="1"/>
  <c r="I169" i="5"/>
  <c r="I171" i="5" s="1"/>
  <c r="H169" i="5"/>
  <c r="H171" i="5" s="1"/>
  <c r="G169" i="5"/>
  <c r="G171" i="5" s="1"/>
  <c r="F169" i="5"/>
  <c r="F171" i="5" s="1"/>
  <c r="E169" i="5"/>
  <c r="E171" i="5" s="1"/>
  <c r="D169" i="5"/>
  <c r="D171" i="5" s="1"/>
  <c r="C169" i="5"/>
  <c r="C171" i="5" s="1"/>
  <c r="B169" i="5"/>
  <c r="B171" i="5" s="1"/>
  <c r="BF134" i="5"/>
  <c r="BF136" i="5" s="1"/>
  <c r="BE134" i="5"/>
  <c r="BE136" i="5" s="1"/>
  <c r="BD134" i="5"/>
  <c r="BD136" i="5" s="1"/>
  <c r="BC134" i="5"/>
  <c r="BC136" i="5" s="1"/>
  <c r="BB134" i="5"/>
  <c r="BB136" i="5" s="1"/>
  <c r="BA134" i="5"/>
  <c r="BA136" i="5" s="1"/>
  <c r="AZ134" i="5"/>
  <c r="AZ136" i="5" s="1"/>
  <c r="AY134" i="5"/>
  <c r="AY136" i="5" s="1"/>
  <c r="AX134" i="5"/>
  <c r="AX136" i="5" s="1"/>
  <c r="AW134" i="5"/>
  <c r="AW136" i="5" s="1"/>
  <c r="AV134" i="5"/>
  <c r="AV136" i="5" s="1"/>
  <c r="AU134" i="5"/>
  <c r="AU136" i="5" s="1"/>
  <c r="AT134" i="5"/>
  <c r="AT136" i="5" s="1"/>
  <c r="AS134" i="5"/>
  <c r="AS136" i="5" s="1"/>
  <c r="AR134" i="5"/>
  <c r="AR136" i="5" s="1"/>
  <c r="AQ134" i="5"/>
  <c r="AQ136" i="5" s="1"/>
  <c r="O134" i="5"/>
  <c r="O136" i="5" s="1"/>
  <c r="N134" i="5"/>
  <c r="N136" i="5" s="1"/>
  <c r="M134" i="5"/>
  <c r="M136" i="5" s="1"/>
  <c r="L134" i="5"/>
  <c r="L136" i="5" s="1"/>
  <c r="K134" i="5"/>
  <c r="K136" i="5" s="1"/>
  <c r="J134" i="5"/>
  <c r="J136" i="5" s="1"/>
  <c r="I134" i="5"/>
  <c r="I136" i="5" s="1"/>
  <c r="H134" i="5"/>
  <c r="H136" i="5" s="1"/>
  <c r="G134" i="5"/>
  <c r="G136" i="5" s="1"/>
  <c r="F134" i="5"/>
  <c r="F136" i="5" s="1"/>
  <c r="E134" i="5"/>
  <c r="E136" i="5" s="1"/>
  <c r="D134" i="5"/>
  <c r="D136" i="5" s="1"/>
  <c r="C134" i="5"/>
  <c r="C136" i="5" s="1"/>
  <c r="B134" i="5"/>
  <c r="B136" i="5" s="1"/>
  <c r="AQ172" i="5" l="1"/>
  <c r="AR172" i="5" s="1"/>
  <c r="B137" i="5"/>
  <c r="C137" i="5" s="1"/>
  <c r="B172" i="5"/>
  <c r="B177" i="5"/>
  <c r="AQ137" i="5"/>
  <c r="BG173" i="5" l="1"/>
  <c r="C172" i="5"/>
  <c r="BG174" i="5" s="1"/>
  <c r="BG175" i="5" s="1"/>
  <c r="BG138" i="5"/>
  <c r="AR137" i="5"/>
  <c r="BG139" i="5" s="1"/>
  <c r="BG140" i="5" s="1"/>
  <c r="B99" i="5"/>
  <c r="C99" i="5"/>
  <c r="C101" i="5" s="1"/>
  <c r="D99" i="5"/>
  <c r="D101" i="5" s="1"/>
  <c r="E99" i="5"/>
  <c r="E101" i="5" s="1"/>
  <c r="F99" i="5"/>
  <c r="F101" i="5" s="1"/>
  <c r="P99" i="5"/>
  <c r="P173" i="5" s="1"/>
  <c r="Q99" i="5"/>
  <c r="Q173" i="5" s="1"/>
  <c r="R99" i="5"/>
  <c r="R173" i="5" s="1"/>
  <c r="S99" i="5"/>
  <c r="S173" i="5" s="1"/>
  <c r="T99" i="5"/>
  <c r="T173" i="5" s="1"/>
  <c r="U99" i="5"/>
  <c r="U173" i="5" s="1"/>
  <c r="V99" i="5"/>
  <c r="V173" i="5" s="1"/>
  <c r="W99" i="5"/>
  <c r="W173" i="5" s="1"/>
  <c r="X99" i="5"/>
  <c r="X173" i="5" s="1"/>
  <c r="Y99" i="5"/>
  <c r="Y173" i="5" s="1"/>
  <c r="Z99" i="5"/>
  <c r="Z173" i="5" s="1"/>
  <c r="AA99" i="5"/>
  <c r="AA173" i="5" s="1"/>
  <c r="AB99" i="5"/>
  <c r="AB173" i="5" s="1"/>
  <c r="AC99" i="5"/>
  <c r="AC173" i="5" s="1"/>
  <c r="AD99" i="5"/>
  <c r="AD173" i="5" s="1"/>
  <c r="AE99" i="5"/>
  <c r="AE173" i="5" s="1"/>
  <c r="AF99" i="5"/>
  <c r="AF173" i="5" s="1"/>
  <c r="AG99" i="5"/>
  <c r="AG173" i="5" s="1"/>
  <c r="AH99" i="5"/>
  <c r="AH173" i="5" s="1"/>
  <c r="AI99" i="5"/>
  <c r="AI173" i="5" s="1"/>
  <c r="AJ99" i="5"/>
  <c r="AJ173" i="5" s="1"/>
  <c r="AK99" i="5"/>
  <c r="AK173" i="5" s="1"/>
  <c r="AL99" i="5"/>
  <c r="AL173" i="5" s="1"/>
  <c r="AM99" i="5"/>
  <c r="AM173" i="5" s="1"/>
  <c r="AN99" i="5"/>
  <c r="AN173" i="5" s="1"/>
  <c r="AO99" i="5"/>
  <c r="AO173" i="5" s="1"/>
  <c r="B173" i="5" l="1"/>
  <c r="B101" i="5"/>
  <c r="AX173" i="5"/>
  <c r="AX101" i="5"/>
  <c r="AQ173" i="5"/>
  <c r="AQ101" i="5"/>
  <c r="AU173" i="5"/>
  <c r="AU101" i="5"/>
  <c r="E173" i="5"/>
  <c r="C173" i="5"/>
  <c r="F173" i="5"/>
  <c r="D173" i="5"/>
  <c r="O99" i="5"/>
  <c r="O101" i="5" s="1"/>
  <c r="N99" i="5"/>
  <c r="N101" i="5" s="1"/>
  <c r="M99" i="5"/>
  <c r="M101" i="5" s="1"/>
  <c r="L99" i="5"/>
  <c r="L101" i="5" s="1"/>
  <c r="K99" i="5"/>
  <c r="K101" i="5" s="1"/>
  <c r="J99" i="5"/>
  <c r="J101" i="5" s="1"/>
  <c r="I99" i="5"/>
  <c r="I101" i="5" s="1"/>
  <c r="H99" i="5"/>
  <c r="H101" i="5" s="1"/>
  <c r="G99" i="5"/>
  <c r="G101" i="5" s="1"/>
  <c r="AZ173" i="5" l="1"/>
  <c r="AZ101" i="5"/>
  <c r="BD173" i="5"/>
  <c r="BD101" i="5"/>
  <c r="AV173" i="5"/>
  <c r="AV101" i="5"/>
  <c r="AT173" i="5"/>
  <c r="AT101" i="5"/>
  <c r="BA173" i="5"/>
  <c r="BA101" i="5"/>
  <c r="AR173" i="5"/>
  <c r="AR101" i="5"/>
  <c r="AW173" i="5"/>
  <c r="AW101" i="5"/>
  <c r="BB173" i="5"/>
  <c r="BB101" i="5"/>
  <c r="BF173" i="5"/>
  <c r="BF101" i="5"/>
  <c r="BE173" i="5"/>
  <c r="BE101" i="5"/>
  <c r="AS173" i="5"/>
  <c r="AS101" i="5"/>
  <c r="AY173" i="5"/>
  <c r="AY101" i="5"/>
  <c r="BC173" i="5"/>
  <c r="BC101" i="5"/>
  <c r="G173" i="5"/>
  <c r="O173" i="5"/>
  <c r="H173" i="5"/>
  <c r="L173" i="5"/>
  <c r="K173" i="5"/>
  <c r="I173" i="5"/>
  <c r="M173" i="5"/>
  <c r="J173" i="5"/>
  <c r="N173" i="5"/>
  <c r="B102" i="5" l="1"/>
  <c r="C102" i="5" s="1"/>
  <c r="AQ102" i="5"/>
  <c r="BG103" i="5" l="1"/>
  <c r="AR102" i="5"/>
  <c r="BG104" i="5" s="1"/>
  <c r="BG105" i="5" s="1"/>
  <c r="AR66" i="5" l="1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AQ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B66" i="5"/>
  <c r="BF65" i="5"/>
  <c r="BF68" i="5" s="1"/>
  <c r="AS65" i="5"/>
  <c r="AS68" i="5" s="1"/>
  <c r="AI65" i="5"/>
  <c r="AI68" i="5" s="1"/>
  <c r="AB65" i="5"/>
  <c r="AB68" i="5" s="1"/>
  <c r="M65" i="5"/>
  <c r="M68" i="5" s="1"/>
  <c r="K65" i="5"/>
  <c r="K68" i="5" s="1"/>
  <c r="J65" i="5"/>
  <c r="J68" i="5" s="1"/>
  <c r="D65" i="5"/>
  <c r="D68" i="5" s="1"/>
  <c r="C65" i="5"/>
  <c r="C68" i="5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4"/>
  <c r="F30" i="4"/>
  <c r="I30" i="4" s="1"/>
  <c r="G3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1" i="4"/>
  <c r="I31" i="4" s="1"/>
  <c r="F32" i="4"/>
  <c r="I32" i="4" s="1"/>
  <c r="F33" i="4"/>
  <c r="I33" i="4" s="1"/>
  <c r="F34" i="4"/>
  <c r="I34" i="4" s="1"/>
  <c r="F35" i="4"/>
  <c r="I35" i="4" s="1"/>
  <c r="F36" i="4"/>
  <c r="I36" i="4" s="1"/>
  <c r="F37" i="4"/>
  <c r="I37" i="4" s="1"/>
  <c r="F38" i="4"/>
  <c r="I38" i="4" s="1"/>
  <c r="F39" i="4"/>
  <c r="I39" i="4" s="1"/>
  <c r="F40" i="4"/>
  <c r="I40" i="4" s="1"/>
  <c r="F41" i="4"/>
  <c r="I41" i="4" s="1"/>
  <c r="F42" i="4"/>
  <c r="I42" i="4" s="1"/>
  <c r="I43" i="4"/>
  <c r="A49" i="4"/>
  <c r="A48" i="4"/>
  <c r="A11" i="3"/>
  <c r="D11" i="3" s="1"/>
  <c r="H6" i="3"/>
  <c r="I5" i="3"/>
  <c r="I4" i="3"/>
  <c r="D10" i="3"/>
  <c r="F46" i="4" l="1"/>
  <c r="I16" i="4"/>
  <c r="G44" i="4"/>
  <c r="H38" i="4"/>
  <c r="H29" i="4"/>
  <c r="H21" i="4"/>
  <c r="H13" i="4"/>
  <c r="H9" i="4"/>
  <c r="H37" i="4"/>
  <c r="H33" i="4"/>
  <c r="H28" i="4"/>
  <c r="H24" i="4"/>
  <c r="H20" i="4"/>
  <c r="H16" i="4"/>
  <c r="H12" i="4"/>
  <c r="H8" i="4"/>
  <c r="H30" i="4"/>
  <c r="H42" i="4"/>
  <c r="H25" i="4"/>
  <c r="H17" i="4"/>
  <c r="H5" i="4"/>
  <c r="H40" i="4"/>
  <c r="H36" i="4"/>
  <c r="H32" i="4"/>
  <c r="H27" i="4"/>
  <c r="H23" i="4"/>
  <c r="H19" i="4"/>
  <c r="H15" i="4"/>
  <c r="H11" i="4"/>
  <c r="H7" i="4"/>
  <c r="H34" i="4"/>
  <c r="H43" i="4"/>
  <c r="H39" i="4"/>
  <c r="H35" i="4"/>
  <c r="H31" i="4"/>
  <c r="H26" i="4"/>
  <c r="H22" i="4"/>
  <c r="H18" i="4"/>
  <c r="H10" i="4"/>
  <c r="H6" i="4"/>
  <c r="I4" i="4"/>
  <c r="H41" i="4"/>
  <c r="H14" i="4"/>
  <c r="BE65" i="5"/>
  <c r="BE68" i="5" s="1"/>
  <c r="BD65" i="5"/>
  <c r="BD68" i="5" s="1"/>
  <c r="BC65" i="5"/>
  <c r="BC68" i="5" s="1"/>
  <c r="BB65" i="5"/>
  <c r="BB68" i="5" s="1"/>
  <c r="BA65" i="5"/>
  <c r="BA68" i="5" s="1"/>
  <c r="AZ65" i="5"/>
  <c r="AZ68" i="5" s="1"/>
  <c r="AY65" i="5"/>
  <c r="AY68" i="5" s="1"/>
  <c r="AX65" i="5"/>
  <c r="AX68" i="5" s="1"/>
  <c r="AW65" i="5"/>
  <c r="AW68" i="5" s="1"/>
  <c r="AV65" i="5"/>
  <c r="AV68" i="5" s="1"/>
  <c r="AU65" i="5"/>
  <c r="AU68" i="5" s="1"/>
  <c r="AT65" i="5"/>
  <c r="AT68" i="5" s="1"/>
  <c r="AR65" i="5"/>
  <c r="AR68" i="5" s="1"/>
  <c r="AQ65" i="5"/>
  <c r="AQ68" i="5" s="1"/>
  <c r="AO65" i="5"/>
  <c r="AO68" i="5" s="1"/>
  <c r="AN65" i="5"/>
  <c r="AN68" i="5" s="1"/>
  <c r="AM65" i="5"/>
  <c r="AM68" i="5" s="1"/>
  <c r="AL65" i="5"/>
  <c r="AL68" i="5" s="1"/>
  <c r="AK65" i="5"/>
  <c r="AK68" i="5" s="1"/>
  <c r="AJ65" i="5"/>
  <c r="AJ68" i="5" s="1"/>
  <c r="AH65" i="5"/>
  <c r="AH68" i="5" s="1"/>
  <c r="AG65" i="5"/>
  <c r="AG68" i="5" s="1"/>
  <c r="AF65" i="5"/>
  <c r="AF68" i="5" s="1"/>
  <c r="AE65" i="5"/>
  <c r="AE68" i="5" s="1"/>
  <c r="AD65" i="5"/>
  <c r="AD68" i="5" s="1"/>
  <c r="AC65" i="5"/>
  <c r="AC68" i="5" s="1"/>
  <c r="AA65" i="5"/>
  <c r="AA68" i="5" s="1"/>
  <c r="Z65" i="5"/>
  <c r="Z68" i="5" s="1"/>
  <c r="Y65" i="5"/>
  <c r="Y68" i="5" s="1"/>
  <c r="X65" i="5"/>
  <c r="X68" i="5" s="1"/>
  <c r="W65" i="5"/>
  <c r="W68" i="5" s="1"/>
  <c r="V65" i="5"/>
  <c r="V68" i="5" s="1"/>
  <c r="U65" i="5"/>
  <c r="U68" i="5" s="1"/>
  <c r="T65" i="5"/>
  <c r="T68" i="5" s="1"/>
  <c r="S65" i="5"/>
  <c r="S68" i="5" s="1"/>
  <c r="R65" i="5"/>
  <c r="R68" i="5" s="1"/>
  <c r="Q65" i="5"/>
  <c r="Q68" i="5" s="1"/>
  <c r="P65" i="5"/>
  <c r="P68" i="5" s="1"/>
  <c r="O65" i="5"/>
  <c r="O68" i="5" s="1"/>
  <c r="N65" i="5"/>
  <c r="N68" i="5" s="1"/>
  <c r="L65" i="5"/>
  <c r="L68" i="5" s="1"/>
  <c r="I65" i="5"/>
  <c r="I68" i="5" s="1"/>
  <c r="H65" i="5"/>
  <c r="H68" i="5" s="1"/>
  <c r="G65" i="5"/>
  <c r="G68" i="5" s="1"/>
  <c r="F65" i="5"/>
  <c r="F68" i="5" s="1"/>
  <c r="E65" i="5"/>
  <c r="E68" i="5" s="1"/>
  <c r="B65" i="5"/>
  <c r="B68" i="5" s="1"/>
  <c r="D48" i="4"/>
  <c r="G10" i="3"/>
  <c r="BG68" i="5" l="1"/>
  <c r="BG71" i="5" s="1"/>
  <c r="BG72" i="5" s="1"/>
  <c r="BG73" i="5" s="1"/>
  <c r="BG74" i="5" s="1"/>
  <c r="BG69" i="5"/>
  <c r="BG70" i="5" s="1"/>
  <c r="H46" i="4"/>
  <c r="F22" i="2"/>
  <c r="C26" i="2"/>
  <c r="B26" i="2"/>
  <c r="B17" i="2"/>
  <c r="B18" i="2" s="1"/>
  <c r="C9" i="2"/>
  <c r="B9" i="2"/>
  <c r="C8" i="2"/>
  <c r="B8" i="2"/>
  <c r="D7" i="2"/>
  <c r="C7" i="2"/>
  <c r="D24" i="2" s="1"/>
  <c r="B7" i="2"/>
  <c r="B10" i="2" l="1"/>
  <c r="C10" i="2"/>
  <c r="C11" i="2" s="1"/>
  <c r="C12" i="2" s="1"/>
  <c r="D22" i="2"/>
  <c r="F4" i="2"/>
  <c r="F5" i="2" s="1"/>
  <c r="E13" i="2"/>
  <c r="D18" i="2"/>
  <c r="D23" i="2"/>
  <c r="D28" i="2"/>
  <c r="F18" i="2"/>
  <c r="C27" i="2"/>
  <c r="C29" i="2" s="1"/>
  <c r="D29" i="2" s="1"/>
  <c r="B27" i="2"/>
  <c r="B29" i="2" s="1"/>
  <c r="B11" i="2"/>
  <c r="B12" i="2" s="1"/>
  <c r="B13" i="2" s="1"/>
  <c r="D26" i="2"/>
  <c r="D21" i="2"/>
  <c r="D25" i="2"/>
  <c r="C13" i="2" l="1"/>
  <c r="C30" i="2" s="1"/>
  <c r="D30" i="2" s="1"/>
  <c r="D27" i="2"/>
  <c r="F20" i="2"/>
  <c r="F21" i="2" s="1"/>
  <c r="B30" i="2"/>
  <c r="G4" i="1" l="1"/>
  <c r="F4" i="1"/>
  <c r="F21" i="1" s="1"/>
  <c r="F22" i="1" s="1"/>
  <c r="F25" i="1" s="1"/>
</calcChain>
</file>

<file path=xl/sharedStrings.xml><?xml version="1.0" encoding="utf-8"?>
<sst xmlns="http://schemas.openxmlformats.org/spreadsheetml/2006/main" count="480" uniqueCount="278">
  <si>
    <t>ABC Restaurant</t>
  </si>
  <si>
    <t>April- June</t>
  </si>
  <si>
    <t>Months of April- June 2021</t>
  </si>
  <si>
    <t>Budgeted</t>
  </si>
  <si>
    <t>Actual</t>
  </si>
  <si>
    <t>%</t>
  </si>
  <si>
    <t xml:space="preserve">Net Sale </t>
  </si>
  <si>
    <t>Less GST</t>
  </si>
  <si>
    <t>5% (GST on Food)</t>
  </si>
  <si>
    <t>On Food</t>
  </si>
  <si>
    <t>Less VAT</t>
  </si>
  <si>
    <t>5% (VAT on Bev)</t>
  </si>
  <si>
    <t>On Bev</t>
  </si>
  <si>
    <t>Sale after GST &amp; VAT</t>
  </si>
  <si>
    <t>Less Service Charge</t>
  </si>
  <si>
    <t>Net Sale</t>
  </si>
  <si>
    <t>Total Income</t>
  </si>
  <si>
    <t>COGS</t>
  </si>
  <si>
    <t>Operating Expenses</t>
  </si>
  <si>
    <t>Salary</t>
  </si>
  <si>
    <t>Rent</t>
  </si>
  <si>
    <t>Marketing</t>
  </si>
  <si>
    <t>Maintenance</t>
  </si>
  <si>
    <t>Miscellaneous</t>
  </si>
  <si>
    <t>Corporate Overheads</t>
  </si>
  <si>
    <t>Overall Expenses</t>
  </si>
  <si>
    <t>Total Sales for 3 months = Around 300000</t>
  </si>
  <si>
    <t>Rent of 3 months =</t>
  </si>
  <si>
    <t>Period</t>
  </si>
  <si>
    <t>Opening Inventory</t>
  </si>
  <si>
    <t>New Purchase</t>
  </si>
  <si>
    <t>Closing Inventory</t>
  </si>
  <si>
    <t>Total Sale Net</t>
  </si>
  <si>
    <t>Opening Inventory + New purchase - Closing Inventory</t>
  </si>
  <si>
    <t>*100</t>
  </si>
  <si>
    <t xml:space="preserve">Total Sale </t>
  </si>
  <si>
    <t>Final Cost</t>
  </si>
  <si>
    <t>Dish Name</t>
  </si>
  <si>
    <t>Qty Sold</t>
  </si>
  <si>
    <t>Menu Price</t>
  </si>
  <si>
    <t>Spoilage Amount</t>
  </si>
  <si>
    <t>Maggie</t>
  </si>
  <si>
    <t>Egg Bhujia</t>
  </si>
  <si>
    <t>Chicken Kabab</t>
  </si>
  <si>
    <t>Veg Burger</t>
  </si>
  <si>
    <t>Aloo Tikki Chat</t>
  </si>
  <si>
    <t xml:space="preserve">Masala Dosa </t>
  </si>
  <si>
    <t>Veg Chowmine</t>
  </si>
  <si>
    <t>Pani Puri</t>
  </si>
  <si>
    <t>Aloo Puri</t>
  </si>
  <si>
    <t>Veg Country Pizza</t>
  </si>
  <si>
    <t>Dish Cost * Quantity sold + Spoilage</t>
  </si>
  <si>
    <t>Period of 2 months to show incurred loses on Veg Items Sold.</t>
  </si>
  <si>
    <t>1/4/2021 - 31/5/21 (April-May)</t>
  </si>
  <si>
    <t xml:space="preserve"> Total Sales (Revenue) of 3 months =</t>
  </si>
  <si>
    <t>(approx)</t>
  </si>
  <si>
    <t>Total Sales (Revenue) of 1 month=</t>
  </si>
  <si>
    <t>For 2 months , Sales =</t>
  </si>
  <si>
    <t>Final Food Cost should be between 25-30% for a QSR ( Quick Service Restaurant)/ Fast Food Restaurant.</t>
  </si>
  <si>
    <t>If food cost is greater than 30%, then Portion size &amp; Excess Wastage could be the reason.</t>
  </si>
  <si>
    <t>if food cost is much less than 30%, then Portion size is very less.</t>
  </si>
  <si>
    <t>Formulae :</t>
  </si>
  <si>
    <r>
      <rPr>
        <b/>
        <u/>
        <sz val="11"/>
        <color theme="1"/>
        <rFont val="Calibri"/>
        <family val="2"/>
        <scheme val="minor"/>
      </rPr>
      <t>COGS(cost of goods sold)</t>
    </r>
    <r>
      <rPr>
        <b/>
        <sz val="11"/>
        <color theme="1"/>
        <rFont val="Calibri"/>
        <family val="2"/>
        <scheme val="minor"/>
      </rPr>
      <t xml:space="preserve">
COGS=Beginning Inventory+P−Ending Inventory
where
P=Purchases during the period
</t>
    </r>
  </si>
  <si>
    <t>Total Food Cost Percentage =          (Total Cost of Goods Sold/ Total Revenue)x100</t>
  </si>
  <si>
    <t>Gross profit = Revenue – Cost of goods sold (COGS)</t>
  </si>
  <si>
    <t>1/4/2021 - 31/5/21 (2 months)</t>
  </si>
  <si>
    <t>Comment :</t>
  </si>
  <si>
    <t>EBITDA, or earnings before interest, taxes, depreciation, and amortization</t>
  </si>
  <si>
    <t>Total Expenses (total opex + COGS)</t>
  </si>
  <si>
    <t>Total Operating Expenses (opex)</t>
  </si>
  <si>
    <t>Restaurant EBITDA / Net Profit</t>
  </si>
  <si>
    <t>Aloo paratha</t>
  </si>
  <si>
    <t>Paneer paratha</t>
  </si>
  <si>
    <t>Onion paratha</t>
  </si>
  <si>
    <t>Gobi paratha</t>
  </si>
  <si>
    <t>Maggi Omelette Noodles</t>
  </si>
  <si>
    <t>Omlets with Bread Toast</t>
  </si>
  <si>
    <t>Mushroom Chilli</t>
  </si>
  <si>
    <t>Paneer Tikka</t>
  </si>
  <si>
    <t>Chicken Tikka</t>
  </si>
  <si>
    <t>Veg Grill Sandwich</t>
  </si>
  <si>
    <t>Paneer Grill Sandwich</t>
  </si>
  <si>
    <t>Chicken Roll</t>
  </si>
  <si>
    <t>Egg Roll</t>
  </si>
  <si>
    <t>Paneer Roll</t>
  </si>
  <si>
    <t>Chicken Grill Sandwich</t>
  </si>
  <si>
    <t>Barbequed Chicken Pizza</t>
  </si>
  <si>
    <t>Hyderabadi Mutton Biryani</t>
  </si>
  <si>
    <t>Shahi Paneer Masala</t>
  </si>
  <si>
    <t>Veg Hawaiian Pizza</t>
  </si>
  <si>
    <t>Chicken 65 Dry</t>
  </si>
  <si>
    <t>Egg Manchurian</t>
  </si>
  <si>
    <t>Paneer Manchurian</t>
  </si>
  <si>
    <t>Butter Roti</t>
  </si>
  <si>
    <t>Kulcha Naan</t>
  </si>
  <si>
    <t>Parotta</t>
  </si>
  <si>
    <t>Plain Roti</t>
  </si>
  <si>
    <t>Veg Biryani</t>
  </si>
  <si>
    <t>Chicken Biryani</t>
  </si>
  <si>
    <t>Final Cost Example</t>
  </si>
  <si>
    <t>Items having Food cost &lt;= 30%</t>
  </si>
  <si>
    <t>Menu Price * Quantity sold</t>
  </si>
  <si>
    <t>Contribution Margin =(S.P-C.P)</t>
  </si>
  <si>
    <t>Comments :</t>
  </si>
  <si>
    <t>Tawa chicken roll</t>
  </si>
  <si>
    <t xml:space="preserve"> Veg Paneer Pizza</t>
  </si>
  <si>
    <t>Cost Per Serving</t>
  </si>
  <si>
    <t>Food Cost %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</si>
  <si>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</si>
  <si>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</si>
  <si>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</si>
  <si>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</si>
  <si>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</si>
  <si>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</si>
  <si>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</si>
  <si>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</si>
  <si>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</si>
  <si>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</si>
  <si>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</si>
  <si>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</si>
  <si>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</si>
  <si>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BEVERAGE</t>
  </si>
  <si>
    <t>Cost per serving</t>
  </si>
  <si>
    <t>Comments:</t>
  </si>
  <si>
    <t>Mini Falooda</t>
  </si>
  <si>
    <t>Royal Falooda</t>
  </si>
  <si>
    <t>Arabian Falooda</t>
  </si>
  <si>
    <t>Kulfi Falooda</t>
  </si>
  <si>
    <t>Rose Falooda</t>
  </si>
  <si>
    <t>Black Currant Tea Soda</t>
  </si>
  <si>
    <t>Serial Kiwi Soda</t>
  </si>
  <si>
    <t>Cream Berry Soda</t>
  </si>
  <si>
    <t>Strawberry Tea Soda</t>
  </si>
  <si>
    <t>Ginger Pineapple Punch</t>
  </si>
  <si>
    <t>Fruit Punch</t>
  </si>
  <si>
    <t>Mirchi Citrus</t>
  </si>
  <si>
    <t>Ginger Cooler</t>
  </si>
  <si>
    <t>Mint Soda</t>
  </si>
  <si>
    <t>Pink Mango</t>
  </si>
  <si>
    <t>Sunrise Delight</t>
  </si>
  <si>
    <t>where A= Food Cost % of Food items</t>
  </si>
  <si>
    <t>B= Food Cost % of Beverages</t>
  </si>
  <si>
    <t>Ideally we are targetting the overall average of COGS to be under 30% for the restaurant to be in profit.</t>
  </si>
  <si>
    <t>Required COGS% (Final Cost%) of Beverages =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</si>
  <si>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</si>
  <si>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</si>
  <si>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</si>
  <si>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</si>
  <si>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</si>
  <si>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</si>
  <si>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</si>
  <si>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</si>
  <si>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</si>
  <si>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</si>
  <si>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</si>
  <si>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</si>
  <si>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</si>
  <si>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</si>
  <si>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</si>
  <si>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</si>
  <si>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</si>
  <si>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</si>
  <si>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</si>
  <si>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</si>
  <si>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</si>
  <si>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</si>
  <si>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</si>
  <si>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</si>
  <si>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</si>
  <si>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</si>
  <si>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</si>
  <si>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</si>
  <si>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Masala Dosa</t>
  </si>
  <si>
    <t>Veg Paneer Pizza</t>
  </si>
  <si>
    <t>ABC RESTAURANT DAILY SALES - BEVERAGES</t>
  </si>
  <si>
    <t>ABC RESTAURANT DAILY SALES - FOOD ITEMS</t>
  </si>
  <si>
    <t>Total Qty Sold</t>
  </si>
  <si>
    <t xml:space="preserve">MENU ITEMS/                                                                     MONTHS              </t>
  </si>
  <si>
    <r>
      <rPr>
        <b/>
        <i/>
        <u/>
        <sz val="12"/>
        <color theme="1"/>
        <rFont val="Calibri"/>
        <family val="2"/>
        <scheme val="minor"/>
      </rPr>
      <t>AUGUST</t>
    </r>
    <r>
      <rPr>
        <sz val="11"/>
        <color theme="1"/>
        <rFont val="Calibri"/>
        <family val="2"/>
        <scheme val="minor"/>
      </rPr>
      <t xml:space="preserve">   01/08/2021</t>
    </r>
  </si>
  <si>
    <r>
      <rPr>
        <b/>
        <i/>
        <u/>
        <sz val="12"/>
        <color theme="1"/>
        <rFont val="Calibri"/>
        <family val="2"/>
        <scheme val="minor"/>
      </rPr>
      <t xml:space="preserve">JULY </t>
    </r>
    <r>
      <rPr>
        <sz val="11"/>
        <color theme="1"/>
        <rFont val="Calibri"/>
        <family val="2"/>
        <scheme val="minor"/>
      </rPr>
      <t xml:space="preserve">       01/07/2021</t>
    </r>
  </si>
  <si>
    <r>
      <t xml:space="preserve"> </t>
    </r>
    <r>
      <rPr>
        <b/>
        <i/>
        <u/>
        <sz val="11"/>
        <color theme="1"/>
        <rFont val="Calibri"/>
        <family val="2"/>
        <scheme val="minor"/>
      </rPr>
      <t>JUNE</t>
    </r>
    <r>
      <rPr>
        <sz val="11"/>
        <color theme="1"/>
        <rFont val="Calibri"/>
        <family val="2"/>
        <scheme val="minor"/>
      </rPr>
      <t xml:space="preserve">          01/06/2021</t>
    </r>
  </si>
  <si>
    <r>
      <rPr>
        <b/>
        <i/>
        <u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          01/05/2021</t>
    </r>
  </si>
  <si>
    <r>
      <rPr>
        <b/>
        <i/>
        <u/>
        <sz val="11"/>
        <color theme="1"/>
        <rFont val="Calibri"/>
        <family val="2"/>
        <scheme val="minor"/>
      </rPr>
      <t>APRIL</t>
    </r>
    <r>
      <rPr>
        <sz val="11"/>
        <color theme="1"/>
        <rFont val="Calibri"/>
        <family val="2"/>
        <scheme val="minor"/>
      </rPr>
      <t xml:space="preserve">         01/04/2021</t>
    </r>
  </si>
  <si>
    <t>Average Sales</t>
  </si>
  <si>
    <t>SUM</t>
  </si>
  <si>
    <t>Row Labels</t>
  </si>
  <si>
    <t>Grand Total</t>
  </si>
  <si>
    <t>Sum of Food Cost %</t>
  </si>
  <si>
    <t>Sum of Qty Sold</t>
  </si>
  <si>
    <t>Sum of Cost Per Serving</t>
  </si>
  <si>
    <t>Sum of Cost per serving</t>
  </si>
  <si>
    <t>BEVERAGES PIVOT TABLE &amp; CHART</t>
  </si>
  <si>
    <t>=COGS</t>
  </si>
  <si>
    <t>=REVENUE</t>
  </si>
  <si>
    <t>=% Gross Profit Margin of Beverages (for 2 Months)</t>
  </si>
  <si>
    <t>=%Gross Profit of Food Items (for 2 Months)</t>
  </si>
  <si>
    <t>=---------do--------</t>
  </si>
  <si>
    <t>=sales for 2 months</t>
  </si>
  <si>
    <t>=COGS of 2 months (Food + Beverage)</t>
  </si>
  <si>
    <t>=cogs % for 2 months</t>
  </si>
  <si>
    <t>=gross profit % for 2 months</t>
  </si>
  <si>
    <t xml:space="preserve">ideal case % </t>
  </si>
  <si>
    <t>= Average Contribution Margin by Food Items</t>
  </si>
  <si>
    <t>=Average Food Cost % of Food Items</t>
  </si>
  <si>
    <t>=201153</t>
  </si>
  <si>
    <t>= 18.66 (approx)</t>
  </si>
  <si>
    <t>= Overall Food Cost %</t>
  </si>
  <si>
    <t>= 36% (approx)</t>
  </si>
  <si>
    <r>
      <t>=(A+B)/2  =30(Overall</t>
    </r>
    <r>
      <rPr>
        <b/>
        <sz val="11"/>
        <color theme="1"/>
        <rFont val="Calibri"/>
        <family val="2"/>
        <scheme val="minor"/>
      </rPr>
      <t xml:space="preserve"> IDEAL</t>
    </r>
    <r>
      <rPr>
        <sz val="11"/>
        <color theme="1"/>
        <rFont val="Calibri"/>
        <family val="2"/>
        <scheme val="minor"/>
      </rPr>
      <t xml:space="preserve"> average Food Cost %)*2-(53.33)</t>
    </r>
  </si>
  <si>
    <t>In Order to manage the Overall COGS% &lt;=30% , Either the COGS of Food items need to be contained under 30% or the COGS of Beverage need to be cut down to 6.66% of Revenue.</t>
  </si>
  <si>
    <r>
      <rPr>
        <sz val="11"/>
        <rFont val="Calibri"/>
        <family val="2"/>
        <scheme val="minor"/>
      </rPr>
      <t>=This should be the Food Cost % for Beverages to achieve the ideal 30% COGS overall.</t>
    </r>
  </si>
  <si>
    <t xml:space="preserve"> Contribution Margin %</t>
  </si>
  <si>
    <t>= Average C.M.</t>
  </si>
  <si>
    <t xml:space="preserve">The Contibution Margin could be higher for a food item that has a high Food cost % ;                             e.g. Parotta in this case has a C.M. &gt; than average C.M.  </t>
  </si>
  <si>
    <t>SUM FOR 3 MONTHS (JUNE, JULY, AUGUST)</t>
  </si>
  <si>
    <t>Sum of Qty Sold for 3 months( June, July, August)</t>
  </si>
  <si>
    <t>Food Cost % for 3 months (June, July, August)</t>
  </si>
  <si>
    <t>Spoilage of 3 months (approx)</t>
  </si>
  <si>
    <t>Spoilage for 3 months (approx)</t>
  </si>
  <si>
    <t>FOOD COST% (for 3 months; June, July, Aug)</t>
  </si>
  <si>
    <t>Gross Profit %(3 months)</t>
  </si>
  <si>
    <t>=Overall for 3 months(for this table) ; as given in Case Study (around 1 lac)</t>
  </si>
  <si>
    <t>projected average %</t>
  </si>
  <si>
    <t>CALCULATION OF GROSS PROFIT FOR THE MONTHS JUNE-AUG 2021 (3 MONTHS)</t>
  </si>
  <si>
    <t>Average Gross Profit %</t>
  </si>
  <si>
    <t>Total Average G.P%</t>
  </si>
  <si>
    <t>(28.19% + 18.72 %)/2 =</t>
  </si>
  <si>
    <t>COMMENTS:</t>
  </si>
  <si>
    <t>TOTAL COGS%                                                                =</t>
  </si>
  <si>
    <t xml:space="preserve">GROSS PROFIT %                                                            = </t>
  </si>
  <si>
    <t xml:space="preserve"> = AVERAGE GROSS PROFIT % FOR 3 MONTHS</t>
  </si>
  <si>
    <t xml:space="preserve"> = AVERAGE COGS % OF FOOD AND BEVERAGES FOR 3 MONTHS</t>
  </si>
  <si>
    <t>Sales</t>
  </si>
  <si>
    <t>Cost/ serving</t>
  </si>
  <si>
    <t xml:space="preserve"> </t>
  </si>
  <si>
    <t>Cost/ Serving of Food Items Sold since June</t>
  </si>
  <si>
    <t>Sales of June</t>
  </si>
  <si>
    <t xml:space="preserve">TOTAL SALES OF JUNE (FOOD + BEVERAGE)= </t>
  </si>
  <si>
    <t>Total Food Sales of June</t>
  </si>
  <si>
    <t>Sales of July</t>
  </si>
  <si>
    <t>Total Food Sales of July</t>
  </si>
  <si>
    <t xml:space="preserve">TOTAL SALES OF JULY (FOOD + BEVERAGE)= </t>
  </si>
  <si>
    <t>Sales of August</t>
  </si>
  <si>
    <t>Total Food Sales of August</t>
  </si>
  <si>
    <t>Cost/Serving</t>
  </si>
  <si>
    <t>Total Sales of Beverages for Aug</t>
  </si>
  <si>
    <t>TOTAL SALES OF AUGUST ( FOOD + BEVERAGE)=</t>
  </si>
  <si>
    <t>COGS% (JUNE)</t>
  </si>
  <si>
    <t>Spoilage/ month</t>
  </si>
  <si>
    <t>COGS% (JULY)</t>
  </si>
  <si>
    <t>COGS% (AUG)</t>
  </si>
  <si>
    <t>=Sales after GST (5% on Food)+ VAT ( 5% on Bevrage)</t>
  </si>
  <si>
    <t>=Sales after Service tax (10%)</t>
  </si>
  <si>
    <t>Total Sold Qty of June</t>
  </si>
  <si>
    <t>Total Sold Qty of July</t>
  </si>
  <si>
    <t>Total Sold Qty of August</t>
  </si>
  <si>
    <t>Average per month COGS%=</t>
  </si>
  <si>
    <t>Average COGS% (Food+Beverage) for June=</t>
  </si>
  <si>
    <t>Average COGS% (Food+ Bev) for July=</t>
  </si>
  <si>
    <t>Average COGS% (Food+Bev)for Aug=</t>
  </si>
  <si>
    <t>Cost/serving</t>
  </si>
  <si>
    <t>=Total sales bev</t>
  </si>
  <si>
    <t>=Total sales food</t>
  </si>
  <si>
    <t>=after 5% GST</t>
  </si>
  <si>
    <t>=after 5% VAT</t>
  </si>
  <si>
    <t>=sum of both</t>
  </si>
  <si>
    <t>=after 10% service tax</t>
  </si>
  <si>
    <t>=of one month</t>
  </si>
  <si>
    <t>High Gross Profit is not indicative of a high Net Profit Margin.</t>
  </si>
  <si>
    <t>Time of operation : approx 11 Am-10:30 Pm
Parameters for star ratings: Ambience,Service, food, value for money</t>
  </si>
  <si>
    <t>Some indicative factors for a good restaurant business :</t>
  </si>
  <si>
    <t>Food (COGS)</t>
  </si>
  <si>
    <t>Beverage (COGS)</t>
  </si>
  <si>
    <t>COGS  (Total)</t>
  </si>
  <si>
    <t>Food Sales</t>
  </si>
  <si>
    <t>Beverage Sales</t>
  </si>
  <si>
    <t>Delivery Sales</t>
  </si>
  <si>
    <t>Sum of Contribution Margin =(S.P-C.P)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</si>
</sst>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_(&quot;$&quot;* #,##0.00_);_(&quot;$&quot;* \(#,##0.00\);_(&quot;$&quot;* &quot;-&quot;??_);_(@_)"/>
    <numFmt numFmtId="167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theme="1"/>
      <name val="Segoe UI"/>
      <family val="2"/>
    </font>
    <font>
      <b/>
      <sz val="12"/>
      <color theme="1"/>
      <name val="Bahnschrift Light SemiCondensed"/>
      <family val="2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0"/>
      <color theme="2"/>
      <name val="Calibri"/>
      <family val="2"/>
      <scheme val="minor"/>
    </font>
    <font>
      <sz val="60"/>
      <color theme="0"/>
      <name val="Calibri Light"/>
      <family val="2"/>
      <scheme val="maj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2" fillId="15" borderId="12" applyNumberFormat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18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5" borderId="0">
      <alignment vertical="center"/>
    </xf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8" fillId="25" borderId="0" applyNumberFormat="0" applyAlignment="0" applyProtection="0"/>
    <xf numFmtId="0" fontId="20" fillId="25" borderId="0" applyNumberFormat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3" fillId="28" borderId="0" applyNumberFormat="0" applyBorder="0" applyAlignment="0" applyProtection="0"/>
  </cellStyleXfs>
  <cellXfs count="266">
    <xf numFmtId="0" fontId="0" fillId="0" borderId="0" xfId="0"/>
    <xf numFmtId="0" fontId="4" fillId="0" borderId="0" xfId="0" applyFont="1"/>
    <xf numFmtId="16" fontId="5" fillId="7" borderId="4" xfId="0" applyNumberFormat="1" applyFont="1" applyFill="1" applyBorder="1" applyAlignment="1">
      <alignment horizontal="center"/>
    </xf>
    <xf numFmtId="0" fontId="5" fillId="0" borderId="0" xfId="0" applyFont="1"/>
    <xf numFmtId="0" fontId="5" fillId="7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Border="1" applyAlignment="1">
      <alignment horizontal="center"/>
    </xf>
    <xf numFmtId="0" fontId="6" fillId="8" borderId="4" xfId="0" applyFont="1" applyFill="1" applyBorder="1"/>
    <xf numFmtId="164" fontId="6" fillId="8" borderId="4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7" borderId="4" xfId="0" applyFont="1" applyFill="1" applyBorder="1"/>
    <xf numFmtId="0" fontId="4" fillId="7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5" fillId="9" borderId="4" xfId="0" applyFont="1" applyFill="1" applyBorder="1"/>
    <xf numFmtId="164" fontId="5" fillId="9" borderId="4" xfId="0" applyNumberFormat="1" applyFont="1" applyFill="1" applyBorder="1" applyAlignment="1">
      <alignment horizontal="center"/>
    </xf>
    <xf numFmtId="2" fontId="5" fillId="9" borderId="4" xfId="0" applyNumberFormat="1" applyFont="1" applyFill="1" applyBorder="1" applyAlignment="1">
      <alignment horizontal="center"/>
    </xf>
    <xf numFmtId="10" fontId="6" fillId="9" borderId="4" xfId="0" applyNumberFormat="1" applyFont="1" applyFill="1" applyBorder="1" applyAlignment="1">
      <alignment horizontal="center"/>
    </xf>
    <xf numFmtId="2" fontId="4" fillId="0" borderId="0" xfId="0" applyNumberFormat="1" applyFont="1"/>
    <xf numFmtId="0" fontId="0" fillId="0" borderId="4" xfId="0" applyBorder="1"/>
    <xf numFmtId="0" fontId="2" fillId="11" borderId="4" xfId="0" applyFont="1" applyFill="1" applyBorder="1"/>
    <xf numFmtId="0" fontId="2" fillId="11" borderId="4" xfId="0" applyFont="1" applyFill="1" applyBorder="1" applyAlignment="1">
      <alignment horizontal="right"/>
    </xf>
    <xf numFmtId="0" fontId="5" fillId="0" borderId="8" xfId="0" applyFont="1" applyBorder="1"/>
    <xf numFmtId="0" fontId="0" fillId="0" borderId="8" xfId="0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2"/>
    <xf numFmtId="0" fontId="1" fillId="5" borderId="0" xfId="4"/>
    <xf numFmtId="0" fontId="1" fillId="13" borderId="0" xfId="3" applyFill="1"/>
    <xf numFmtId="0" fontId="2" fillId="2" borderId="0" xfId="1" applyFont="1" applyAlignment="1">
      <alignment horizontal="left" vertical="center" wrapText="1"/>
    </xf>
    <xf numFmtId="0" fontId="2" fillId="2" borderId="0" xfId="1" applyFont="1" applyAlignment="1">
      <alignment horizontal="center" vertical="center" wrapText="1"/>
    </xf>
    <xf numFmtId="0" fontId="10" fillId="5" borderId="0" xfId="4" applyFont="1"/>
    <xf numFmtId="0" fontId="10" fillId="5" borderId="0" xfId="4" applyFont="1" applyAlignment="1">
      <alignment horizontal="center"/>
    </xf>
    <xf numFmtId="0" fontId="5" fillId="0" borderId="4" xfId="0" applyFont="1" applyBorder="1" applyAlignment="1">
      <alignment wrapText="1"/>
    </xf>
    <xf numFmtId="0" fontId="0" fillId="0" borderId="0" xfId="0" applyAlignment="1">
      <alignment horizontal="center" wrapText="1"/>
    </xf>
    <xf numFmtId="0" fontId="1" fillId="14" borderId="0" xfId="5"/>
    <xf numFmtId="0" fontId="0" fillId="10" borderId="0" xfId="0" applyFill="1"/>
    <xf numFmtId="0" fontId="0" fillId="10" borderId="0" xfId="0" applyFill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2" fillId="11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4" borderId="4" xfId="5" applyFont="1" applyBorder="1" applyAlignment="1">
      <alignment horizontal="center" vertical="center" wrapText="1"/>
    </xf>
    <xf numFmtId="0" fontId="1" fillId="14" borderId="0" xfId="5" applyAlignment="1">
      <alignment vertical="center"/>
    </xf>
    <xf numFmtId="0" fontId="1" fillId="5" borderId="0" xfId="4" applyAlignment="1">
      <alignment horizontal="center" wrapText="1"/>
    </xf>
    <xf numFmtId="0" fontId="14" fillId="5" borderId="0" xfId="4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4" xfId="0" applyBorder="1" applyAlignment="1">
      <alignment wrapText="1"/>
    </xf>
    <xf numFmtId="0" fontId="2" fillId="14" borderId="0" xfId="5" applyFont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13" borderId="0" xfId="0" applyFill="1" applyAlignment="1">
      <alignment horizontal="center" wrapText="1"/>
    </xf>
    <xf numFmtId="0" fontId="0" fillId="13" borderId="0" xfId="0" applyFill="1"/>
    <xf numFmtId="0" fontId="0" fillId="13" borderId="0" xfId="0" applyFill="1" applyAlignment="1">
      <alignment wrapText="1"/>
    </xf>
    <xf numFmtId="0" fontId="0" fillId="13" borderId="0" xfId="0" applyFill="1" applyAlignment="1">
      <alignment vertical="center"/>
    </xf>
    <xf numFmtId="0" fontId="1" fillId="13" borderId="0" xfId="4" applyFill="1"/>
    <xf numFmtId="0" fontId="1" fillId="13" borderId="0" xfId="1" applyFill="1"/>
    <xf numFmtId="0" fontId="0" fillId="13" borderId="0" xfId="0" applyFill="1" applyAlignment="1">
      <alignment horizontal="left" wrapText="1"/>
    </xf>
    <xf numFmtId="0" fontId="1" fillId="14" borderId="0" xfId="5" applyAlignment="1">
      <alignment horizontal="center" wrapText="1"/>
    </xf>
    <xf numFmtId="0" fontId="0" fillId="13" borderId="4" xfId="0" applyFill="1" applyBorder="1" applyAlignment="1">
      <alignment wrapText="1"/>
    </xf>
    <xf numFmtId="0" fontId="0" fillId="13" borderId="4" xfId="0" applyFill="1" applyBorder="1"/>
    <xf numFmtId="0" fontId="0" fillId="13" borderId="1" xfId="0" applyFill="1" applyBorder="1"/>
    <xf numFmtId="0" fontId="0" fillId="13" borderId="4" xfId="0" applyFill="1" applyBorder="1" applyAlignment="1">
      <alignment horizontal="center" wrapText="1"/>
    </xf>
    <xf numFmtId="0" fontId="0" fillId="13" borderId="15" xfId="0" applyFill="1" applyBorder="1" applyAlignment="1">
      <alignment horizontal="center" wrapText="1"/>
    </xf>
    <xf numFmtId="0" fontId="0" fillId="13" borderId="3" xfId="0" quotePrefix="1" applyFill="1" applyBorder="1" applyAlignment="1">
      <alignment horizontal="center" wrapText="1"/>
    </xf>
    <xf numFmtId="0" fontId="0" fillId="13" borderId="16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3" borderId="0" xfId="0" applyFill="1" applyAlignment="1">
      <alignment horizontal="center"/>
    </xf>
    <xf numFmtId="0" fontId="5" fillId="2" borderId="4" xfId="1" applyFont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2" fillId="19" borderId="16" xfId="10" quotePrefix="1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" fillId="17" borderId="0" xfId="8"/>
    <xf numFmtId="0" fontId="13" fillId="16" borderId="0" xfId="7"/>
    <xf numFmtId="0" fontId="16" fillId="17" borderId="0" xfId="8" applyFont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" fillId="13" borderId="0" xfId="8" applyFill="1"/>
    <xf numFmtId="0" fontId="13" fillId="13" borderId="0" xfId="7" applyFill="1"/>
    <xf numFmtId="0" fontId="16" fillId="13" borderId="0" xfId="8" applyFont="1" applyFill="1" applyAlignment="1">
      <alignment horizontal="center" vertical="center" wrapText="1"/>
    </xf>
    <xf numFmtId="1" fontId="0" fillId="0" borderId="0" xfId="0" applyNumberFormat="1"/>
    <xf numFmtId="1" fontId="1" fillId="17" borderId="0" xfId="8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17" xfId="0" applyNumberFormat="1" applyBorder="1" applyAlignment="1">
      <alignment horizontal="right"/>
    </xf>
    <xf numFmtId="0" fontId="0" fillId="13" borderId="0" xfId="0" applyFill="1" applyAlignment="1">
      <alignment horizontal="right"/>
    </xf>
    <xf numFmtId="14" fontId="1" fillId="13" borderId="0" xfId="8" applyNumberFormat="1" applyFill="1"/>
    <xf numFmtId="1" fontId="1" fillId="3" borderId="0" xfId="2" applyNumberFormat="1" applyAlignment="1">
      <alignment horizontal="right"/>
    </xf>
    <xf numFmtId="1" fontId="1" fillId="3" borderId="0" xfId="2" applyNumberFormat="1"/>
    <xf numFmtId="14" fontId="1" fillId="3" borderId="0" xfId="2" applyNumberFormat="1"/>
    <xf numFmtId="14" fontId="0" fillId="3" borderId="0" xfId="2" applyNumberFormat="1" applyFont="1" applyAlignment="1">
      <alignment horizontal="right"/>
    </xf>
    <xf numFmtId="14" fontId="0" fillId="3" borderId="0" xfId="2" applyNumberFormat="1" applyFont="1" applyAlignment="1">
      <alignment horizontal="center"/>
    </xf>
    <xf numFmtId="0" fontId="1" fillId="13" borderId="0" xfId="2" applyFill="1"/>
    <xf numFmtId="1" fontId="12" fillId="15" borderId="12" xfId="6" applyNumberFormat="1" applyAlignment="1">
      <alignment horizontal="right"/>
    </xf>
    <xf numFmtId="1" fontId="12" fillId="15" borderId="12" xfId="6" applyNumberFormat="1" applyAlignment="1">
      <alignment horizontal="center"/>
    </xf>
    <xf numFmtId="14" fontId="19" fillId="15" borderId="12" xfId="6" applyNumberFormat="1" applyFont="1" applyAlignment="1">
      <alignment horizontal="center"/>
    </xf>
    <xf numFmtId="1" fontId="12" fillId="13" borderId="12" xfId="6" applyNumberFormat="1" applyFill="1" applyAlignment="1">
      <alignment horizontal="center"/>
    </xf>
    <xf numFmtId="1" fontId="0" fillId="0" borderId="0" xfId="0" applyNumberFormat="1" applyFont="1"/>
    <xf numFmtId="1" fontId="15" fillId="0" borderId="0" xfId="0" applyNumberFormat="1" applyFont="1"/>
    <xf numFmtId="1" fontId="16" fillId="0" borderId="4" xfId="0" applyNumberFormat="1" applyFont="1" applyBorder="1" applyAlignment="1">
      <alignment horizontal="center" vertical="center" wrapText="1"/>
    </xf>
    <xf numFmtId="1" fontId="1" fillId="3" borderId="0" xfId="2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0" fillId="13" borderId="0" xfId="0" applyNumberFormat="1" applyFill="1"/>
    <xf numFmtId="0" fontId="12" fillId="13" borderId="12" xfId="6" applyFill="1"/>
    <xf numFmtId="1" fontId="12" fillId="15" borderId="12" xfId="6" applyNumberFormat="1"/>
    <xf numFmtId="0" fontId="5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" fontId="0" fillId="23" borderId="0" xfId="0" applyNumberFormat="1" applyFill="1"/>
    <xf numFmtId="14" fontId="21" fillId="0" borderId="0" xfId="0" applyNumberFormat="1" applyFont="1" applyAlignment="1">
      <alignment horizontal="center"/>
    </xf>
    <xf numFmtId="1" fontId="1" fillId="21" borderId="0" xfId="12" applyNumberFormat="1" applyAlignment="1">
      <alignment horizontal="right"/>
    </xf>
    <xf numFmtId="14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1" fillId="17" borderId="0" xfId="8" applyNumberFormat="1" applyBorder="1"/>
    <xf numFmtId="14" fontId="21" fillId="0" borderId="17" xfId="0" applyNumberFormat="1" applyFont="1" applyBorder="1" applyAlignment="1">
      <alignment horizontal="center"/>
    </xf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14" fillId="20" borderId="18" xfId="11" applyFont="1" applyAlignment="1">
      <alignment horizontal="left" vertical="center" wrapText="1"/>
    </xf>
    <xf numFmtId="0" fontId="0" fillId="13" borderId="0" xfId="0" quotePrefix="1" applyFill="1"/>
    <xf numFmtId="0" fontId="2" fillId="18" borderId="0" xfId="9" quotePrefix="1" applyFont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quotePrefix="1"/>
    <xf numFmtId="0" fontId="0" fillId="13" borderId="4" xfId="0" quotePrefix="1" applyFill="1" applyBorder="1" applyAlignment="1">
      <alignment horizontal="center" vertical="center"/>
    </xf>
    <xf numFmtId="0" fontId="0" fillId="0" borderId="0" xfId="0" quotePrefix="1" applyAlignment="1">
      <alignment horizontal="center" wrapText="1"/>
    </xf>
    <xf numFmtId="14" fontId="21" fillId="0" borderId="0" xfId="0" applyNumberFormat="1" applyFont="1" applyBorder="1" applyAlignment="1">
      <alignment horizontal="center"/>
    </xf>
    <xf numFmtId="1" fontId="1" fillId="17" borderId="0" xfId="8" applyNumberFormat="1" applyBorder="1" applyAlignment="1">
      <alignment horizontal="right"/>
    </xf>
    <xf numFmtId="14" fontId="21" fillId="0" borderId="0" xfId="0" applyNumberFormat="1" applyFont="1" applyBorder="1" applyAlignment="1">
      <alignment horizontal="left" wrapText="1"/>
    </xf>
    <xf numFmtId="14" fontId="21" fillId="0" borderId="0" xfId="0" applyNumberFormat="1" applyFont="1" applyBorder="1" applyAlignment="1">
      <alignment horizontal="left" vertical="center" wrapText="1"/>
    </xf>
    <xf numFmtId="1" fontId="0" fillId="0" borderId="0" xfId="0" applyNumberFormat="1" applyBorder="1" applyAlignment="1">
      <alignment horizontal="right" vertical="center"/>
    </xf>
    <xf numFmtId="0" fontId="1" fillId="13" borderId="0" xfId="4" applyFill="1" applyAlignment="1">
      <alignment horizontal="center"/>
    </xf>
    <xf numFmtId="0" fontId="1" fillId="13" borderId="0" xfId="1" applyFill="1" applyAlignment="1">
      <alignment horizontal="center"/>
    </xf>
    <xf numFmtId="0" fontId="2" fillId="14" borderId="4" xfId="5" applyFont="1" applyBorder="1" applyAlignment="1">
      <alignment horizontal="center" vertical="center"/>
    </xf>
    <xf numFmtId="0" fontId="0" fillId="13" borderId="4" xfId="0" applyFill="1" applyBorder="1" applyAlignment="1">
      <alignment horizontal="center"/>
    </xf>
    <xf numFmtId="0" fontId="1" fillId="13" borderId="0" xfId="4" applyFill="1" applyAlignment="1">
      <alignment horizontal="center" vertical="center" wrapText="1"/>
    </xf>
    <xf numFmtId="0" fontId="1" fillId="13" borderId="0" xfId="1" applyFill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vertical="center"/>
    </xf>
    <xf numFmtId="2" fontId="0" fillId="0" borderId="0" xfId="0" applyNumberFormat="1" applyBorder="1" applyAlignment="1">
      <alignment horizontal="right"/>
    </xf>
    <xf numFmtId="14" fontId="21" fillId="0" borderId="0" xfId="0" applyNumberFormat="1" applyFont="1" applyBorder="1" applyAlignment="1">
      <alignment horizontal="center" wrapText="1"/>
    </xf>
    <xf numFmtId="14" fontId="2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1" fillId="17" borderId="0" xfId="8" applyNumberFormat="1" applyBorder="1" applyAlignment="1">
      <alignment horizontal="right" vertical="center"/>
    </xf>
    <xf numFmtId="2" fontId="1" fillId="22" borderId="4" xfId="13" applyNumberFormat="1" applyBorder="1"/>
    <xf numFmtId="0" fontId="4" fillId="0" borderId="0" xfId="0" applyFont="1" applyAlignment="1">
      <alignment horizontal="center"/>
    </xf>
    <xf numFmtId="0" fontId="1" fillId="3" borderId="0" xfId="2" applyAlignment="1">
      <alignment horizontal="center"/>
    </xf>
    <xf numFmtId="2" fontId="0" fillId="0" borderId="4" xfId="0" applyNumberFormat="1" applyBorder="1"/>
    <xf numFmtId="2" fontId="0" fillId="13" borderId="0" xfId="0" applyNumberFormat="1" applyFill="1" applyAlignment="1">
      <alignment horizontal="center" wrapText="1"/>
    </xf>
    <xf numFmtId="2" fontId="2" fillId="14" borderId="4" xfId="5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2" fillId="5" borderId="0" xfId="4" applyNumberFormat="1" applyFont="1" applyAlignment="1">
      <alignment horizontal="center" vertical="center" wrapText="1"/>
    </xf>
    <xf numFmtId="2" fontId="0" fillId="0" borderId="0" xfId="0" applyNumberFormat="1" applyAlignment="1">
      <alignment horizontal="left" wrapText="1"/>
    </xf>
    <xf numFmtId="2" fontId="1" fillId="5" borderId="0" xfId="4" applyNumberFormat="1" applyAlignment="1">
      <alignment horizontal="center" wrapText="1"/>
    </xf>
    <xf numFmtId="2" fontId="1" fillId="14" borderId="0" xfId="5" applyNumberFormat="1" applyAlignment="1">
      <alignment horizontal="center" wrapText="1"/>
    </xf>
    <xf numFmtId="2" fontId="0" fillId="0" borderId="0" xfId="0" quotePrefix="1" applyNumberFormat="1" applyAlignment="1">
      <alignment horizontal="left" wrapText="1"/>
    </xf>
    <xf numFmtId="2" fontId="2" fillId="18" borderId="4" xfId="9" applyNumberFormat="1" applyFont="1" applyBorder="1" applyAlignment="1">
      <alignment horizontal="center" vertical="center" wrapText="1"/>
    </xf>
    <xf numFmtId="2" fontId="0" fillId="4" borderId="0" xfId="3" quotePrefix="1" applyNumberFormat="1" applyFont="1" applyAlignment="1">
      <alignment horizontal="center" wrapText="1"/>
    </xf>
    <xf numFmtId="2" fontId="2" fillId="14" borderId="4" xfId="5" applyNumberFormat="1" applyFont="1" applyBorder="1" applyAlignment="1">
      <alignment horizontal="center" wrapText="1"/>
    </xf>
    <xf numFmtId="2" fontId="1" fillId="4" borderId="0" xfId="3" applyNumberFormat="1" applyAlignment="1">
      <alignment horizontal="center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23" fillId="24" borderId="0" xfId="0" applyFont="1" applyFill="1"/>
    <xf numFmtId="0" fontId="0" fillId="24" borderId="0" xfId="0" applyFont="1" applyFill="1"/>
    <xf numFmtId="10" fontId="0" fillId="24" borderId="0" xfId="0" applyNumberFormat="1" applyFont="1" applyFill="1" applyAlignment="1"/>
    <xf numFmtId="10" fontId="0" fillId="24" borderId="0" xfId="0" quotePrefix="1" applyNumberFormat="1" applyFont="1" applyFill="1"/>
    <xf numFmtId="10" fontId="0" fillId="24" borderId="0" xfId="0" applyNumberFormat="1" applyFont="1" applyFill="1"/>
    <xf numFmtId="0" fontId="0" fillId="24" borderId="0" xfId="0" quotePrefix="1" applyFont="1" applyFill="1"/>
    <xf numFmtId="0" fontId="24" fillId="18" borderId="0" xfId="9" applyFont="1"/>
    <xf numFmtId="0" fontId="21" fillId="20" borderId="18" xfId="11" applyFont="1"/>
    <xf numFmtId="0" fontId="10" fillId="3" borderId="0" xfId="2" applyFont="1" applyAlignment="1">
      <alignment horizontal="left" vertical="center" wrapText="1"/>
    </xf>
    <xf numFmtId="0" fontId="10" fillId="3" borderId="0" xfId="2" applyFont="1" applyAlignment="1">
      <alignment vertical="center"/>
    </xf>
    <xf numFmtId="1" fontId="1" fillId="17" borderId="0" xfId="8" applyNumberFormat="1" applyAlignment="1">
      <alignment horizontal="right"/>
    </xf>
    <xf numFmtId="0" fontId="21" fillId="13" borderId="0" xfId="8" applyFont="1" applyFill="1" applyAlignment="1">
      <alignment horizontal="right" wrapText="1"/>
    </xf>
    <xf numFmtId="0" fontId="21" fillId="13" borderId="4" xfId="8" applyFont="1" applyFill="1" applyBorder="1" applyAlignment="1">
      <alignment horizontal="right" wrapText="1"/>
    </xf>
    <xf numFmtId="1" fontId="1" fillId="22" borderId="0" xfId="13" applyNumberFormat="1" applyAlignment="1">
      <alignment horizontal="right"/>
    </xf>
    <xf numFmtId="1" fontId="1" fillId="5" borderId="0" xfId="4" applyNumberFormat="1" applyAlignment="1">
      <alignment horizontal="right"/>
    </xf>
    <xf numFmtId="1" fontId="0" fillId="0" borderId="0" xfId="0" quotePrefix="1" applyNumberFormat="1" applyAlignment="1">
      <alignment horizontal="center" vertical="center"/>
    </xf>
    <xf numFmtId="1" fontId="12" fillId="15" borderId="12" xfId="6" applyNumberFormat="1" applyAlignment="1">
      <alignment horizontal="center" vertical="center" wrapText="1"/>
    </xf>
    <xf numFmtId="0" fontId="12" fillId="15" borderId="12" xfId="6"/>
    <xf numFmtId="1" fontId="2" fillId="15" borderId="12" xfId="6" applyNumberFormat="1" applyFont="1"/>
    <xf numFmtId="1" fontId="12" fillId="15" borderId="12" xfId="6" applyNumberFormat="1" applyAlignment="1">
      <alignment horizontal="right" wrapText="1"/>
    </xf>
    <xf numFmtId="1" fontId="2" fillId="15" borderId="12" xfId="6" applyNumberFormat="1" applyFont="1" applyAlignment="1">
      <alignment horizontal="center"/>
    </xf>
    <xf numFmtId="14" fontId="10" fillId="0" borderId="0" xfId="0" applyNumberFormat="1" applyFont="1" applyAlignment="1">
      <alignment horizontal="center" wrapText="1"/>
    </xf>
    <xf numFmtId="14" fontId="21" fillId="0" borderId="0" xfId="0" applyNumberFormat="1" applyFont="1" applyAlignment="1">
      <alignment horizontal="center" vertical="center" wrapText="1"/>
    </xf>
    <xf numFmtId="1" fontId="12" fillId="15" borderId="12" xfId="6" applyNumberFormat="1" applyAlignment="1">
      <alignment horizontal="center" wrapText="1"/>
    </xf>
    <xf numFmtId="1" fontId="0" fillId="0" borderId="0" xfId="0" applyNumberFormat="1" applyAlignment="1">
      <alignment horizontal="right" vertical="center"/>
    </xf>
    <xf numFmtId="1" fontId="16" fillId="13" borderId="0" xfId="0" applyNumberFormat="1" applyFont="1" applyFill="1" applyAlignment="1">
      <alignment horizontal="center" vertical="center" wrapText="1"/>
    </xf>
    <xf numFmtId="1" fontId="1" fillId="13" borderId="0" xfId="2" applyNumberFormat="1" applyFill="1"/>
    <xf numFmtId="1" fontId="0" fillId="13" borderId="0" xfId="0" applyNumberFormat="1" applyFont="1" applyFill="1"/>
    <xf numFmtId="1" fontId="0" fillId="13" borderId="0" xfId="0" quotePrefix="1" applyNumberFormat="1" applyFill="1"/>
    <xf numFmtId="1" fontId="2" fillId="26" borderId="12" xfId="6" applyNumberFormat="1" applyFont="1" applyFill="1" applyAlignment="1">
      <alignment horizontal="center" vertical="center"/>
    </xf>
    <xf numFmtId="1" fontId="2" fillId="26" borderId="12" xfId="6" applyNumberFormat="1" applyFont="1" applyFill="1" applyAlignment="1">
      <alignment horizontal="center"/>
    </xf>
    <xf numFmtId="1" fontId="1" fillId="22" borderId="17" xfId="13" applyNumberFormat="1" applyBorder="1" applyAlignment="1">
      <alignment horizontal="right"/>
    </xf>
    <xf numFmtId="1" fontId="1" fillId="22" borderId="12" xfId="13" applyNumberFormat="1" applyBorder="1" applyAlignment="1">
      <alignment horizontal="right"/>
    </xf>
    <xf numFmtId="1" fontId="1" fillId="22" borderId="0" xfId="13" applyNumberFormat="1"/>
    <xf numFmtId="0" fontId="2" fillId="14" borderId="1" xfId="5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1" fillId="14" borderId="4" xfId="5" applyBorder="1" applyAlignment="1">
      <alignment vertical="center"/>
    </xf>
    <xf numFmtId="0" fontId="2" fillId="14" borderId="4" xfId="5" applyFont="1" applyBorder="1" applyAlignment="1">
      <alignment vertical="center" wrapText="1"/>
    </xf>
    <xf numFmtId="0" fontId="0" fillId="13" borderId="0" xfId="0" applyFill="1" applyAlignment="1">
      <alignment horizontal="right" wrapText="1"/>
    </xf>
    <xf numFmtId="1" fontId="1" fillId="17" borderId="12" xfId="8" applyNumberFormat="1" applyBorder="1" applyAlignment="1">
      <alignment horizontal="right"/>
    </xf>
    <xf numFmtId="0" fontId="13" fillId="28" borderId="0" xfId="23"/>
    <xf numFmtId="0" fontId="1" fillId="27" borderId="0" xfId="22"/>
    <xf numFmtId="0" fontId="1" fillId="27" borderId="0" xfId="22" applyAlignment="1">
      <alignment wrapText="1"/>
    </xf>
    <xf numFmtId="0" fontId="30" fillId="0" borderId="0" xfId="21" applyFont="1"/>
    <xf numFmtId="0" fontId="30" fillId="0" borderId="0" xfId="21" applyFont="1" applyAlignment="1">
      <alignment wrapText="1"/>
    </xf>
    <xf numFmtId="164" fontId="30" fillId="0" borderId="0" xfId="21" applyNumberFormat="1" applyFont="1"/>
    <xf numFmtId="10" fontId="30" fillId="0" borderId="0" xfId="21" applyNumberFormat="1" applyFont="1"/>
    <xf numFmtId="0" fontId="30" fillId="3" borderId="0" xfId="21" applyFont="1" applyFill="1"/>
    <xf numFmtId="0" fontId="30" fillId="0" borderId="0" xfId="21" applyFont="1" applyAlignment="1">
      <alignment horizontal="left" wrapText="1"/>
    </xf>
    <xf numFmtId="164" fontId="30" fillId="0" borderId="0" xfId="21" applyNumberFormat="1" applyFont="1" applyAlignment="1">
      <alignment vertical="center"/>
    </xf>
    <xf numFmtId="0" fontId="30" fillId="0" borderId="0" xfId="21" quotePrefix="1" applyFont="1"/>
    <xf numFmtId="0" fontId="30" fillId="0" borderId="0" xfId="21" quotePrefix="1" applyFont="1" applyAlignment="1">
      <alignment wrapText="1"/>
    </xf>
    <xf numFmtId="0" fontId="4" fillId="0" borderId="4" xfId="0" applyFont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0" fontId="6" fillId="1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6" fillId="1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5" fillId="13" borderId="9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64" fontId="6" fillId="13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24">
    <cellStyle name="20% - Accent1" xfId="5" builtinId="30"/>
    <cellStyle name="20% - Accent4" xfId="13" builtinId="42"/>
    <cellStyle name="40% - Accent1" xfId="1" builtinId="31"/>
    <cellStyle name="40% - Accent2" xfId="2" builtinId="35"/>
    <cellStyle name="40% - Accent4" xfId="4" builtinId="43"/>
    <cellStyle name="40% - Accent5" xfId="8" builtinId="47"/>
    <cellStyle name="60% - Accent2" xfId="3" builtinId="36"/>
    <cellStyle name="60% - Accent3" xfId="12" builtinId="40"/>
    <cellStyle name="60% - Accent4" xfId="22" builtinId="44"/>
    <cellStyle name="60% - Accent6" xfId="10" builtinId="52"/>
    <cellStyle name="Accent1" xfId="7" builtinId="29"/>
    <cellStyle name="Accent5" xfId="23" builtinId="45"/>
    <cellStyle name="Accent6" xfId="9" builtinId="49"/>
    <cellStyle name="Calculation" xfId="6" builtinId="22"/>
    <cellStyle name="Comma 2" xfId="20" xr:uid="{9A4ED4D0-B98F-4940-8969-E24FF30866E8}"/>
    <cellStyle name="Currency 2" xfId="19" xr:uid="{09298F0E-3CE4-428F-9A98-FC148105B5D1}"/>
    <cellStyle name="Explanatory Text" xfId="21" builtinId="53"/>
    <cellStyle name="Heading 1 2" xfId="17" xr:uid="{74C3D030-DDAC-4A6F-9D51-408EB7F6FC46}"/>
    <cellStyle name="Heading 3 2" xfId="18" xr:uid="{89DA96ED-4C4E-4197-89F0-696258AA7FB8}"/>
    <cellStyle name="Heading 4 2" xfId="16" xr:uid="{046F72CA-707C-46FC-A9EC-1A580F9DE7BC}"/>
    <cellStyle name="Normal" xfId="0" builtinId="0"/>
    <cellStyle name="Normal 2" xfId="14" xr:uid="{E2C3ADC5-6E51-474F-B9A3-99BEA3094DC5}"/>
    <cellStyle name="Note" xfId="11" builtinId="10"/>
    <cellStyle name="Title 2" xfId="15" xr:uid="{0B4A0CDC-4658-406C-B853-56383C595369}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8C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644250348425204E-2"/>
          <c:y val="4.2294521419716485E-2"/>
          <c:w val="0.88674135177425273"/>
          <c:h val="0.8729794521419717"/>
        </c:manualLayout>
      </c:layout>
      <c:pie3D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31A4-4AC9-8759-D99782CEF6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31A4-4AC9-8759-D99782CEF6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4-31A4-4AC9-8759-D99782CEF6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31A4-4AC9-8759-D99782CEF6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31A4-4AC9-8759-D99782CEF6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31A4-4AC9-8759-D99782CEF6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31A4-4AC9-8759-D99782CEF6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31A4-4AC9-8759-D99782CEF6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8-31A4-4AC9-8759-D99782CEF6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A-31A4-4AC9-8759-D99782CEF6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C-31A4-4AC9-8759-D99782CEF6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2-31A4-4AC9-8759-D99782CEF67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4-31A4-4AC9-8759-D99782CEF67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6-31A4-4AC9-8759-D99782CEF67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8-31A4-4AC9-8759-D99782CEF67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A-31A4-4AC9-8759-D99782CEF67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C-31A4-4AC9-8759-D99782CEF67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2-31A4-4AC9-8759-D99782CEF67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4-31A4-4AC9-8759-D99782CEF6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'Profit &amp; Loss statement'!$A$1:$A$36</c15:sqref>
                  </c15:fullRef>
                </c:ext>
              </c:extLst>
              <c:f>('Profit &amp; Loss statement'!$A$4:$A$6,'Profit &amp; Loss statement'!$A$8:$A$12,'Profit &amp; Loss statement'!$A$16:$A$18,'Profit &amp; Loss statement'!$A$21:$A$26,'Profit &amp; Loss statement'!$A$29:$A$30)</c:f>
              <c:strCache>
                <c:ptCount val="19"/>
                <c:pt idx="0">
                  <c:v>Food Sales</c:v>
                </c:pt>
                <c:pt idx="1">
                  <c:v>Beverage Sales</c:v>
                </c:pt>
                <c:pt idx="2">
                  <c:v>Delivery Sales</c:v>
                </c:pt>
                <c:pt idx="3">
                  <c:v>Less GST</c:v>
                </c:pt>
                <c:pt idx="4">
                  <c:v>Less VAT</c:v>
                </c:pt>
                <c:pt idx="5">
                  <c:v>Sale after GST &amp; VAT</c:v>
                </c:pt>
                <c:pt idx="6">
                  <c:v>Less Service Charge</c:v>
                </c:pt>
                <c:pt idx="7">
                  <c:v>Net Sale</c:v>
                </c:pt>
                <c:pt idx="8">
                  <c:v>Food (COGS)</c:v>
                </c:pt>
                <c:pt idx="9">
                  <c:v>Beverage (COGS)</c:v>
                </c:pt>
                <c:pt idx="10">
                  <c:v>COGS  (Total)</c:v>
                </c:pt>
                <c:pt idx="11">
                  <c:v>Salary</c:v>
                </c:pt>
                <c:pt idx="12">
                  <c:v>Rent</c:v>
                </c:pt>
                <c:pt idx="13">
                  <c:v>Marketing</c:v>
                </c:pt>
                <c:pt idx="14">
                  <c:v>Maintenance</c:v>
                </c:pt>
                <c:pt idx="15">
                  <c:v>Miscellaneous</c:v>
                </c:pt>
                <c:pt idx="16">
                  <c:v>Total Operating Expenses (opex)</c:v>
                </c:pt>
                <c:pt idx="17">
                  <c:v>Overall Expenses</c:v>
                </c:pt>
                <c:pt idx="18">
                  <c:v>Restaurant EBITDA / Net 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'Profit &amp; Loss statement'!$D$1:$D$36</c15:sqref>
                  </c15:fullRef>
                </c:ext>
              </c:extLst>
              <c:f>('Profit &amp; Loss statement'!$D$4:$D$6,'Profit &amp; Loss statement'!$D$8:$D$12,'Profit &amp; Loss statement'!$D$16:$D$18,'Profit &amp; Loss statement'!$D$21:$D$26,'Profit &amp; Loss statement'!$D$29:$D$30)</c:f>
              <c:numCache>
                <c:formatCode>General</c:formatCode>
                <c:ptCount val="19"/>
                <c:pt idx="0" formatCode="0%">
                  <c:v>0.65</c:v>
                </c:pt>
                <c:pt idx="1" formatCode="0%">
                  <c:v>0.27</c:v>
                </c:pt>
                <c:pt idx="2" formatCode="0%">
                  <c:v>0.08</c:v>
                </c:pt>
                <c:pt idx="3" formatCode="0%">
                  <c:v>0</c:v>
                </c:pt>
                <c:pt idx="4" formatCode="0%">
                  <c:v>0</c:v>
                </c:pt>
                <c:pt idx="6" formatCode="0%">
                  <c:v>0.1</c:v>
                </c:pt>
                <c:pt idx="8" formatCode="0.00%">
                  <c:v>0.53339999999999999</c:v>
                </c:pt>
                <c:pt idx="9" formatCode="0.00%">
                  <c:v>0.18659999999999999</c:v>
                </c:pt>
                <c:pt idx="10" formatCode="0.00%">
                  <c:v>0.50883213374893732</c:v>
                </c:pt>
                <c:pt idx="11" formatCode="0.0%">
                  <c:v>0.12751487673561915</c:v>
                </c:pt>
                <c:pt idx="12" formatCode="0.0%">
                  <c:v>0.11901388495324454</c:v>
                </c:pt>
                <c:pt idx="13" formatCode="0.0%">
                  <c:v>8.5009917823746107E-3</c:v>
                </c:pt>
                <c:pt idx="14" formatCode="0.0%">
                  <c:v>1.7001983564749221E-2</c:v>
                </c:pt>
                <c:pt idx="15" formatCode="0.0%">
                  <c:v>8.5009917823746107E-3</c:v>
                </c:pt>
                <c:pt idx="16" formatCode="0%">
                  <c:v>0.28053272881836216</c:v>
                </c:pt>
                <c:pt idx="17" formatCode="0.00%">
                  <c:v>0.78936486256729943</c:v>
                </c:pt>
                <c:pt idx="18" formatCode="0.00%">
                  <c:v>7.6766242611345639E-2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'Profit &amp; Loss statement'!$D$1</c15:sqref>
                  <c15:bubble3D val="0"/>
                </c15:categoryFilterException>
                <c15:categoryFilterException>
                  <c15:sqref>'Profit &amp; Loss statement'!$D$2</c15:sqref>
                  <c15:bubble3D val="0"/>
                </c15:categoryFilterException>
                <c15:categoryFilterException>
                  <c15:sqref>'Profit &amp; Loss statement'!$D$3</c15:sqref>
                  <c15:bubble3D val="0"/>
                </c15:categoryFilterException>
                <c15:categoryFilterException>
                  <c15:sqref>'Profit &amp; Loss statement'!$D$7</c15:sqref>
                  <c15:bubble3D val="0"/>
                </c15:categoryFilterException>
                <c15:categoryFilterException>
                  <c15:sqref>'Profit &amp; Loss statement'!$D$13</c15:sqref>
                  <c15:bubble3D val="0"/>
                </c15:categoryFilterException>
                <c15:categoryFilterException>
                  <c15:sqref>'Profit &amp; Loss statement'!$D$14</c15:sqref>
                  <c15:bubble3D val="0"/>
                </c15:categoryFilterException>
                <c15:categoryFilterException>
                  <c15:sqref>'Profit &amp; Loss statement'!$D$15</c15:sqref>
                  <c15:bubble3D val="0"/>
                </c15:categoryFilterException>
                <c15:categoryFilterException>
                  <c15:sqref>'Profit &amp; Loss statement'!$D$19</c15:sqref>
                  <c15:bubble3D val="0"/>
                </c15:categoryFilterException>
                <c15:categoryFilterException>
                  <c15:sqref>'Profit &amp; Loss statement'!$D$20</c15:sqref>
                  <c15:bubble3D val="0"/>
                </c15:categoryFilterException>
                <c15:categoryFilterException>
                  <c15:sqref>'Profit &amp; Loss statement'!$D$27</c15:sqref>
                  <c15:bubble3D val="0"/>
                </c15:categoryFilterException>
                <c15:categoryFilterException>
                  <c15:sqref>'Profit &amp; Loss statement'!$D$28</c15:sqref>
                  <c15:bubble3D val="0"/>
                </c15:categoryFilterException>
                <c15:categoryFilterException>
                  <c15:sqref>'Profit &amp; Loss statement'!$D$31</c15:sqref>
                  <c15:bubble3D val="0"/>
                </c15:categoryFilterException>
                <c15:categoryFilterException>
                  <c15:sqref>'Profit &amp; Loss statement'!$D$32</c15:sqref>
                  <c15:bubble3D val="0"/>
                </c15:categoryFilterException>
                <c15:categoryFilterException>
                  <c15:sqref>'Profit &amp; Loss statement'!$D$33</c15:sqref>
                  <c15:bubble3D val="0"/>
                </c15:categoryFilterException>
                <c15:categoryFilterException>
                  <c15:sqref>'Profit &amp; Loss statement'!$D$34</c15:sqref>
                  <c15:bubble3D val="0"/>
                </c15:categoryFilterException>
                <c15:categoryFilterException>
                  <c15:sqref>'Profit &amp; Loss statement'!$D$35</c15:sqref>
                  <c15:bubble3D val="0"/>
                </c15:categoryFilterException>
                <c15:categoryFilterException>
                  <c15:sqref>'Profit &amp; Loss statement'!$D$36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91-31A4-4AC9-8759-D99782CEF67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31A4-4AC9-8759-D99782CEF67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31A4-4AC9-8759-D99782CEF6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31A4-4AC9-8759-D99782CEF6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31A4-4AC9-8759-D99782CEF6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31A4-4AC9-8759-D99782CEF67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31A4-4AC9-8759-D99782CEF67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31A4-4AC9-8759-D99782CEF6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31A4-4AC9-8759-D99782CEF67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31A4-4AC9-8759-D99782CEF67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31A4-4AC9-8759-D99782CEF67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31A4-4AC9-8759-D99782CEF67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31A4-4AC9-8759-D99782CEF675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31A4-4AC9-8759-D99782CEF675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31A4-4AC9-8759-D99782CEF675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31A4-4AC9-8759-D99782CEF675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31A4-4AC9-8759-D99782CEF675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31A4-4AC9-8759-D99782CEF675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31A4-4AC9-8759-D99782CEF675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31A4-4AC9-8759-D99782CEF67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LS"/>
                    </a:p>
                  </c:txPr>
                  <c:dLblPos val="bestFit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'Profit &amp; Loss statement'!$A$1:$A$36</c15:sqref>
                        </c15:fullRef>
                        <c15:formulaRef>
                          <c15:sqref>('Profit &amp; Loss statement'!$A$4:$A$6,'Profit &amp; Loss statement'!$A$8:$A$12,'Profit &amp; Loss statement'!$A$16:$A$18,'Profit &amp; Loss statement'!$A$21:$A$26,'Profit &amp; Loss statement'!$A$29:$A$30)</c15:sqref>
                        </c15:formulaRef>
                      </c:ext>
                    </c:extLst>
                    <c:strCache>
                      <c:ptCount val="19"/>
                      <c:pt idx="0">
                        <c:v>Food Sales</c:v>
                      </c:pt>
                      <c:pt idx="1">
                        <c:v>Beverage Sales</c:v>
                      </c:pt>
                      <c:pt idx="2">
                        <c:v>Delivery Sales</c:v>
                      </c:pt>
                      <c:pt idx="3">
                        <c:v>Less GST</c:v>
                      </c:pt>
                      <c:pt idx="4">
                        <c:v>Less VAT</c:v>
                      </c:pt>
                      <c:pt idx="5">
                        <c:v>Sale after GST &amp; VAT</c:v>
                      </c:pt>
                      <c:pt idx="6">
                        <c:v>Less Service Charge</c:v>
                      </c:pt>
                      <c:pt idx="7">
                        <c:v>Net Sale</c:v>
                      </c:pt>
                      <c:pt idx="8">
                        <c:v>Food (COGS)</c:v>
                      </c:pt>
                      <c:pt idx="9">
                        <c:v>Beverage (COGS)</c:v>
                      </c:pt>
                      <c:pt idx="10">
                        <c:v>COGS  (Total)</c:v>
                      </c:pt>
                      <c:pt idx="11">
                        <c:v>Salary</c:v>
                      </c:pt>
                      <c:pt idx="12">
                        <c:v>Rent</c:v>
                      </c:pt>
                      <c:pt idx="13">
                        <c:v>Marketing</c:v>
                      </c:pt>
                      <c:pt idx="14">
                        <c:v>Maintenance</c:v>
                      </c:pt>
                      <c:pt idx="15">
                        <c:v>Miscellaneous</c:v>
                      </c:pt>
                      <c:pt idx="16">
                        <c:v>Total Operating Expenses (opex)</c:v>
                      </c:pt>
                      <c:pt idx="17">
                        <c:v>Overall Expenses</c:v>
                      </c:pt>
                      <c:pt idx="18">
                        <c:v>Restaurant EBITDA / Net Profit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'Profit &amp; Loss statement'!$C$1:$C$36</c15:sqref>
                        </c15:fullRef>
                        <c15:formulaRef>
                          <c15:sqref>('Profit &amp; Loss statement'!$C$4:$C$6,'Profit &amp; Loss statement'!$C$8:$C$12,'Profit &amp; Loss statement'!$C$16:$C$18,'Profit &amp; Loss statement'!$C$21:$C$26,'Profit &amp; Loss statement'!$C$29:$C$30)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325000</c:v>
                      </c:pt>
                      <c:pt idx="1">
                        <c:v>25000</c:v>
                      </c:pt>
                      <c:pt idx="2">
                        <c:v>2900</c:v>
                      </c:pt>
                      <c:pt idx="3">
                        <c:v>16395</c:v>
                      </c:pt>
                      <c:pt idx="4" formatCode="0.0">
                        <c:v>1250</c:v>
                      </c:pt>
                      <c:pt idx="5" formatCode="0.0">
                        <c:v>335255</c:v>
                      </c:pt>
                      <c:pt idx="6" formatCode="0.0">
                        <c:v>33525.5</c:v>
                      </c:pt>
                      <c:pt idx="7" formatCode="0.0">
                        <c:v>301729.5</c:v>
                      </c:pt>
                      <c:pt idx="8">
                        <c:v>174901.86</c:v>
                      </c:pt>
                      <c:pt idx="9" formatCode="0.0">
                        <c:v>4665</c:v>
                      </c:pt>
                      <c:pt idx="10" formatCode="0.0">
                        <c:v>179566.86</c:v>
                      </c:pt>
                      <c:pt idx="11">
                        <c:v>45000</c:v>
                      </c:pt>
                      <c:pt idx="12">
                        <c:v>42000</c:v>
                      </c:pt>
                      <c:pt idx="13">
                        <c:v>3000</c:v>
                      </c:pt>
                      <c:pt idx="14">
                        <c:v>6000</c:v>
                      </c:pt>
                      <c:pt idx="15">
                        <c:v>3000</c:v>
                      </c:pt>
                      <c:pt idx="16" formatCode="0">
                        <c:v>99000</c:v>
                      </c:pt>
                      <c:pt idx="17" formatCode="0.0">
                        <c:v>278566.86</c:v>
                      </c:pt>
                      <c:pt idx="18" formatCode="0.00">
                        <c:v>23162.640000000014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'Profit &amp; Loss statement'!$C$1</c15:sqref>
                        <c15:bubble3D val="0"/>
                      </c15:categoryFilterException>
                      <c15:categoryFilterException>
                        <c15:sqref>'Profit &amp; Loss statement'!$C$2</c15:sqref>
                        <c15:bubble3D val="0"/>
                      </c15:categoryFilterException>
                      <c15:categoryFilterException>
                        <c15:sqref>'Profit &amp; Loss statement'!$C$3</c15:sqref>
                        <c15:bubble3D val="0"/>
                      </c15:categoryFilterException>
                      <c15:categoryFilterException>
                        <c15:sqref>'Profit &amp; Loss statement'!$C$7</c15:sqref>
                        <c15:bubble3D val="0"/>
                      </c15:categoryFilterException>
                      <c15:categoryFilterException>
                        <c15:sqref>'Profit &amp; Loss statement'!$C$13</c15:sqref>
                        <c15:bubble3D val="0"/>
                      </c15:categoryFilterException>
                      <c15:categoryFilterException>
                        <c15:sqref>'Profit &amp; Loss statement'!$C$14</c15:sqref>
                        <c15:bubble3D val="0"/>
                      </c15:categoryFilterException>
                      <c15:categoryFilterException>
                        <c15:sqref>'Profit &amp; Loss statement'!$C$15</c15:sqref>
                        <c15:bubble3D val="0"/>
                      </c15:categoryFilterException>
                      <c15:categoryFilterException>
                        <c15:sqref>'Profit &amp; Loss statement'!$C$19</c15:sqref>
                        <c15:bubble3D val="0"/>
                      </c15:categoryFilterException>
                      <c15:categoryFilterException>
                        <c15:sqref>'Profit &amp; Loss statement'!$C$20</c15:sqref>
                        <c15:bubble3D val="0"/>
                      </c15:categoryFilterException>
                      <c15:categoryFilterException>
                        <c15:sqref>'Profit &amp; Loss statement'!$C$27</c15:sqref>
                        <c15:bubble3D val="0"/>
                      </c15:categoryFilterException>
                      <c15:categoryFilterException>
                        <c15:sqref>'Profit &amp; Loss statement'!$C$28</c15:sqref>
                        <c15:bubble3D val="0"/>
                      </c15:categoryFilterException>
                      <c15:categoryFilterException>
                        <c15:sqref>'Profit &amp; Loss statement'!$C$31</c15:sqref>
                        <c15:bubble3D val="0"/>
                      </c15:categoryFilterException>
                      <c15:categoryFilterException>
                        <c15:sqref>'Profit &amp; Loss statement'!$C$32</c15:sqref>
                        <c15:bubble3D val="0"/>
                      </c15:categoryFilterException>
                      <c15:categoryFilterException>
                        <c15:sqref>'Profit &amp; Loss statement'!$C$33</c15:sqref>
                        <c15:bubble3D val="0"/>
                      </c15:categoryFilterException>
                      <c15:categoryFilterException>
                        <c15:sqref>'Profit &amp; Loss statement'!$C$34</c15:sqref>
                        <c15:bubble3D val="0"/>
                      </c15:categoryFilterException>
                      <c15:categoryFilterException>
                        <c15:sqref>'Profit &amp; Loss statement'!$C$35</c15:sqref>
                        <c15:bubble3D val="0"/>
                      </c15:categoryFilterException>
                      <c15:categoryFilterException>
                        <c15:sqref>'Profit &amp; Loss statement'!$C$36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48-31A4-4AC9-8759-D99782CEF675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1a1.xlsx]Sheet6!PivotTable2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709027838822886"/>
          <c:y val="4.9920517585225442E-2"/>
          <c:w val="0.62321114544663603"/>
          <c:h val="0.91497356260772678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Contribution Margin =(S.P-C.P)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Sheet6!$A$4:$A$44</c:f>
              <c:strCache>
                <c:ptCount val="40"/>
                <c:pt idx="0">
                  <c:v> Veg Paneer Pizza</c:v>
                </c:pt>
                <c:pt idx="1">
                  <c:v>Aloo paratha</c:v>
                </c:pt>
                <c:pt idx="2">
                  <c:v>Aloo Puri</c:v>
                </c:pt>
                <c:pt idx="3">
                  <c:v>Aloo Tikki Chat</c:v>
                </c:pt>
                <c:pt idx="4">
                  <c:v>Barbequed Chicken Pizza</c:v>
                </c:pt>
                <c:pt idx="5">
                  <c:v>Butter Roti</c:v>
                </c:pt>
                <c:pt idx="6">
                  <c:v>Chicken 65 Dry</c:v>
                </c:pt>
                <c:pt idx="7">
                  <c:v>Chicken Biryani</c:v>
                </c:pt>
                <c:pt idx="8">
                  <c:v>Chicken Grill Sandwich</c:v>
                </c:pt>
                <c:pt idx="9">
                  <c:v>Chicken Kabab</c:v>
                </c:pt>
                <c:pt idx="10">
                  <c:v>Chicken Roll</c:v>
                </c:pt>
                <c:pt idx="11">
                  <c:v>Chicken Tikka</c:v>
                </c:pt>
                <c:pt idx="12">
                  <c:v>Egg Bhujia</c:v>
                </c:pt>
                <c:pt idx="13">
                  <c:v>Egg Manchurian</c:v>
                </c:pt>
                <c:pt idx="14">
                  <c:v>Egg Roll</c:v>
                </c:pt>
                <c:pt idx="15">
                  <c:v>Gobi paratha</c:v>
                </c:pt>
                <c:pt idx="16">
                  <c:v>Hyderabadi Mutton Biryani</c:v>
                </c:pt>
                <c:pt idx="17">
                  <c:v>Kulcha Naan</c:v>
                </c:pt>
                <c:pt idx="18">
                  <c:v>Maggi Omelette Noodles</c:v>
                </c:pt>
                <c:pt idx="19">
                  <c:v>Maggie</c:v>
                </c:pt>
                <c:pt idx="20">
                  <c:v>Masala Dosa </c:v>
                </c:pt>
                <c:pt idx="21">
                  <c:v>Mushroom Chilli</c:v>
                </c:pt>
                <c:pt idx="22">
                  <c:v>Omlets with Bread Toast</c:v>
                </c:pt>
                <c:pt idx="23">
                  <c:v>Onion paratha</c:v>
                </c:pt>
                <c:pt idx="24">
                  <c:v>Paneer Grill Sandwich</c:v>
                </c:pt>
                <c:pt idx="25">
                  <c:v>Paneer Manchurian</c:v>
                </c:pt>
                <c:pt idx="26">
                  <c:v>Paneer paratha</c:v>
                </c:pt>
                <c:pt idx="27">
                  <c:v>Paneer Roll</c:v>
                </c:pt>
                <c:pt idx="28">
                  <c:v>Paneer Tikka</c:v>
                </c:pt>
                <c:pt idx="29">
                  <c:v>Pani Puri</c:v>
                </c:pt>
                <c:pt idx="30">
                  <c:v>Parotta</c:v>
                </c:pt>
                <c:pt idx="31">
                  <c:v>Plain Roti</c:v>
                </c:pt>
                <c:pt idx="32">
                  <c:v>Shahi Paneer Masala</c:v>
                </c:pt>
                <c:pt idx="33">
                  <c:v>Tawa chicken roll</c:v>
                </c:pt>
                <c:pt idx="34">
                  <c:v>Veg Biryani</c:v>
                </c:pt>
                <c:pt idx="35">
                  <c:v>Veg Burger</c:v>
                </c:pt>
                <c:pt idx="36">
                  <c:v>Veg Chowmine</c:v>
                </c:pt>
                <c:pt idx="37">
                  <c:v>Veg Country Pizza</c:v>
                </c:pt>
                <c:pt idx="38">
                  <c:v>Veg Grill Sandwich</c:v>
                </c:pt>
                <c:pt idx="39">
                  <c:v>Veg Hawaiian Pizza</c:v>
                </c:pt>
              </c:strCache>
            </c:strRef>
          </c:cat>
          <c:val>
            <c:numRef>
              <c:f>Sheet6!$B$4:$B$44</c:f>
              <c:numCache>
                <c:formatCode>General</c:formatCode>
                <c:ptCount val="40"/>
                <c:pt idx="0">
                  <c:v>30000</c:v>
                </c:pt>
                <c:pt idx="1">
                  <c:v>4000</c:v>
                </c:pt>
                <c:pt idx="2">
                  <c:v>7000</c:v>
                </c:pt>
                <c:pt idx="3">
                  <c:v>4710</c:v>
                </c:pt>
                <c:pt idx="4">
                  <c:v>325200</c:v>
                </c:pt>
                <c:pt idx="5">
                  <c:v>45360</c:v>
                </c:pt>
                <c:pt idx="6">
                  <c:v>119000</c:v>
                </c:pt>
                <c:pt idx="7">
                  <c:v>211750</c:v>
                </c:pt>
                <c:pt idx="8">
                  <c:v>163400</c:v>
                </c:pt>
                <c:pt idx="9">
                  <c:v>402300</c:v>
                </c:pt>
                <c:pt idx="10">
                  <c:v>296595</c:v>
                </c:pt>
                <c:pt idx="11">
                  <c:v>117750</c:v>
                </c:pt>
                <c:pt idx="12">
                  <c:v>46090</c:v>
                </c:pt>
                <c:pt idx="13">
                  <c:v>100380</c:v>
                </c:pt>
                <c:pt idx="14">
                  <c:v>109680</c:v>
                </c:pt>
                <c:pt idx="15">
                  <c:v>2250</c:v>
                </c:pt>
                <c:pt idx="16">
                  <c:v>313740</c:v>
                </c:pt>
                <c:pt idx="17">
                  <c:v>52200</c:v>
                </c:pt>
                <c:pt idx="18">
                  <c:v>32040</c:v>
                </c:pt>
                <c:pt idx="19">
                  <c:v>4460</c:v>
                </c:pt>
                <c:pt idx="20">
                  <c:v>5000</c:v>
                </c:pt>
                <c:pt idx="21">
                  <c:v>15000</c:v>
                </c:pt>
                <c:pt idx="22">
                  <c:v>144000</c:v>
                </c:pt>
                <c:pt idx="23">
                  <c:v>4500</c:v>
                </c:pt>
                <c:pt idx="24">
                  <c:v>8000</c:v>
                </c:pt>
                <c:pt idx="25">
                  <c:v>14000</c:v>
                </c:pt>
                <c:pt idx="26">
                  <c:v>2500</c:v>
                </c:pt>
                <c:pt idx="27">
                  <c:v>3000</c:v>
                </c:pt>
                <c:pt idx="28">
                  <c:v>12000</c:v>
                </c:pt>
                <c:pt idx="29">
                  <c:v>6560</c:v>
                </c:pt>
                <c:pt idx="30">
                  <c:v>97828</c:v>
                </c:pt>
                <c:pt idx="31">
                  <c:v>16635</c:v>
                </c:pt>
                <c:pt idx="32">
                  <c:v>9760</c:v>
                </c:pt>
                <c:pt idx="33">
                  <c:v>210760</c:v>
                </c:pt>
                <c:pt idx="34">
                  <c:v>4500</c:v>
                </c:pt>
                <c:pt idx="35">
                  <c:v>4000</c:v>
                </c:pt>
                <c:pt idx="36">
                  <c:v>4500</c:v>
                </c:pt>
                <c:pt idx="37">
                  <c:v>33000</c:v>
                </c:pt>
                <c:pt idx="38">
                  <c:v>6120</c:v>
                </c:pt>
                <c:pt idx="3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5-4363-97C1-31A5F82E2ED1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Food Cost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Sheet6!$A$4:$A$44</c:f>
              <c:strCache>
                <c:ptCount val="40"/>
                <c:pt idx="0">
                  <c:v> Veg Paneer Pizza</c:v>
                </c:pt>
                <c:pt idx="1">
                  <c:v>Aloo paratha</c:v>
                </c:pt>
                <c:pt idx="2">
                  <c:v>Aloo Puri</c:v>
                </c:pt>
                <c:pt idx="3">
                  <c:v>Aloo Tikki Chat</c:v>
                </c:pt>
                <c:pt idx="4">
                  <c:v>Barbequed Chicken Pizza</c:v>
                </c:pt>
                <c:pt idx="5">
                  <c:v>Butter Roti</c:v>
                </c:pt>
                <c:pt idx="6">
                  <c:v>Chicken 65 Dry</c:v>
                </c:pt>
                <c:pt idx="7">
                  <c:v>Chicken Biryani</c:v>
                </c:pt>
                <c:pt idx="8">
                  <c:v>Chicken Grill Sandwich</c:v>
                </c:pt>
                <c:pt idx="9">
                  <c:v>Chicken Kabab</c:v>
                </c:pt>
                <c:pt idx="10">
                  <c:v>Chicken Roll</c:v>
                </c:pt>
                <c:pt idx="11">
                  <c:v>Chicken Tikka</c:v>
                </c:pt>
                <c:pt idx="12">
                  <c:v>Egg Bhujia</c:v>
                </c:pt>
                <c:pt idx="13">
                  <c:v>Egg Manchurian</c:v>
                </c:pt>
                <c:pt idx="14">
                  <c:v>Egg Roll</c:v>
                </c:pt>
                <c:pt idx="15">
                  <c:v>Gobi paratha</c:v>
                </c:pt>
                <c:pt idx="16">
                  <c:v>Hyderabadi Mutton Biryani</c:v>
                </c:pt>
                <c:pt idx="17">
                  <c:v>Kulcha Naan</c:v>
                </c:pt>
                <c:pt idx="18">
                  <c:v>Maggi Omelette Noodles</c:v>
                </c:pt>
                <c:pt idx="19">
                  <c:v>Maggie</c:v>
                </c:pt>
                <c:pt idx="20">
                  <c:v>Masala Dosa </c:v>
                </c:pt>
                <c:pt idx="21">
                  <c:v>Mushroom Chilli</c:v>
                </c:pt>
                <c:pt idx="22">
                  <c:v>Omlets with Bread Toast</c:v>
                </c:pt>
                <c:pt idx="23">
                  <c:v>Onion paratha</c:v>
                </c:pt>
                <c:pt idx="24">
                  <c:v>Paneer Grill Sandwich</c:v>
                </c:pt>
                <c:pt idx="25">
                  <c:v>Paneer Manchurian</c:v>
                </c:pt>
                <c:pt idx="26">
                  <c:v>Paneer paratha</c:v>
                </c:pt>
                <c:pt idx="27">
                  <c:v>Paneer Roll</c:v>
                </c:pt>
                <c:pt idx="28">
                  <c:v>Paneer Tikka</c:v>
                </c:pt>
                <c:pt idx="29">
                  <c:v>Pani Puri</c:v>
                </c:pt>
                <c:pt idx="30">
                  <c:v>Parotta</c:v>
                </c:pt>
                <c:pt idx="31">
                  <c:v>Plain Roti</c:v>
                </c:pt>
                <c:pt idx="32">
                  <c:v>Shahi Paneer Masala</c:v>
                </c:pt>
                <c:pt idx="33">
                  <c:v>Tawa chicken roll</c:v>
                </c:pt>
                <c:pt idx="34">
                  <c:v>Veg Biryani</c:v>
                </c:pt>
                <c:pt idx="35">
                  <c:v>Veg Burger</c:v>
                </c:pt>
                <c:pt idx="36">
                  <c:v>Veg Chowmine</c:v>
                </c:pt>
                <c:pt idx="37">
                  <c:v>Veg Country Pizza</c:v>
                </c:pt>
                <c:pt idx="38">
                  <c:v>Veg Grill Sandwich</c:v>
                </c:pt>
                <c:pt idx="39">
                  <c:v>Veg Hawaiian Pizza</c:v>
                </c:pt>
              </c:strCache>
            </c:strRef>
          </c:cat>
          <c:val>
            <c:numRef>
              <c:f>Sheet6!$C$4:$C$44</c:f>
              <c:numCache>
                <c:formatCode>General</c:formatCode>
                <c:ptCount val="40"/>
                <c:pt idx="0">
                  <c:v>53.333333333333336</c:v>
                </c:pt>
                <c:pt idx="1">
                  <c:v>75</c:v>
                </c:pt>
                <c:pt idx="2">
                  <c:v>80</c:v>
                </c:pt>
                <c:pt idx="3">
                  <c:v>43.821656050955418</c:v>
                </c:pt>
                <c:pt idx="4">
                  <c:v>27.496365872749635</c:v>
                </c:pt>
                <c:pt idx="5">
                  <c:v>51.102292768959437</c:v>
                </c:pt>
                <c:pt idx="6">
                  <c:v>29.771908763505401</c:v>
                </c:pt>
                <c:pt idx="7">
                  <c:v>28.841288581548323</c:v>
                </c:pt>
                <c:pt idx="8">
                  <c:v>29.888027562446169</c:v>
                </c:pt>
                <c:pt idx="9">
                  <c:v>25.186428038777031</c:v>
                </c:pt>
                <c:pt idx="10">
                  <c:v>27.899530036282172</c:v>
                </c:pt>
                <c:pt idx="11">
                  <c:v>29.178040643008796</c:v>
                </c:pt>
                <c:pt idx="12">
                  <c:v>27.30310262529833</c:v>
                </c:pt>
                <c:pt idx="13">
                  <c:v>22.997055633038897</c:v>
                </c:pt>
                <c:pt idx="14">
                  <c:v>29.797914789548201</c:v>
                </c:pt>
                <c:pt idx="15">
                  <c:v>88.333333333333329</c:v>
                </c:pt>
                <c:pt idx="16">
                  <c:v>27.817015187185522</c:v>
                </c:pt>
                <c:pt idx="17">
                  <c:v>50.957854406130267</c:v>
                </c:pt>
                <c:pt idx="18">
                  <c:v>27.340823970037455</c:v>
                </c:pt>
                <c:pt idx="19">
                  <c:v>60.896860986547082</c:v>
                </c:pt>
                <c:pt idx="20">
                  <c:v>84.333333333333343</c:v>
                </c:pt>
                <c:pt idx="21">
                  <c:v>73.333333333333329</c:v>
                </c:pt>
                <c:pt idx="22">
                  <c:v>29.656862745098039</c:v>
                </c:pt>
                <c:pt idx="23">
                  <c:v>64.444444444444443</c:v>
                </c:pt>
                <c:pt idx="24">
                  <c:v>58.333333333333336</c:v>
                </c:pt>
                <c:pt idx="25">
                  <c:v>50</c:v>
                </c:pt>
                <c:pt idx="26">
                  <c:v>94.666666666666671</c:v>
                </c:pt>
                <c:pt idx="27">
                  <c:v>82.666666666666671</c:v>
                </c:pt>
                <c:pt idx="28">
                  <c:v>66.666666666666657</c:v>
                </c:pt>
                <c:pt idx="29">
                  <c:v>76.829268292682926</c:v>
                </c:pt>
                <c:pt idx="30">
                  <c:v>47.467041279446725</c:v>
                </c:pt>
                <c:pt idx="31">
                  <c:v>42.164111812443643</c:v>
                </c:pt>
                <c:pt idx="32">
                  <c:v>64.663023679417122</c:v>
                </c:pt>
                <c:pt idx="33">
                  <c:v>26.805845511482257</c:v>
                </c:pt>
                <c:pt idx="34">
                  <c:v>80</c:v>
                </c:pt>
                <c:pt idx="35">
                  <c:v>77.142857142857153</c:v>
                </c:pt>
                <c:pt idx="36">
                  <c:v>85</c:v>
                </c:pt>
                <c:pt idx="37">
                  <c:v>59.090909090909093</c:v>
                </c:pt>
                <c:pt idx="38">
                  <c:v>75.16339869281046</c:v>
                </c:pt>
                <c:pt idx="39">
                  <c:v>58.18181818181818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5-4363-97C1-31A5F82E2ED1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Qty 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Sheet6!$A$4:$A$44</c:f>
              <c:strCache>
                <c:ptCount val="40"/>
                <c:pt idx="0">
                  <c:v> Veg Paneer Pizza</c:v>
                </c:pt>
                <c:pt idx="1">
                  <c:v>Aloo paratha</c:v>
                </c:pt>
                <c:pt idx="2">
                  <c:v>Aloo Puri</c:v>
                </c:pt>
                <c:pt idx="3">
                  <c:v>Aloo Tikki Chat</c:v>
                </c:pt>
                <c:pt idx="4">
                  <c:v>Barbequed Chicken Pizza</c:v>
                </c:pt>
                <c:pt idx="5">
                  <c:v>Butter Roti</c:v>
                </c:pt>
                <c:pt idx="6">
                  <c:v>Chicken 65 Dry</c:v>
                </c:pt>
                <c:pt idx="7">
                  <c:v>Chicken Biryani</c:v>
                </c:pt>
                <c:pt idx="8">
                  <c:v>Chicken Grill Sandwich</c:v>
                </c:pt>
                <c:pt idx="9">
                  <c:v>Chicken Kabab</c:v>
                </c:pt>
                <c:pt idx="10">
                  <c:v>Chicken Roll</c:v>
                </c:pt>
                <c:pt idx="11">
                  <c:v>Chicken Tikka</c:v>
                </c:pt>
                <c:pt idx="12">
                  <c:v>Egg Bhujia</c:v>
                </c:pt>
                <c:pt idx="13">
                  <c:v>Egg Manchurian</c:v>
                </c:pt>
                <c:pt idx="14">
                  <c:v>Egg Roll</c:v>
                </c:pt>
                <c:pt idx="15">
                  <c:v>Gobi paratha</c:v>
                </c:pt>
                <c:pt idx="16">
                  <c:v>Hyderabadi Mutton Biryani</c:v>
                </c:pt>
                <c:pt idx="17">
                  <c:v>Kulcha Naan</c:v>
                </c:pt>
                <c:pt idx="18">
                  <c:v>Maggi Omelette Noodles</c:v>
                </c:pt>
                <c:pt idx="19">
                  <c:v>Maggie</c:v>
                </c:pt>
                <c:pt idx="20">
                  <c:v>Masala Dosa </c:v>
                </c:pt>
                <c:pt idx="21">
                  <c:v>Mushroom Chilli</c:v>
                </c:pt>
                <c:pt idx="22">
                  <c:v>Omlets with Bread Toast</c:v>
                </c:pt>
                <c:pt idx="23">
                  <c:v>Onion paratha</c:v>
                </c:pt>
                <c:pt idx="24">
                  <c:v>Paneer Grill Sandwich</c:v>
                </c:pt>
                <c:pt idx="25">
                  <c:v>Paneer Manchurian</c:v>
                </c:pt>
                <c:pt idx="26">
                  <c:v>Paneer paratha</c:v>
                </c:pt>
                <c:pt idx="27">
                  <c:v>Paneer Roll</c:v>
                </c:pt>
                <c:pt idx="28">
                  <c:v>Paneer Tikka</c:v>
                </c:pt>
                <c:pt idx="29">
                  <c:v>Pani Puri</c:v>
                </c:pt>
                <c:pt idx="30">
                  <c:v>Parotta</c:v>
                </c:pt>
                <c:pt idx="31">
                  <c:v>Plain Roti</c:v>
                </c:pt>
                <c:pt idx="32">
                  <c:v>Shahi Paneer Masala</c:v>
                </c:pt>
                <c:pt idx="33">
                  <c:v>Tawa chicken roll</c:v>
                </c:pt>
                <c:pt idx="34">
                  <c:v>Veg Biryani</c:v>
                </c:pt>
                <c:pt idx="35">
                  <c:v>Veg Burger</c:v>
                </c:pt>
                <c:pt idx="36">
                  <c:v>Veg Chowmine</c:v>
                </c:pt>
                <c:pt idx="37">
                  <c:v>Veg Country Pizza</c:v>
                </c:pt>
                <c:pt idx="38">
                  <c:v>Veg Grill Sandwich</c:v>
                </c:pt>
                <c:pt idx="39">
                  <c:v>Veg Hawaiian Pizza</c:v>
                </c:pt>
              </c:strCache>
            </c:strRef>
          </c:cat>
          <c:val>
            <c:numRef>
              <c:f>Sheet6!$D$4:$D$44</c:f>
              <c:numCache>
                <c:formatCode>General</c:formatCode>
                <c:ptCount val="40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157</c:v>
                </c:pt>
                <c:pt idx="4">
                  <c:v>813</c:v>
                </c:pt>
                <c:pt idx="5">
                  <c:v>2268</c:v>
                </c:pt>
                <c:pt idx="6">
                  <c:v>595</c:v>
                </c:pt>
                <c:pt idx="7">
                  <c:v>847</c:v>
                </c:pt>
                <c:pt idx="8">
                  <c:v>860</c:v>
                </c:pt>
                <c:pt idx="9">
                  <c:v>1341</c:v>
                </c:pt>
                <c:pt idx="10">
                  <c:v>1521</c:v>
                </c:pt>
                <c:pt idx="11">
                  <c:v>471</c:v>
                </c:pt>
                <c:pt idx="12">
                  <c:v>419</c:v>
                </c:pt>
                <c:pt idx="13">
                  <c:v>478</c:v>
                </c:pt>
                <c:pt idx="14">
                  <c:v>914</c:v>
                </c:pt>
                <c:pt idx="15">
                  <c:v>150</c:v>
                </c:pt>
                <c:pt idx="16">
                  <c:v>747</c:v>
                </c:pt>
                <c:pt idx="17">
                  <c:v>1740</c:v>
                </c:pt>
                <c:pt idx="18">
                  <c:v>356</c:v>
                </c:pt>
                <c:pt idx="19">
                  <c:v>223</c:v>
                </c:pt>
                <c:pt idx="20">
                  <c:v>250</c:v>
                </c:pt>
                <c:pt idx="21">
                  <c:v>300</c:v>
                </c:pt>
                <c:pt idx="22">
                  <c:v>1200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250</c:v>
                </c:pt>
                <c:pt idx="27">
                  <c:v>300</c:v>
                </c:pt>
                <c:pt idx="28">
                  <c:v>200</c:v>
                </c:pt>
                <c:pt idx="29">
                  <c:v>164</c:v>
                </c:pt>
                <c:pt idx="30">
                  <c:v>2644</c:v>
                </c:pt>
                <c:pt idx="31">
                  <c:v>1109</c:v>
                </c:pt>
                <c:pt idx="32">
                  <c:v>244</c:v>
                </c:pt>
                <c:pt idx="33">
                  <c:v>958</c:v>
                </c:pt>
                <c:pt idx="34">
                  <c:v>150</c:v>
                </c:pt>
                <c:pt idx="35">
                  <c:v>200</c:v>
                </c:pt>
                <c:pt idx="36">
                  <c:v>150</c:v>
                </c:pt>
                <c:pt idx="37">
                  <c:v>330</c:v>
                </c:pt>
                <c:pt idx="38">
                  <c:v>306</c:v>
                </c:pt>
                <c:pt idx="3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5-4363-97C1-31A5F82E2ED1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Cost Per Serving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Sheet6!$A$4:$A$44</c:f>
              <c:strCache>
                <c:ptCount val="40"/>
                <c:pt idx="0">
                  <c:v> Veg Paneer Pizza</c:v>
                </c:pt>
                <c:pt idx="1">
                  <c:v>Aloo paratha</c:v>
                </c:pt>
                <c:pt idx="2">
                  <c:v>Aloo Puri</c:v>
                </c:pt>
                <c:pt idx="3">
                  <c:v>Aloo Tikki Chat</c:v>
                </c:pt>
                <c:pt idx="4">
                  <c:v>Barbequed Chicken Pizza</c:v>
                </c:pt>
                <c:pt idx="5">
                  <c:v>Butter Roti</c:v>
                </c:pt>
                <c:pt idx="6">
                  <c:v>Chicken 65 Dry</c:v>
                </c:pt>
                <c:pt idx="7">
                  <c:v>Chicken Biryani</c:v>
                </c:pt>
                <c:pt idx="8">
                  <c:v>Chicken Grill Sandwich</c:v>
                </c:pt>
                <c:pt idx="9">
                  <c:v>Chicken Kabab</c:v>
                </c:pt>
                <c:pt idx="10">
                  <c:v>Chicken Roll</c:v>
                </c:pt>
                <c:pt idx="11">
                  <c:v>Chicken Tikka</c:v>
                </c:pt>
                <c:pt idx="12">
                  <c:v>Egg Bhujia</c:v>
                </c:pt>
                <c:pt idx="13">
                  <c:v>Egg Manchurian</c:v>
                </c:pt>
                <c:pt idx="14">
                  <c:v>Egg Roll</c:v>
                </c:pt>
                <c:pt idx="15">
                  <c:v>Gobi paratha</c:v>
                </c:pt>
                <c:pt idx="16">
                  <c:v>Hyderabadi Mutton Biryani</c:v>
                </c:pt>
                <c:pt idx="17">
                  <c:v>Kulcha Naan</c:v>
                </c:pt>
                <c:pt idx="18">
                  <c:v>Maggi Omelette Noodles</c:v>
                </c:pt>
                <c:pt idx="19">
                  <c:v>Maggie</c:v>
                </c:pt>
                <c:pt idx="20">
                  <c:v>Masala Dosa </c:v>
                </c:pt>
                <c:pt idx="21">
                  <c:v>Mushroom Chilli</c:v>
                </c:pt>
                <c:pt idx="22">
                  <c:v>Omlets with Bread Toast</c:v>
                </c:pt>
                <c:pt idx="23">
                  <c:v>Onion paratha</c:v>
                </c:pt>
                <c:pt idx="24">
                  <c:v>Paneer Grill Sandwich</c:v>
                </c:pt>
                <c:pt idx="25">
                  <c:v>Paneer Manchurian</c:v>
                </c:pt>
                <c:pt idx="26">
                  <c:v>Paneer paratha</c:v>
                </c:pt>
                <c:pt idx="27">
                  <c:v>Paneer Roll</c:v>
                </c:pt>
                <c:pt idx="28">
                  <c:v>Paneer Tikka</c:v>
                </c:pt>
                <c:pt idx="29">
                  <c:v>Pani Puri</c:v>
                </c:pt>
                <c:pt idx="30">
                  <c:v>Parotta</c:v>
                </c:pt>
                <c:pt idx="31">
                  <c:v>Plain Roti</c:v>
                </c:pt>
                <c:pt idx="32">
                  <c:v>Shahi Paneer Masala</c:v>
                </c:pt>
                <c:pt idx="33">
                  <c:v>Tawa chicken roll</c:v>
                </c:pt>
                <c:pt idx="34">
                  <c:v>Veg Biryani</c:v>
                </c:pt>
                <c:pt idx="35">
                  <c:v>Veg Burger</c:v>
                </c:pt>
                <c:pt idx="36">
                  <c:v>Veg Chowmine</c:v>
                </c:pt>
                <c:pt idx="37">
                  <c:v>Veg Country Pizza</c:v>
                </c:pt>
                <c:pt idx="38">
                  <c:v>Veg Grill Sandwich</c:v>
                </c:pt>
                <c:pt idx="39">
                  <c:v>Veg Hawaiian Pizza</c:v>
                </c:pt>
              </c:strCache>
            </c:strRef>
          </c:cat>
          <c:val>
            <c:numRef>
              <c:f>Sheet6!$E$4:$E$44</c:f>
              <c:numCache>
                <c:formatCode>General</c:formatCode>
                <c:ptCount val="40"/>
                <c:pt idx="0">
                  <c:v>100</c:v>
                </c:pt>
                <c:pt idx="1">
                  <c:v>30</c:v>
                </c:pt>
                <c:pt idx="2">
                  <c:v>80</c:v>
                </c:pt>
                <c:pt idx="3">
                  <c:v>20</c:v>
                </c:pt>
                <c:pt idx="4">
                  <c:v>150</c:v>
                </c:pt>
                <c:pt idx="5">
                  <c:v>20</c:v>
                </c:pt>
                <c:pt idx="6">
                  <c:v>80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75</c:v>
                </c:pt>
                <c:pt idx="11">
                  <c:v>100</c:v>
                </c:pt>
                <c:pt idx="12">
                  <c:v>40</c:v>
                </c:pt>
                <c:pt idx="13">
                  <c:v>60</c:v>
                </c:pt>
                <c:pt idx="14">
                  <c:v>50</c:v>
                </c:pt>
                <c:pt idx="15">
                  <c:v>45</c:v>
                </c:pt>
                <c:pt idx="16">
                  <c:v>160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100</c:v>
                </c:pt>
                <c:pt idx="21">
                  <c:v>100</c:v>
                </c:pt>
                <c:pt idx="22">
                  <c:v>50</c:v>
                </c:pt>
                <c:pt idx="23">
                  <c:v>30</c:v>
                </c:pt>
                <c:pt idx="24">
                  <c:v>50</c:v>
                </c:pt>
                <c:pt idx="25">
                  <c:v>40</c:v>
                </c:pt>
                <c:pt idx="26">
                  <c:v>50</c:v>
                </c:pt>
                <c:pt idx="27">
                  <c:v>40</c:v>
                </c:pt>
                <c:pt idx="28">
                  <c:v>90</c:v>
                </c:pt>
                <c:pt idx="29">
                  <c:v>80</c:v>
                </c:pt>
                <c:pt idx="30">
                  <c:v>33</c:v>
                </c:pt>
                <c:pt idx="31">
                  <c:v>10</c:v>
                </c:pt>
                <c:pt idx="32">
                  <c:v>50</c:v>
                </c:pt>
                <c:pt idx="33">
                  <c:v>80</c:v>
                </c:pt>
                <c:pt idx="34">
                  <c:v>70</c:v>
                </c:pt>
                <c:pt idx="35">
                  <c:v>50</c:v>
                </c:pt>
                <c:pt idx="36">
                  <c:v>90</c:v>
                </c:pt>
                <c:pt idx="37">
                  <c:v>100</c:v>
                </c:pt>
                <c:pt idx="38">
                  <c:v>50</c:v>
                </c:pt>
                <c:pt idx="3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8-445F-8B14-1286B90B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6634496"/>
        <c:axId val="489751624"/>
        <c:axId val="0"/>
      </c:bar3DChart>
      <c:catAx>
        <c:axId val="49663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S"/>
          </a:p>
        </c:txPr>
        <c:crossAx val="489751624"/>
        <c:crosses val="autoZero"/>
        <c:auto val="1"/>
        <c:lblAlgn val="ctr"/>
        <c:lblOffset val="100"/>
        <c:noMultiLvlLbl val="0"/>
      </c:catAx>
      <c:valAx>
        <c:axId val="4897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S"/>
          </a:p>
        </c:txPr>
        <c:crossAx val="4966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1a1.xlsx]Sheet7!PivotTable3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L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002142195460863"/>
          <c:y val="8.231262758821814E-2"/>
          <c:w val="0.52752084298286239"/>
          <c:h val="0.866761446485856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Contribution Margin =(S.P-C.P)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Sheet7!$A$4:$A$20</c:f>
              <c:strCache>
                <c:ptCount val="16"/>
                <c:pt idx="0">
                  <c:v>Arabian Falooda</c:v>
                </c:pt>
                <c:pt idx="1">
                  <c:v>Black Currant Tea Soda</c:v>
                </c:pt>
                <c:pt idx="2">
                  <c:v>Cream Berry Soda</c:v>
                </c:pt>
                <c:pt idx="3">
                  <c:v>Fruit Punch</c:v>
                </c:pt>
                <c:pt idx="4">
                  <c:v>Ginger Cooler</c:v>
                </c:pt>
                <c:pt idx="5">
                  <c:v>Ginger Pineapple Punch</c:v>
                </c:pt>
                <c:pt idx="6">
                  <c:v>Kulfi Falooda</c:v>
                </c:pt>
                <c:pt idx="7">
                  <c:v>Mini Falooda</c:v>
                </c:pt>
                <c:pt idx="8">
                  <c:v>Mint Soda</c:v>
                </c:pt>
                <c:pt idx="9">
                  <c:v>Mirchi Citrus</c:v>
                </c:pt>
                <c:pt idx="10">
                  <c:v>Pink Mango</c:v>
                </c:pt>
                <c:pt idx="11">
                  <c:v>Rose Falooda</c:v>
                </c:pt>
                <c:pt idx="12">
                  <c:v>Royal Falooda</c:v>
                </c:pt>
                <c:pt idx="13">
                  <c:v>Serial Kiwi Soda</c:v>
                </c:pt>
                <c:pt idx="14">
                  <c:v>Strawberry Tea Soda</c:v>
                </c:pt>
                <c:pt idx="15">
                  <c:v>Sunrise Delight</c:v>
                </c:pt>
              </c:strCache>
            </c:strRef>
          </c:cat>
          <c:val>
            <c:numRef>
              <c:f>Sheet7!$B$4:$B$20</c:f>
              <c:numCache>
                <c:formatCode>General</c:formatCode>
                <c:ptCount val="16"/>
                <c:pt idx="0">
                  <c:v>61360</c:v>
                </c:pt>
                <c:pt idx="1">
                  <c:v>57330</c:v>
                </c:pt>
                <c:pt idx="2">
                  <c:v>44980</c:v>
                </c:pt>
                <c:pt idx="3">
                  <c:v>55625</c:v>
                </c:pt>
                <c:pt idx="4">
                  <c:v>36000</c:v>
                </c:pt>
                <c:pt idx="5">
                  <c:v>51448</c:v>
                </c:pt>
                <c:pt idx="6">
                  <c:v>80000</c:v>
                </c:pt>
                <c:pt idx="7">
                  <c:v>134820</c:v>
                </c:pt>
                <c:pt idx="8">
                  <c:v>36000</c:v>
                </c:pt>
                <c:pt idx="9">
                  <c:v>37260</c:v>
                </c:pt>
                <c:pt idx="10">
                  <c:v>54000</c:v>
                </c:pt>
                <c:pt idx="11">
                  <c:v>31500</c:v>
                </c:pt>
                <c:pt idx="12">
                  <c:v>126250</c:v>
                </c:pt>
                <c:pt idx="13">
                  <c:v>50000</c:v>
                </c:pt>
                <c:pt idx="14">
                  <c:v>53125</c:v>
                </c:pt>
                <c:pt idx="15">
                  <c:v>64350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5-4912-9195-7D80B860AC91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Cost per serving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Sheet7!$A$4:$A$20</c:f>
              <c:strCache>
                <c:ptCount val="16"/>
                <c:pt idx="0">
                  <c:v>Arabian Falooda</c:v>
                </c:pt>
                <c:pt idx="1">
                  <c:v>Black Currant Tea Soda</c:v>
                </c:pt>
                <c:pt idx="2">
                  <c:v>Cream Berry Soda</c:v>
                </c:pt>
                <c:pt idx="3">
                  <c:v>Fruit Punch</c:v>
                </c:pt>
                <c:pt idx="4">
                  <c:v>Ginger Cooler</c:v>
                </c:pt>
                <c:pt idx="5">
                  <c:v>Ginger Pineapple Punch</c:v>
                </c:pt>
                <c:pt idx="6">
                  <c:v>Kulfi Falooda</c:v>
                </c:pt>
                <c:pt idx="7">
                  <c:v>Mini Falooda</c:v>
                </c:pt>
                <c:pt idx="8">
                  <c:v>Mint Soda</c:v>
                </c:pt>
                <c:pt idx="9">
                  <c:v>Mirchi Citrus</c:v>
                </c:pt>
                <c:pt idx="10">
                  <c:v>Pink Mango</c:v>
                </c:pt>
                <c:pt idx="11">
                  <c:v>Rose Falooda</c:v>
                </c:pt>
                <c:pt idx="12">
                  <c:v>Royal Falooda</c:v>
                </c:pt>
                <c:pt idx="13">
                  <c:v>Serial Kiwi Soda</c:v>
                </c:pt>
                <c:pt idx="14">
                  <c:v>Strawberry Tea Soda</c:v>
                </c:pt>
                <c:pt idx="15">
                  <c:v>Sunrise Delight</c:v>
                </c:pt>
              </c:strCache>
            </c:strRef>
          </c:cat>
          <c:val>
            <c:numRef>
              <c:f>Sheet7!$C$4:$C$20</c:f>
              <c:numCache>
                <c:formatCode>General</c:formatCode>
                <c:ptCount val="1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20</c:v>
                </c:pt>
                <c:pt idx="12">
                  <c:v>25</c:v>
                </c:pt>
                <c:pt idx="13">
                  <c:v>35</c:v>
                </c:pt>
                <c:pt idx="14">
                  <c:v>25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5-4912-9195-7D80B860AC91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Qty Sold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Sheet7!$A$4:$A$20</c:f>
              <c:strCache>
                <c:ptCount val="16"/>
                <c:pt idx="0">
                  <c:v>Arabian Falooda</c:v>
                </c:pt>
                <c:pt idx="1">
                  <c:v>Black Currant Tea Soda</c:v>
                </c:pt>
                <c:pt idx="2">
                  <c:v>Cream Berry Soda</c:v>
                </c:pt>
                <c:pt idx="3">
                  <c:v>Fruit Punch</c:v>
                </c:pt>
                <c:pt idx="4">
                  <c:v>Ginger Cooler</c:v>
                </c:pt>
                <c:pt idx="5">
                  <c:v>Ginger Pineapple Punch</c:v>
                </c:pt>
                <c:pt idx="6">
                  <c:v>Kulfi Falooda</c:v>
                </c:pt>
                <c:pt idx="7">
                  <c:v>Mini Falooda</c:v>
                </c:pt>
                <c:pt idx="8">
                  <c:v>Mint Soda</c:v>
                </c:pt>
                <c:pt idx="9">
                  <c:v>Mirchi Citrus</c:v>
                </c:pt>
                <c:pt idx="10">
                  <c:v>Pink Mango</c:v>
                </c:pt>
                <c:pt idx="11">
                  <c:v>Rose Falooda</c:v>
                </c:pt>
                <c:pt idx="12">
                  <c:v>Royal Falooda</c:v>
                </c:pt>
                <c:pt idx="13">
                  <c:v>Serial Kiwi Soda</c:v>
                </c:pt>
                <c:pt idx="14">
                  <c:v>Strawberry Tea Soda</c:v>
                </c:pt>
                <c:pt idx="15">
                  <c:v>Sunrise Delight</c:v>
                </c:pt>
              </c:strCache>
            </c:strRef>
          </c:cat>
          <c:val>
            <c:numRef>
              <c:f>Sheet7!$D$4:$D$20</c:f>
              <c:numCache>
                <c:formatCode>General</c:formatCode>
                <c:ptCount val="16"/>
                <c:pt idx="0">
                  <c:v>472</c:v>
                </c:pt>
                <c:pt idx="1">
                  <c:v>441</c:v>
                </c:pt>
                <c:pt idx="2">
                  <c:v>346</c:v>
                </c:pt>
                <c:pt idx="3">
                  <c:v>445</c:v>
                </c:pt>
                <c:pt idx="4">
                  <c:v>400</c:v>
                </c:pt>
                <c:pt idx="5">
                  <c:v>436</c:v>
                </c:pt>
                <c:pt idx="6">
                  <c:v>640</c:v>
                </c:pt>
                <c:pt idx="7">
                  <c:v>1498</c:v>
                </c:pt>
                <c:pt idx="8">
                  <c:v>400</c:v>
                </c:pt>
                <c:pt idx="9">
                  <c:v>414</c:v>
                </c:pt>
                <c:pt idx="10">
                  <c:v>450</c:v>
                </c:pt>
                <c:pt idx="11">
                  <c:v>350</c:v>
                </c:pt>
                <c:pt idx="12">
                  <c:v>1010</c:v>
                </c:pt>
                <c:pt idx="13">
                  <c:v>400</c:v>
                </c:pt>
                <c:pt idx="14">
                  <c:v>425</c:v>
                </c:pt>
                <c:pt idx="15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5-4912-9195-7D80B860AC91}"/>
            </c:ext>
          </c:extLst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Food Cost %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Sheet7!$A$4:$A$20</c:f>
              <c:strCache>
                <c:ptCount val="16"/>
                <c:pt idx="0">
                  <c:v>Arabian Falooda</c:v>
                </c:pt>
                <c:pt idx="1">
                  <c:v>Black Currant Tea Soda</c:v>
                </c:pt>
                <c:pt idx="2">
                  <c:v>Cream Berry Soda</c:v>
                </c:pt>
                <c:pt idx="3">
                  <c:v>Fruit Punch</c:v>
                </c:pt>
                <c:pt idx="4">
                  <c:v>Ginger Cooler</c:v>
                </c:pt>
                <c:pt idx="5">
                  <c:v>Ginger Pineapple Punch</c:v>
                </c:pt>
                <c:pt idx="6">
                  <c:v>Kulfi Falooda</c:v>
                </c:pt>
                <c:pt idx="7">
                  <c:v>Mini Falooda</c:v>
                </c:pt>
                <c:pt idx="8">
                  <c:v>Mint Soda</c:v>
                </c:pt>
                <c:pt idx="9">
                  <c:v>Mirchi Citrus</c:v>
                </c:pt>
                <c:pt idx="10">
                  <c:v>Pink Mango</c:v>
                </c:pt>
                <c:pt idx="11">
                  <c:v>Rose Falooda</c:v>
                </c:pt>
                <c:pt idx="12">
                  <c:v>Royal Falooda</c:v>
                </c:pt>
                <c:pt idx="13">
                  <c:v>Serial Kiwi Soda</c:v>
                </c:pt>
                <c:pt idx="14">
                  <c:v>Strawberry Tea Soda</c:v>
                </c:pt>
                <c:pt idx="15">
                  <c:v>Sunrise Delight</c:v>
                </c:pt>
              </c:strCache>
            </c:strRef>
          </c:cat>
          <c:val>
            <c:numRef>
              <c:f>Sheet7!$E$4:$E$20</c:f>
              <c:numCache>
                <c:formatCode>General</c:formatCode>
                <c:ptCount val="16"/>
                <c:pt idx="0">
                  <c:v>18.882415254237291</c:v>
                </c:pt>
                <c:pt idx="1">
                  <c:v>18.89172335600907</c:v>
                </c:pt>
                <c:pt idx="2">
                  <c:v>18.930635838150287</c:v>
                </c:pt>
                <c:pt idx="3">
                  <c:v>16.816479400749063</c:v>
                </c:pt>
                <c:pt idx="4">
                  <c:v>18.409090909090907</c:v>
                </c:pt>
                <c:pt idx="5">
                  <c:v>21.486238532110093</c:v>
                </c:pt>
                <c:pt idx="6">
                  <c:v>16.770833333333332</c:v>
                </c:pt>
                <c:pt idx="7">
                  <c:v>18.242505158393008</c:v>
                </c:pt>
                <c:pt idx="8">
                  <c:v>18.409090909090907</c:v>
                </c:pt>
                <c:pt idx="9">
                  <c:v>18.401405357927096</c:v>
                </c:pt>
                <c:pt idx="10">
                  <c:v>20.148148148148149</c:v>
                </c:pt>
                <c:pt idx="11">
                  <c:v>18.441558441558442</c:v>
                </c:pt>
                <c:pt idx="12">
                  <c:v>16.732673267326735</c:v>
                </c:pt>
                <c:pt idx="13">
                  <c:v>22.03125</c:v>
                </c:pt>
                <c:pt idx="14">
                  <c:v>16.823529411764707</c:v>
                </c:pt>
                <c:pt idx="15">
                  <c:v>18.876262626262626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01A-41AC-A1F2-C8514C90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479528"/>
        <c:axId val="626486088"/>
      </c:barChart>
      <c:catAx>
        <c:axId val="62647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ahnschrift Light Condensed" panose="020B0502040204020203" pitchFamily="34" charset="0"/>
                <a:ea typeface="+mn-ea"/>
                <a:cs typeface="+mn-cs"/>
              </a:defRPr>
            </a:pPr>
            <a:endParaRPr lang="en-LS"/>
          </a:p>
        </c:txPr>
        <c:crossAx val="626486088"/>
        <c:crosses val="autoZero"/>
        <c:auto val="1"/>
        <c:lblAlgn val="ctr"/>
        <c:lblOffset val="100"/>
        <c:noMultiLvlLbl val="0"/>
      </c:catAx>
      <c:valAx>
        <c:axId val="6264860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64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0967501271152211E-2"/>
          <c:y val="0.12434596117963129"/>
          <c:w val="0.14153293191292265"/>
          <c:h val="0.3579070778678154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L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52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L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0615AB-AE00-427B-BF8B-3A5651749393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4232D-C15A-4D68-A4BA-D07510DEE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1162918</xdr:colOff>
      <xdr:row>2</xdr:row>
      <xdr:rowOff>275812</xdr:rowOff>
    </xdr:from>
    <xdr:to>
      <xdr:col>0</xdr:col>
      <xdr:colOff>1444248</xdr:colOff>
      <xdr:row>2</xdr:row>
      <xdr:rowOff>380305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9E1DFD4-AA79-4E78-BD45-2AD244A1BE07}"/>
            </a:ext>
          </a:extLst>
        </xdr:cNvPr>
        <xdr:cNvSpPr/>
      </xdr:nvSpPr>
      <xdr:spPr>
        <a:xfrm>
          <a:off x="1162918" y="727846"/>
          <a:ext cx="281330" cy="1044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LS" sz="1100"/>
        </a:p>
      </xdr:txBody>
    </xdr:sp>
    <xdr:clientData/>
  </xdr:twoCellAnchor>
  <xdr:twoCellAnchor>
    <xdr:from>
      <xdr:col>0</xdr:col>
      <xdr:colOff>690751</xdr:colOff>
      <xdr:row>2</xdr:row>
      <xdr:rowOff>632201</xdr:rowOff>
    </xdr:from>
    <xdr:to>
      <xdr:col>0</xdr:col>
      <xdr:colOff>786001</xdr:colOff>
      <xdr:row>2</xdr:row>
      <xdr:rowOff>778251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A9F272F-A8E4-48C7-9B5C-0A51DDD14C36}"/>
            </a:ext>
          </a:extLst>
        </xdr:cNvPr>
        <xdr:cNvSpPr/>
      </xdr:nvSpPr>
      <xdr:spPr>
        <a:xfrm>
          <a:off x="690751" y="1084235"/>
          <a:ext cx="95250" cy="146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L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9</xdr:row>
      <xdr:rowOff>15875</xdr:rowOff>
    </xdr:from>
    <xdr:to>
      <xdr:col>2</xdr:col>
      <xdr:colOff>881062</xdr:colOff>
      <xdr:row>10</xdr:row>
      <xdr:rowOff>182562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5699E2FB-F6D0-4C59-B25A-115357A70471}"/>
            </a:ext>
          </a:extLst>
        </xdr:cNvPr>
        <xdr:cNvSpPr/>
      </xdr:nvSpPr>
      <xdr:spPr>
        <a:xfrm>
          <a:off x="2820987" y="1698625"/>
          <a:ext cx="333375" cy="363537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33337</xdr:colOff>
      <xdr:row>9</xdr:row>
      <xdr:rowOff>17463</xdr:rowOff>
    </xdr:from>
    <xdr:to>
      <xdr:col>5</xdr:col>
      <xdr:colOff>366712</xdr:colOff>
      <xdr:row>10</xdr:row>
      <xdr:rowOff>184150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5C52CA82-82C8-4C1E-8C11-1D312985D067}"/>
            </a:ext>
          </a:extLst>
        </xdr:cNvPr>
        <xdr:cNvSpPr/>
      </xdr:nvSpPr>
      <xdr:spPr>
        <a:xfrm>
          <a:off x="5011737" y="1700213"/>
          <a:ext cx="333375" cy="363537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288924</xdr:colOff>
      <xdr:row>9</xdr:row>
      <xdr:rowOff>26988</xdr:rowOff>
    </xdr:from>
    <xdr:to>
      <xdr:col>6</xdr:col>
      <xdr:colOff>11111</xdr:colOff>
      <xdr:row>10</xdr:row>
      <xdr:rowOff>193675</xdr:rowOff>
    </xdr:to>
    <xdr:sp macro="" textlink="">
      <xdr:nvSpPr>
        <xdr:cNvPr id="4" name="Chevron 3">
          <a:extLst>
            <a:ext uri="{FF2B5EF4-FFF2-40B4-BE49-F238E27FC236}">
              <a16:creationId xmlns:a16="http://schemas.microsoft.com/office/drawing/2014/main" id="{96904262-A090-42BB-A055-24BDCD77F602}"/>
            </a:ext>
          </a:extLst>
        </xdr:cNvPr>
        <xdr:cNvSpPr/>
      </xdr:nvSpPr>
      <xdr:spPr>
        <a:xfrm>
          <a:off x="5267324" y="1709738"/>
          <a:ext cx="331787" cy="363537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515940</xdr:colOff>
      <xdr:row>0</xdr:row>
      <xdr:rowOff>92604</xdr:rowOff>
    </xdr:from>
    <xdr:to>
      <xdr:col>23</xdr:col>
      <xdr:colOff>251355</xdr:colOff>
      <xdr:row>45</xdr:row>
      <xdr:rowOff>141313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09BF6-FB3A-4AFC-A2D1-033B41D7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63500</xdr:rowOff>
    </xdr:from>
    <xdr:to>
      <xdr:col>22</xdr:col>
      <xdr:colOff>552450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7B345-9E8A-4350-B0BB-85D8520D1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" refreshedDate="44424.838031250001" createdVersion="6" refreshedVersion="6" minRefreshableVersion="3" recordCount="16" xr:uid="{2843C274-8CDB-4C78-B30F-EE823876C88D}">
  <cacheSource type="worksheet">
    <worksheetSource ref="A3:G19" sheet="Sheet1"/>
  </cacheSource>
  <cacheFields count="7">
    <cacheField name="BEVERAGE" numFmtId="0">
      <sharedItems count="16">
        <s v="Mini Falooda"/>
        <s v="Royal Falooda"/>
        <s v="Arabian Falooda"/>
        <s v="Kulfi Falooda"/>
        <s v="Rose Falooda"/>
        <s v="Strawberry Tea Soda"/>
        <s v="Cream Berry Soda"/>
        <s v="Black Currant Tea Soda"/>
        <s v="Serial Kiwi Soda"/>
        <s v="Ginger Pineapple Punch"/>
        <s v="Fruit Punch"/>
        <s v="Mirchi Citrus"/>
        <s v="Ginger Cooler"/>
        <s v="Mint Soda"/>
        <s v="Pink Mango"/>
        <s v="Sunrise Delight"/>
      </sharedItems>
    </cacheField>
    <cacheField name="Cost per serving" numFmtId="0">
      <sharedItems containsSemiMixedTypes="0" containsString="0" containsNumber="1" containsInteger="1" minValue="20" maxValue="35" count="5">
        <n v="20"/>
        <n v="25"/>
        <n v="30"/>
        <n v="35"/>
        <n v="32"/>
      </sharedItems>
    </cacheField>
    <cacheField name="Qty Sold" numFmtId="0">
      <sharedItems containsSemiMixedTypes="0" containsString="0" containsNumber="1" containsInteger="1" minValue="346" maxValue="1498" count="14">
        <n v="1498"/>
        <n v="1010"/>
        <n v="472"/>
        <n v="640"/>
        <n v="350"/>
        <n v="425"/>
        <n v="346"/>
        <n v="441"/>
        <n v="400"/>
        <n v="436"/>
        <n v="445"/>
        <n v="414"/>
        <n v="450"/>
        <n v="495"/>
      </sharedItems>
    </cacheField>
    <cacheField name="Menu Price" numFmtId="0">
      <sharedItems containsSemiMixedTypes="0" containsString="0" containsNumber="1" containsInteger="1" minValue="110" maxValue="160"/>
    </cacheField>
    <cacheField name="Spoilage Amount" numFmtId="0">
      <sharedItems containsSemiMixedTypes="0" containsString="0" containsNumber="1" containsInteger="1" minValue="100" maxValue="100"/>
    </cacheField>
    <cacheField name="Food Cost %" numFmtId="0">
      <sharedItems containsSemiMixedTypes="0" containsString="0" containsNumber="1" minValue="16.732673267326735" maxValue="22.03125" count="15">
        <n v="18.242505158393008"/>
        <n v="16.732673267326735"/>
        <n v="18.882415254237291"/>
        <n v="16.770833333333332"/>
        <n v="18.441558441558442"/>
        <n v="16.823529411764707"/>
        <n v="18.930635838150287"/>
        <n v="18.89172335600907"/>
        <n v="22.03125"/>
        <n v="21.486238532110093"/>
        <n v="16.816479400749063"/>
        <n v="18.401405357927096"/>
        <n v="18.409090909090907"/>
        <n v="20.148148148148149"/>
        <n v="18.876262626262626"/>
      </sharedItems>
    </cacheField>
    <cacheField name="Contribution Margin =(S.P-C.P)" numFmtId="0">
      <sharedItems containsSemiMixedTypes="0" containsString="0" containsNumber="1" containsInteger="1" minValue="31500" maxValue="134820" count="15">
        <n v="134820"/>
        <n v="126250"/>
        <n v="61360"/>
        <n v="80000"/>
        <n v="31500"/>
        <n v="53125"/>
        <n v="44980"/>
        <n v="57330"/>
        <n v="50000"/>
        <n v="51448"/>
        <n v="55625"/>
        <n v="37260"/>
        <n v="36000"/>
        <n v="54000"/>
        <n v="643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" refreshedDate="44430.050642592592" createdVersion="6" refreshedVersion="6" minRefreshableVersion="3" recordCount="40" xr:uid="{AAF42560-AA40-4221-8A97-0EEBF7A0E109}">
  <cacheSource type="worksheet">
    <worksheetSource ref="A3:G43" sheet="Recipe wise"/>
  </cacheSource>
  <cacheFields count="7">
    <cacheField name="Dish Name" numFmtId="0">
      <sharedItems count="40">
        <s v="Veg Biryani"/>
        <s v="Chicken Biryani"/>
        <s v="Maggie"/>
        <s v="Egg Bhujia"/>
        <s v="Omlets with Bread Toast"/>
        <s v="Chicken Kabab"/>
        <s v="Veg Burger"/>
        <s v="Aloo Tikki Chat"/>
        <s v="Masala Dosa "/>
        <s v="Veg Chowmine"/>
        <s v="Pani Puri"/>
        <s v="Aloo Puri"/>
        <s v="Veg Country Pizza"/>
        <s v="Aloo paratha"/>
        <s v="Paneer paratha"/>
        <s v="Onion paratha"/>
        <s v="Gobi paratha"/>
        <s v="Maggi Omelette Noodles"/>
        <s v="Mushroom Chilli"/>
        <s v="Paneer Tikka"/>
        <s v="Chicken Tikka"/>
        <s v="Veg Grill Sandwich"/>
        <s v="Paneer Grill Sandwich"/>
        <s v="Chicken Roll"/>
        <s v="Egg Roll"/>
        <s v="Paneer Roll"/>
        <s v="Tawa chicken roll"/>
        <s v="Chicken Grill Sandwich"/>
        <s v="Barbequed Chicken Pizza"/>
        <s v="Hyderabadi Mutton Biryani"/>
        <s v="Shahi Paneer Masala"/>
        <s v=" Veg Paneer Pizza"/>
        <s v="Veg Hawaiian Pizza"/>
        <s v="Chicken 65 Dry"/>
        <s v="Egg Manchurian"/>
        <s v="Paneer Manchurian"/>
        <s v="Butter Roti"/>
        <s v="Kulcha Naan"/>
        <s v="Parotta"/>
        <s v="Plain Roti"/>
      </sharedItems>
    </cacheField>
    <cacheField name="Cost Per Serving" numFmtId="0">
      <sharedItems containsSemiMixedTypes="0" containsString="0" containsNumber="1" containsInteger="1" minValue="10" maxValue="160"/>
    </cacheField>
    <cacheField name="Qty Sold" numFmtId="0">
      <sharedItems containsSemiMixedTypes="0" containsString="0" containsNumber="1" containsInteger="1" minValue="100" maxValue="2644"/>
    </cacheField>
    <cacheField name="Menu Price" numFmtId="0">
      <sharedItems containsSemiMixedTypes="0" containsString="0" containsNumber="1" containsInteger="1" minValue="25" maxValue="580"/>
    </cacheField>
    <cacheField name="Spoilage Amount" numFmtId="0">
      <sharedItems containsSemiMixedTypes="0" containsString="0" containsNumber="1" containsInteger="1" minValue="100" maxValue="6000"/>
    </cacheField>
    <cacheField name="Food Cost %" numFmtId="2">
      <sharedItems containsSemiMixedTypes="0" containsString="0" containsNumber="1" minValue="22.997055633038897" maxValue="94.666666666666671"/>
    </cacheField>
    <cacheField name="Contribution Margin =(S.P-C.P)" numFmtId="0">
      <sharedItems containsSemiMixedTypes="0" containsString="0" containsNumber="1" containsInteger="1" minValue="2250" maxValue="402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10"/>
    <n v="100"/>
    <x v="0"/>
    <x v="0"/>
  </r>
  <r>
    <x v="1"/>
    <x v="1"/>
    <x v="1"/>
    <n v="150"/>
    <n v="100"/>
    <x v="1"/>
    <x v="1"/>
  </r>
  <r>
    <x v="2"/>
    <x v="2"/>
    <x v="2"/>
    <n v="160"/>
    <n v="100"/>
    <x v="2"/>
    <x v="2"/>
  </r>
  <r>
    <x v="3"/>
    <x v="1"/>
    <x v="3"/>
    <n v="150"/>
    <n v="100"/>
    <x v="3"/>
    <x v="3"/>
  </r>
  <r>
    <x v="4"/>
    <x v="0"/>
    <x v="4"/>
    <n v="110"/>
    <n v="100"/>
    <x v="4"/>
    <x v="4"/>
  </r>
  <r>
    <x v="5"/>
    <x v="1"/>
    <x v="5"/>
    <n v="150"/>
    <n v="100"/>
    <x v="5"/>
    <x v="5"/>
  </r>
  <r>
    <x v="6"/>
    <x v="2"/>
    <x v="6"/>
    <n v="160"/>
    <n v="100"/>
    <x v="6"/>
    <x v="6"/>
  </r>
  <r>
    <x v="7"/>
    <x v="2"/>
    <x v="7"/>
    <n v="160"/>
    <n v="100"/>
    <x v="7"/>
    <x v="7"/>
  </r>
  <r>
    <x v="8"/>
    <x v="3"/>
    <x v="8"/>
    <n v="160"/>
    <n v="100"/>
    <x v="8"/>
    <x v="8"/>
  </r>
  <r>
    <x v="9"/>
    <x v="4"/>
    <x v="9"/>
    <n v="150"/>
    <n v="100"/>
    <x v="9"/>
    <x v="9"/>
  </r>
  <r>
    <x v="10"/>
    <x v="1"/>
    <x v="10"/>
    <n v="150"/>
    <n v="100"/>
    <x v="10"/>
    <x v="10"/>
  </r>
  <r>
    <x v="11"/>
    <x v="0"/>
    <x v="11"/>
    <n v="110"/>
    <n v="100"/>
    <x v="11"/>
    <x v="11"/>
  </r>
  <r>
    <x v="12"/>
    <x v="0"/>
    <x v="8"/>
    <n v="110"/>
    <n v="100"/>
    <x v="12"/>
    <x v="12"/>
  </r>
  <r>
    <x v="13"/>
    <x v="0"/>
    <x v="8"/>
    <n v="110"/>
    <n v="100"/>
    <x v="12"/>
    <x v="12"/>
  </r>
  <r>
    <x v="14"/>
    <x v="2"/>
    <x v="12"/>
    <n v="150"/>
    <n v="100"/>
    <x v="13"/>
    <x v="13"/>
  </r>
  <r>
    <x v="15"/>
    <x v="2"/>
    <x v="13"/>
    <n v="160"/>
    <n v="100"/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70"/>
    <n v="150"/>
    <n v="100"/>
    <n v="1500"/>
    <n v="80"/>
    <n v="4500"/>
  </r>
  <r>
    <x v="1"/>
    <n v="100"/>
    <n v="847"/>
    <n v="350"/>
    <n v="800"/>
    <n v="28.841288581548323"/>
    <n v="211750"/>
  </r>
  <r>
    <x v="2"/>
    <n v="30"/>
    <n v="223"/>
    <n v="50"/>
    <n v="100"/>
    <n v="60.896860986547082"/>
    <n v="4460"/>
  </r>
  <r>
    <x v="3"/>
    <n v="40"/>
    <n v="419"/>
    <n v="150"/>
    <n v="400"/>
    <n v="27.30310262529833"/>
    <n v="46090"/>
  </r>
  <r>
    <x v="4"/>
    <n v="50"/>
    <n v="1200"/>
    <n v="170"/>
    <n v="500"/>
    <n v="29.656862745098039"/>
    <n v="144000"/>
  </r>
  <r>
    <x v="5"/>
    <n v="100"/>
    <n v="1341"/>
    <n v="400"/>
    <n v="1000"/>
    <n v="25.186428038777031"/>
    <n v="402300"/>
  </r>
  <r>
    <x v="6"/>
    <n v="50"/>
    <n v="200"/>
    <n v="70"/>
    <n v="800"/>
    <n v="77.142857142857153"/>
    <n v="4000"/>
  </r>
  <r>
    <x v="7"/>
    <n v="20"/>
    <n v="157"/>
    <n v="50"/>
    <n v="300"/>
    <n v="43.821656050955418"/>
    <n v="4710"/>
  </r>
  <r>
    <x v="8"/>
    <n v="100"/>
    <n v="250"/>
    <n v="120"/>
    <n v="300"/>
    <n v="84.333333333333343"/>
    <n v="5000"/>
  </r>
  <r>
    <x v="9"/>
    <n v="90"/>
    <n v="150"/>
    <n v="120"/>
    <n v="1800"/>
    <n v="85"/>
    <n v="4500"/>
  </r>
  <r>
    <x v="10"/>
    <n v="80"/>
    <n v="164"/>
    <n v="120"/>
    <n v="2000"/>
    <n v="76.829268292682926"/>
    <n v="6560"/>
  </r>
  <r>
    <x v="11"/>
    <n v="80"/>
    <n v="100"/>
    <n v="150"/>
    <n v="4000"/>
    <n v="80"/>
    <n v="7000"/>
  </r>
  <r>
    <x v="12"/>
    <n v="100"/>
    <n v="330"/>
    <n v="200"/>
    <n v="6000"/>
    <n v="59.090909090909093"/>
    <n v="33000"/>
  </r>
  <r>
    <x v="13"/>
    <n v="30"/>
    <n v="200"/>
    <n v="50"/>
    <n v="1500"/>
    <n v="75"/>
    <n v="4000"/>
  </r>
  <r>
    <x v="14"/>
    <n v="50"/>
    <n v="250"/>
    <n v="60"/>
    <n v="1700"/>
    <n v="94.666666666666671"/>
    <n v="2500"/>
  </r>
  <r>
    <x v="15"/>
    <n v="30"/>
    <n v="150"/>
    <n v="60"/>
    <n v="1300"/>
    <n v="64.444444444444443"/>
    <n v="4500"/>
  </r>
  <r>
    <x v="16"/>
    <n v="45"/>
    <n v="150"/>
    <n v="60"/>
    <n v="1200"/>
    <n v="88.333333333333329"/>
    <n v="2250"/>
  </r>
  <r>
    <x v="17"/>
    <n v="30"/>
    <n v="356"/>
    <n v="120"/>
    <n v="1000"/>
    <n v="27.340823970037455"/>
    <n v="32040"/>
  </r>
  <r>
    <x v="18"/>
    <n v="100"/>
    <n v="300"/>
    <n v="150"/>
    <n v="3000"/>
    <n v="73.333333333333329"/>
    <n v="15000"/>
  </r>
  <r>
    <x v="19"/>
    <n v="90"/>
    <n v="200"/>
    <n v="150"/>
    <n v="2000"/>
    <n v="66.666666666666657"/>
    <n v="12000"/>
  </r>
  <r>
    <x v="20"/>
    <n v="100"/>
    <n v="471"/>
    <n v="350"/>
    <n v="1000"/>
    <n v="29.178040643008796"/>
    <n v="117750"/>
  </r>
  <r>
    <x v="21"/>
    <n v="50"/>
    <n v="306"/>
    <n v="70"/>
    <n v="800"/>
    <n v="75.16339869281046"/>
    <n v="6120"/>
  </r>
  <r>
    <x v="22"/>
    <n v="50"/>
    <n v="200"/>
    <n v="90"/>
    <n v="500"/>
    <n v="58.333333333333336"/>
    <n v="8000"/>
  </r>
  <r>
    <x v="23"/>
    <n v="75"/>
    <n v="1521"/>
    <n v="270"/>
    <n v="500"/>
    <n v="27.899530036282172"/>
    <n v="296595"/>
  </r>
  <r>
    <x v="24"/>
    <n v="50"/>
    <n v="914"/>
    <n v="170"/>
    <n v="600"/>
    <n v="29.797914789548201"/>
    <n v="109680"/>
  </r>
  <r>
    <x v="25"/>
    <n v="40"/>
    <n v="300"/>
    <n v="50"/>
    <n v="400"/>
    <n v="82.666666666666671"/>
    <n v="3000"/>
  </r>
  <r>
    <x v="26"/>
    <n v="80"/>
    <n v="958"/>
    <n v="300"/>
    <n v="400"/>
    <n v="26.805845511482257"/>
    <n v="210760"/>
  </r>
  <r>
    <x v="27"/>
    <n v="80"/>
    <n v="860"/>
    <n v="270"/>
    <n v="600"/>
    <n v="29.888027562446169"/>
    <n v="163400"/>
  </r>
  <r>
    <x v="28"/>
    <n v="150"/>
    <n v="813"/>
    <n v="550"/>
    <n v="1000"/>
    <n v="27.496365872749635"/>
    <n v="325200"/>
  </r>
  <r>
    <x v="29"/>
    <n v="160"/>
    <n v="747"/>
    <n v="580"/>
    <n v="1000"/>
    <n v="27.817015187185522"/>
    <n v="313740"/>
  </r>
  <r>
    <x v="30"/>
    <n v="50"/>
    <n v="244"/>
    <n v="90"/>
    <n v="2000"/>
    <n v="64.663023679417122"/>
    <n v="9760"/>
  </r>
  <r>
    <x v="31"/>
    <n v="100"/>
    <n v="300"/>
    <n v="200"/>
    <n v="2000"/>
    <n v="53.333333333333336"/>
    <n v="30000"/>
  </r>
  <r>
    <x v="32"/>
    <n v="120"/>
    <n v="500"/>
    <n v="220"/>
    <n v="4000"/>
    <n v="58.18181818181818"/>
    <n v="50000"/>
  </r>
  <r>
    <x v="33"/>
    <n v="80"/>
    <n v="595"/>
    <n v="280"/>
    <n v="2000"/>
    <n v="29.771908763505401"/>
    <n v="119000"/>
  </r>
  <r>
    <x v="34"/>
    <n v="60"/>
    <n v="478"/>
    <n v="270"/>
    <n v="1000"/>
    <n v="22.997055633038897"/>
    <n v="100380"/>
  </r>
  <r>
    <x v="35"/>
    <n v="40"/>
    <n v="200"/>
    <n v="110"/>
    <n v="3000"/>
    <n v="50"/>
    <n v="14000"/>
  </r>
  <r>
    <x v="36"/>
    <n v="20"/>
    <n v="2268"/>
    <n v="40"/>
    <n v="1000"/>
    <n v="51.102292768959437"/>
    <n v="45360"/>
  </r>
  <r>
    <x v="37"/>
    <n v="30"/>
    <n v="1740"/>
    <n v="60"/>
    <n v="1000"/>
    <n v="50.957854406130267"/>
    <n v="52200"/>
  </r>
  <r>
    <x v="38"/>
    <n v="33"/>
    <n v="2644"/>
    <n v="70"/>
    <n v="600"/>
    <n v="47.467041279446725"/>
    <n v="97828"/>
  </r>
  <r>
    <x v="39"/>
    <n v="10"/>
    <n v="1109"/>
    <n v="25"/>
    <n v="600"/>
    <n v="42.164111812443643"/>
    <n v="16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135CF-BF63-4B2A-9024-7253D892781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E44" firstHeaderRow="0" firstDataRow="1" firstDataCol="1"/>
  <pivotFields count="7">
    <pivotField axis="axisRow" showAll="0">
      <items count="41">
        <item x="31"/>
        <item x="13"/>
        <item x="11"/>
        <item x="7"/>
        <item x="28"/>
        <item x="36"/>
        <item x="33"/>
        <item x="1"/>
        <item x="27"/>
        <item x="5"/>
        <item x="23"/>
        <item x="20"/>
        <item x="3"/>
        <item x="34"/>
        <item x="24"/>
        <item x="16"/>
        <item x="29"/>
        <item x="37"/>
        <item x="17"/>
        <item x="2"/>
        <item x="8"/>
        <item x="18"/>
        <item x="4"/>
        <item x="15"/>
        <item x="22"/>
        <item x="35"/>
        <item x="14"/>
        <item x="25"/>
        <item x="19"/>
        <item x="10"/>
        <item x="38"/>
        <item x="39"/>
        <item x="30"/>
        <item x="26"/>
        <item x="0"/>
        <item x="6"/>
        <item x="9"/>
        <item x="12"/>
        <item x="21"/>
        <item x="32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tribution Margin =(S.P-C.P)" fld="6" baseField="0" baseItem="0"/>
    <dataField name="Sum of Food Cost %" fld="5" baseField="0" baseItem="0"/>
    <dataField name="Sum of Qty Sold" fld="2" baseField="0" baseItem="0"/>
    <dataField name="Sum of Cost Per Serving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89A2A-46B5-4AF3-9C3E-067650D883E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E20" firstHeaderRow="0" firstDataRow="1" firstDataCol="1"/>
  <pivotFields count="7">
    <pivotField axis="axisRow" showAll="0">
      <items count="17">
        <item x="2"/>
        <item x="7"/>
        <item x="6"/>
        <item x="10"/>
        <item x="12"/>
        <item x="9"/>
        <item x="3"/>
        <item x="0"/>
        <item x="13"/>
        <item x="11"/>
        <item x="14"/>
        <item x="4"/>
        <item x="1"/>
        <item x="8"/>
        <item x="5"/>
        <item x="15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>
      <items count="16">
        <item x="4"/>
        <item x="12"/>
        <item x="11"/>
        <item x="6"/>
        <item x="8"/>
        <item x="9"/>
        <item x="5"/>
        <item x="13"/>
        <item x="10"/>
        <item x="7"/>
        <item x="2"/>
        <item x="14"/>
        <item x="3"/>
        <item x="1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tribution Margin =(S.P-C.P)" fld="6" baseField="0" baseItem="0"/>
    <dataField name="Sum of Cost per serving" fld="1" baseField="0" baseItem="0"/>
    <dataField name="Sum of Qty Sold" fld="2" baseField="0" baseItem="0"/>
    <dataField name="Sum of Food Cost %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AD85A-031B-4CA7-B974-7345D9617C06}" name="Table3" displayName="Table3" ref="A1:AO177" totalsRowShown="0">
  <autoFilter ref="A1:AO177" xr:uid="{222A6900-8E76-4467-8607-29FAEEF30545}"/>
  <tableColumns count="41">
    <tableColumn id="1" xr3:uid="{D1080453-07BF-46EC-8EFD-D1FC61A2E2E9}" name="Column1" dataDxfId="39"/>
    <tableColumn id="2" xr3:uid="{C1C646C0-3E25-49D5-897C-EC9F7D247EC9}" name="Column2" dataDxfId="38"/>
    <tableColumn id="3" xr3:uid="{0D1C5479-2DF9-469B-B3F1-4DE960F65855}" name="Column3" dataDxfId="37"/>
    <tableColumn id="4" xr3:uid="{7B59458F-FFC8-45F5-B90D-2C3F2D1EF085}" name="Column4" dataDxfId="36"/>
    <tableColumn id="5" xr3:uid="{CC220306-C9CE-49D4-BE1B-F0CA9044AB6E}" name="Column5" dataDxfId="35"/>
    <tableColumn id="6" xr3:uid="{EEE2CFC8-50B2-4566-A38F-8187CD7BE3E7}" name="Column6" dataDxfId="34"/>
    <tableColumn id="7" xr3:uid="{747DF159-A3DA-4921-A299-AE9CF1F14BAB}" name="Column7" dataDxfId="33"/>
    <tableColumn id="8" xr3:uid="{6B20CD2E-1C9B-4C5E-AD88-5128A936E32D}" name="Column8"/>
    <tableColumn id="9" xr3:uid="{12C98B51-B391-404B-BDBC-292774CA07DB}" name="Column9"/>
    <tableColumn id="10" xr3:uid="{6DC9308F-2DDF-4823-991C-7A44852E21D3}" name="Column10"/>
    <tableColumn id="11" xr3:uid="{F40F7AD1-9D43-48B9-8928-63BE5FAB1ADD}" name="Column11"/>
    <tableColumn id="12" xr3:uid="{2A091D76-3F0E-44EA-858E-FA953D08D800}" name="Column12"/>
    <tableColumn id="13" xr3:uid="{19988228-6A44-4449-90B1-34031DE4321F}" name="Column13"/>
    <tableColumn id="14" xr3:uid="{1B997A9F-ED9F-440F-B4F3-0BB360F089C3}" name="Column14"/>
    <tableColumn id="15" xr3:uid="{46D0984F-7D05-400F-A8A4-0814FED0A396}" name="Column15"/>
    <tableColumn id="16" xr3:uid="{60389CFA-92BC-4993-9307-C2431CFA1E5D}" name="Column16" dataCellStyle="40% - Accent5"/>
    <tableColumn id="17" xr3:uid="{B8F34E90-AF1B-4CC2-8613-CA4713475E54}" name="Column17" dataCellStyle="40% - Accent5"/>
    <tableColumn id="18" xr3:uid="{DCCBF1DB-B10B-4800-A81E-61FCB89B8DD9}" name="Column18" dataCellStyle="40% - Accent5"/>
    <tableColumn id="19" xr3:uid="{1DCA2872-D2BB-493E-85AC-FE850BAE2EC7}" name="Column19" dataCellStyle="40% - Accent5"/>
    <tableColumn id="20" xr3:uid="{8ACC5A53-FCC5-4571-9310-3296886D30E6}" name="Column20" dataCellStyle="40% - Accent5"/>
    <tableColumn id="21" xr3:uid="{20EB3687-2494-494B-8CE6-7DFBAE70E281}" name="Column21" dataCellStyle="40% - Accent5"/>
    <tableColumn id="22" xr3:uid="{C2E69FE9-D8B4-4FAF-9E2B-A027BDF041F4}" name="Column22" dataCellStyle="40% - Accent5"/>
    <tableColumn id="23" xr3:uid="{D539E44D-5853-465A-A1D8-7B04C7965E4D}" name="Column23" dataCellStyle="40% - Accent5"/>
    <tableColumn id="24" xr3:uid="{23707F41-B064-4421-AE6E-65C4269D4FEA}" name="Column24" dataCellStyle="40% - Accent5"/>
    <tableColumn id="25" xr3:uid="{884F25C7-0DC5-4F27-AEA3-2F6B2DCFCF68}" name="Column25" dataCellStyle="40% - Accent5"/>
    <tableColumn id="26" xr3:uid="{BF596C66-FA62-413F-8B4E-ADDABF6F7B6F}" name="Column26" dataCellStyle="40% - Accent5"/>
    <tableColumn id="27" xr3:uid="{F216DB35-FB2E-48B3-94AE-1F19C1871C68}" name="Column27" dataCellStyle="40% - Accent5"/>
    <tableColumn id="28" xr3:uid="{129AF4AC-27A1-4816-82B8-5E613887FEF2}" name="Column28" dataCellStyle="40% - Accent5"/>
    <tableColumn id="29" xr3:uid="{F835A962-3A70-4F66-8955-51DDD521AFD7}" name="Column29" dataCellStyle="40% - Accent5"/>
    <tableColumn id="30" xr3:uid="{285F038C-EA44-43DE-A36C-2A19DA5024DA}" name="Column30" dataCellStyle="40% - Accent5"/>
    <tableColumn id="31" xr3:uid="{6C631608-178D-48E8-AB87-3767C870ED40}" name="Column31" dataCellStyle="40% - Accent5"/>
    <tableColumn id="32" xr3:uid="{F50EA0A8-7BB4-44AC-8577-D9C774353D69}" name="Column32" dataCellStyle="40% - Accent5"/>
    <tableColumn id="33" xr3:uid="{A7A4CC30-5038-4800-A1CC-6BD465108A5D}" name="Column33" dataCellStyle="40% - Accent5"/>
    <tableColumn id="34" xr3:uid="{376C8111-87A2-48B9-936E-DD29D3AECBB0}" name="Column34" dataCellStyle="40% - Accent5"/>
    <tableColumn id="35" xr3:uid="{C617FEAE-46CB-4A73-A2D7-48FDF293CE6F}" name="Column35" dataCellStyle="40% - Accent5"/>
    <tableColumn id="36" xr3:uid="{5DBD138A-9DB7-431C-B033-4438D76AF783}" name="Column36" dataCellStyle="40% - Accent5"/>
    <tableColumn id="37" xr3:uid="{5D062BE9-CA23-4F7B-8D6C-998C47223152}" name="Column37" dataCellStyle="40% - Accent5"/>
    <tableColumn id="38" xr3:uid="{22B03F6F-621F-4370-8958-1D543751FC26}" name="Column38" dataCellStyle="40% - Accent5"/>
    <tableColumn id="39" xr3:uid="{232B1FDE-719A-4039-83CC-03CA71C745E2}" name="Column39" dataCellStyle="40% - Accent5"/>
    <tableColumn id="40" xr3:uid="{C709BD39-2A5D-4112-BE68-DCB59F991DDC}" name="Column40" dataCellStyle="40% - Accent5"/>
    <tableColumn id="41" xr3:uid="{65B09E90-5A3A-4934-B5A6-97E8F0ABE679}" name="Column41" dataCellStyle="40% - Accent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78F9FF-87D3-45D8-969D-6450A48FBAE6}" name="Table5" displayName="Table5" ref="AQ1:BI177" totalsRowShown="0" headerRowDxfId="32" dataDxfId="31">
  <autoFilter ref="AQ1:BI177" xr:uid="{A6676464-5EFA-488E-82A5-6B6FF81CDA21}"/>
  <tableColumns count="19">
    <tableColumn id="1" xr3:uid="{A03A6DFE-B2AD-4516-825D-797C80743AFE}" name="Column1" dataDxfId="30"/>
    <tableColumn id="2" xr3:uid="{71D46023-6B1C-450A-B8BC-63756A8B24B1}" name="Column2" dataDxfId="29"/>
    <tableColumn id="3" xr3:uid="{840A424E-BF6F-43FF-A9A4-1508EC4B8902}" name="Column3" dataDxfId="28"/>
    <tableColumn id="4" xr3:uid="{3479874C-FA24-4A7C-AEA7-7A3A50AAB856}" name="Column4" dataDxfId="27"/>
    <tableColumn id="5" xr3:uid="{750C8C5E-0BD6-40AF-8AA3-4016FD8AD1CB}" name="Column5" dataDxfId="26"/>
    <tableColumn id="6" xr3:uid="{A79973E7-3E26-49AF-BE97-E1234C7DB190}" name="Column6" dataDxfId="25"/>
    <tableColumn id="7" xr3:uid="{12F64A3E-F216-4403-A23C-2A995A25CDDA}" name="Column7" dataDxfId="24"/>
    <tableColumn id="8" xr3:uid="{8BF20067-3530-4F25-9B74-5BED2E20E0E5}" name="Column8" dataDxfId="23"/>
    <tableColumn id="9" xr3:uid="{ED63C387-46EC-4136-B084-FC7FB93A2A91}" name="Column9" dataDxfId="22"/>
    <tableColumn id="10" xr3:uid="{56FADFCA-975F-469C-ADA2-E4FD9EB2F413}" name="Column10" dataDxfId="21"/>
    <tableColumn id="11" xr3:uid="{BBC583C4-CEA9-46AC-9AEB-0EE56A18A715}" name="Column11" dataDxfId="20"/>
    <tableColumn id="12" xr3:uid="{E9A0E53D-D39C-4C34-8B09-9028C1346DD5}" name="Column12" dataDxfId="19"/>
    <tableColumn id="13" xr3:uid="{1747338E-AA84-475E-A709-2E806F61EAD5}" name="Column13" dataDxfId="18"/>
    <tableColumn id="14" xr3:uid="{0BAED777-29B5-4A92-8859-F57C4E74100F}" name="Column14" dataDxfId="17"/>
    <tableColumn id="15" xr3:uid="{C87E3975-FA42-444B-97AF-07A723B58088}" name="Column15" dataDxfId="16"/>
    <tableColumn id="16" xr3:uid="{FDEB03C3-0FFE-440C-A49E-5F2F7F8BBEC7}" name="Column16" dataDxfId="15"/>
    <tableColumn id="17" xr3:uid="{462F4CED-07DD-45FA-8123-9B65F7360DC3}" name="Column17" dataDxfId="14"/>
    <tableColumn id="18" xr3:uid="{689C9B4F-C587-4748-AD75-5C0A0C253B9D}" name="Column18" dataDxfId="13"/>
    <tableColumn id="19" xr3:uid="{2AA11450-B03C-4294-9F75-8AA133B788DA}" name="Column19" dataDxfId="1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B688-6680-459C-9A0B-F081499AD078}">
  <dimension ref="A1:H36"/>
  <sheetViews>
    <sheetView topLeftCell="B1" zoomScaleNormal="100" workbookViewId="0">
      <selection activeCell="A32" sqref="A32"/>
    </sheetView>
  </sheetViews>
  <sheetFormatPr defaultColWidth="35" defaultRowHeight="15.5" x14ac:dyDescent="0.35"/>
  <cols>
    <col min="1" max="1" width="30.26953125" style="1" customWidth="1"/>
    <col min="2" max="2" width="28.54296875" style="1" customWidth="1"/>
    <col min="3" max="3" width="29" style="1" customWidth="1"/>
    <col min="4" max="4" width="30.7265625" style="1" customWidth="1"/>
    <col min="5" max="5" width="20.7265625" style="221" customWidth="1"/>
    <col min="6" max="6" width="23.6328125" style="221" customWidth="1"/>
    <col min="7" max="7" width="35" style="221"/>
    <col min="8" max="8" width="35" style="158"/>
    <col min="9" max="16384" width="35" style="1"/>
  </cols>
  <sheetData>
    <row r="1" spans="1:8" ht="31" x14ac:dyDescent="0.7">
      <c r="A1" s="231" t="s">
        <v>0</v>
      </c>
      <c r="B1" s="232"/>
      <c r="C1" s="232"/>
      <c r="D1" s="233"/>
    </row>
    <row r="2" spans="1:8" s="3" customFormat="1" x14ac:dyDescent="0.35">
      <c r="A2" s="2" t="s">
        <v>1</v>
      </c>
      <c r="B2" s="234" t="s">
        <v>2</v>
      </c>
      <c r="C2" s="235"/>
      <c r="D2" s="236"/>
      <c r="E2" s="221"/>
      <c r="F2" s="221"/>
      <c r="G2" s="221"/>
      <c r="H2" s="119"/>
    </row>
    <row r="3" spans="1:8" s="3" customFormat="1" ht="43.5" x14ac:dyDescent="0.35">
      <c r="A3" s="4"/>
      <c r="B3" s="4" t="s">
        <v>3</v>
      </c>
      <c r="C3" s="4" t="s">
        <v>4</v>
      </c>
      <c r="D3" s="4" t="s">
        <v>5</v>
      </c>
      <c r="E3" s="222" t="s">
        <v>26</v>
      </c>
      <c r="F3" s="226" t="s">
        <v>64</v>
      </c>
      <c r="G3" s="221"/>
      <c r="H3" s="119"/>
    </row>
    <row r="4" spans="1:8" ht="29" x14ac:dyDescent="0.35">
      <c r="A4" s="5" t="s">
        <v>274</v>
      </c>
      <c r="B4" s="6">
        <v>350000</v>
      </c>
      <c r="C4" s="6">
        <v>325000</v>
      </c>
      <c r="D4" s="7">
        <v>0.65</v>
      </c>
      <c r="F4" s="227">
        <f>C7-C18</f>
        <v>173333.14</v>
      </c>
      <c r="G4" s="229" t="s">
        <v>221</v>
      </c>
    </row>
    <row r="5" spans="1:8" x14ac:dyDescent="0.35">
      <c r="A5" s="5" t="s">
        <v>275</v>
      </c>
      <c r="B5" s="6">
        <v>40000</v>
      </c>
      <c r="C5" s="6">
        <v>25000</v>
      </c>
      <c r="D5" s="7">
        <v>0.27</v>
      </c>
      <c r="E5" s="223"/>
      <c r="F5" s="221">
        <f>(F4/C7 )*100</f>
        <v>49.116786625106265</v>
      </c>
      <c r="G5" s="228" t="s">
        <v>196</v>
      </c>
    </row>
    <row r="6" spans="1:8" x14ac:dyDescent="0.35">
      <c r="A6" s="5" t="s">
        <v>276</v>
      </c>
      <c r="B6" s="6">
        <v>3000</v>
      </c>
      <c r="C6" s="6">
        <v>2900</v>
      </c>
      <c r="D6" s="7">
        <v>0.08</v>
      </c>
    </row>
    <row r="7" spans="1:8" ht="18.5" x14ac:dyDescent="0.45">
      <c r="A7" s="8" t="s">
        <v>6</v>
      </c>
      <c r="B7" s="9">
        <f>SUM(B4:B6)</f>
        <v>393000</v>
      </c>
      <c r="C7" s="9">
        <f>SUM(C4:C6)</f>
        <v>352900</v>
      </c>
      <c r="D7" s="10">
        <f>SUM(D4:D6)</f>
        <v>1</v>
      </c>
      <c r="E7" s="223"/>
      <c r="F7" s="223"/>
    </row>
    <row r="8" spans="1:8" x14ac:dyDescent="0.35">
      <c r="A8" s="5" t="s">
        <v>7</v>
      </c>
      <c r="B8" s="6">
        <f>(B4+B6)*5%</f>
        <v>17650</v>
      </c>
      <c r="C8" s="6">
        <f>(C4+C6)*5%</f>
        <v>16395</v>
      </c>
      <c r="D8" s="7" t="s">
        <v>8</v>
      </c>
      <c r="E8" s="221" t="s">
        <v>9</v>
      </c>
    </row>
    <row r="9" spans="1:8" x14ac:dyDescent="0.35">
      <c r="A9" s="5" t="s">
        <v>10</v>
      </c>
      <c r="B9" s="6">
        <f>B5*5%</f>
        <v>2000</v>
      </c>
      <c r="C9" s="11">
        <f>C5*5%</f>
        <v>1250</v>
      </c>
      <c r="D9" s="7" t="s">
        <v>11</v>
      </c>
      <c r="E9" s="221" t="s">
        <v>12</v>
      </c>
    </row>
    <row r="10" spans="1:8" x14ac:dyDescent="0.35">
      <c r="A10" s="5" t="s">
        <v>13</v>
      </c>
      <c r="B10" s="11">
        <f>B7-B8-B9</f>
        <v>373350</v>
      </c>
      <c r="C10" s="11">
        <f>C7-C8-C9</f>
        <v>335255</v>
      </c>
      <c r="D10" s="6"/>
      <c r="G10" s="228"/>
    </row>
    <row r="11" spans="1:8" x14ac:dyDescent="0.35">
      <c r="A11" s="5" t="s">
        <v>14</v>
      </c>
      <c r="B11" s="11">
        <f>B10*10%</f>
        <v>37335</v>
      </c>
      <c r="C11" s="11">
        <f>C10*10%</f>
        <v>33525.5</v>
      </c>
      <c r="D11" s="7">
        <v>0.1</v>
      </c>
      <c r="E11" s="223"/>
      <c r="G11" s="228"/>
    </row>
    <row r="12" spans="1:8" x14ac:dyDescent="0.35">
      <c r="A12" s="12" t="s">
        <v>15</v>
      </c>
      <c r="B12" s="13">
        <f>B10-B11</f>
        <v>336015</v>
      </c>
      <c r="C12" s="13">
        <f>C10-C11</f>
        <v>301729.5</v>
      </c>
      <c r="D12" s="7"/>
    </row>
    <row r="13" spans="1:8" ht="18.5" x14ac:dyDescent="0.45">
      <c r="A13" s="14" t="s">
        <v>16</v>
      </c>
      <c r="B13" s="15">
        <f>B12</f>
        <v>336015</v>
      </c>
      <c r="C13" s="15">
        <f>C12</f>
        <v>301729.5</v>
      </c>
      <c r="D13" s="16"/>
      <c r="E13" s="221">
        <f>(C7/3)*2</f>
        <v>235266.66666666666</v>
      </c>
      <c r="F13" s="228" t="s">
        <v>197</v>
      </c>
    </row>
    <row r="14" spans="1:8" x14ac:dyDescent="0.35">
      <c r="A14" s="5"/>
      <c r="B14" s="11"/>
      <c r="C14" s="11"/>
      <c r="D14" s="6"/>
    </row>
    <row r="15" spans="1:8" x14ac:dyDescent="0.35">
      <c r="A15" s="12" t="s">
        <v>17</v>
      </c>
      <c r="B15" s="6" t="s">
        <v>201</v>
      </c>
      <c r="C15" s="6"/>
      <c r="D15" s="6" t="s">
        <v>222</v>
      </c>
    </row>
    <row r="16" spans="1:8" x14ac:dyDescent="0.35">
      <c r="A16" s="5" t="s">
        <v>271</v>
      </c>
      <c r="B16" s="6">
        <f>(B4+B6)*30%</f>
        <v>105900</v>
      </c>
      <c r="C16" s="6">
        <f>(C4+C6)*53.34%</f>
        <v>174901.86</v>
      </c>
      <c r="D16" s="21">
        <f>C16/(C4+C6)</f>
        <v>0.53339999999999999</v>
      </c>
      <c r="E16" s="224"/>
      <c r="F16" s="223"/>
    </row>
    <row r="17" spans="1:7" x14ac:dyDescent="0.35">
      <c r="A17" s="5" t="s">
        <v>272</v>
      </c>
      <c r="B17" s="6">
        <f>B5*30%</f>
        <v>12000</v>
      </c>
      <c r="C17" s="11">
        <f>C5*18.66%</f>
        <v>4665</v>
      </c>
      <c r="D17" s="21">
        <v>0.18659999999999999</v>
      </c>
    </row>
    <row r="18" spans="1:7" x14ac:dyDescent="0.35">
      <c r="A18" s="230" t="s">
        <v>273</v>
      </c>
      <c r="B18" s="6">
        <f>SUM(B16:B17)</f>
        <v>117900</v>
      </c>
      <c r="C18" s="11">
        <f>SUM(C16:C17)</f>
        <v>179566.86</v>
      </c>
      <c r="D18" s="21">
        <f>(C18/C7)</f>
        <v>0.50883213374893732</v>
      </c>
      <c r="E18" s="221">
        <f>C18/3</f>
        <v>59855.619999999995</v>
      </c>
      <c r="F18" s="221">
        <f>E18*2</f>
        <v>119711.23999999999</v>
      </c>
      <c r="G18" s="228" t="s">
        <v>198</v>
      </c>
    </row>
    <row r="19" spans="1:7" x14ac:dyDescent="0.35">
      <c r="A19" s="5"/>
      <c r="B19" s="6"/>
      <c r="C19" s="11"/>
      <c r="D19" s="21"/>
      <c r="E19" s="223"/>
    </row>
    <row r="20" spans="1:7" x14ac:dyDescent="0.35">
      <c r="A20" s="17" t="s">
        <v>18</v>
      </c>
      <c r="B20" s="18"/>
      <c r="C20" s="18"/>
      <c r="D20" s="18"/>
      <c r="F20" s="221">
        <f>(F18/E13)*100</f>
        <v>50.883213374893735</v>
      </c>
      <c r="G20" s="228" t="s">
        <v>199</v>
      </c>
    </row>
    <row r="21" spans="1:7" x14ac:dyDescent="0.35">
      <c r="A21" s="5" t="s">
        <v>19</v>
      </c>
      <c r="B21" s="6">
        <v>45000</v>
      </c>
      <c r="C21" s="6">
        <v>45000</v>
      </c>
      <c r="D21" s="19">
        <f>C21/C7</f>
        <v>0.12751487673561915</v>
      </c>
      <c r="F21" s="221">
        <f>100-F20</f>
        <v>49.116786625106265</v>
      </c>
      <c r="G21" s="228" t="s">
        <v>200</v>
      </c>
    </row>
    <row r="22" spans="1:7" x14ac:dyDescent="0.35">
      <c r="A22" s="5" t="s">
        <v>20</v>
      </c>
      <c r="B22" s="6">
        <v>42000</v>
      </c>
      <c r="C22" s="6">
        <v>42000</v>
      </c>
      <c r="D22" s="19">
        <f>C22/C7</f>
        <v>0.11901388495324454</v>
      </c>
      <c r="E22" s="221" t="s">
        <v>27</v>
      </c>
      <c r="F22" s="226">
        <f>14000*3</f>
        <v>42000</v>
      </c>
    </row>
    <row r="23" spans="1:7" x14ac:dyDescent="0.35">
      <c r="A23" s="5" t="s">
        <v>21</v>
      </c>
      <c r="B23" s="6">
        <v>3000</v>
      </c>
      <c r="C23" s="6">
        <v>3000</v>
      </c>
      <c r="D23" s="19">
        <f>C23/C7</f>
        <v>8.5009917823746107E-3</v>
      </c>
    </row>
    <row r="24" spans="1:7" x14ac:dyDescent="0.35">
      <c r="A24" s="5" t="s">
        <v>22</v>
      </c>
      <c r="B24" s="6">
        <v>6000</v>
      </c>
      <c r="C24" s="6">
        <v>6000</v>
      </c>
      <c r="D24" s="19">
        <f>C24/C7</f>
        <v>1.7001983564749221E-2</v>
      </c>
      <c r="F24" s="223"/>
    </row>
    <row r="25" spans="1:7" x14ac:dyDescent="0.35">
      <c r="A25" s="5" t="s">
        <v>23</v>
      </c>
      <c r="B25" s="6">
        <v>3000</v>
      </c>
      <c r="C25" s="6">
        <v>3000</v>
      </c>
      <c r="D25" s="19">
        <f>C25/C7</f>
        <v>8.5009917823746107E-3</v>
      </c>
    </row>
    <row r="26" spans="1:7" x14ac:dyDescent="0.35">
      <c r="A26" s="12" t="s">
        <v>69</v>
      </c>
      <c r="B26" s="9">
        <f>SUM(B21:B25)</f>
        <v>99000</v>
      </c>
      <c r="C26" s="20">
        <f>SUM(C21:C25)</f>
        <v>99000</v>
      </c>
      <c r="D26" s="10">
        <f>C26/C7</f>
        <v>0.28053272881836216</v>
      </c>
    </row>
    <row r="27" spans="1:7" ht="31" x14ac:dyDescent="0.35">
      <c r="A27" s="41" t="s">
        <v>68</v>
      </c>
      <c r="B27" s="9">
        <f>B26+B18</f>
        <v>216900</v>
      </c>
      <c r="C27" s="20">
        <f>C26+C18</f>
        <v>278566.86</v>
      </c>
      <c r="D27" s="10">
        <f>D26+D18</f>
        <v>0.78936486256729954</v>
      </c>
      <c r="E27" s="223"/>
    </row>
    <row r="28" spans="1:7" x14ac:dyDescent="0.35">
      <c r="A28" s="5" t="s">
        <v>24</v>
      </c>
      <c r="B28" s="6">
        <v>0</v>
      </c>
      <c r="C28" s="6">
        <v>0</v>
      </c>
      <c r="D28" s="19">
        <f>C28/C7</f>
        <v>0</v>
      </c>
    </row>
    <row r="29" spans="1:7" x14ac:dyDescent="0.35">
      <c r="A29" s="5" t="s">
        <v>25</v>
      </c>
      <c r="B29" s="11">
        <f>B27+B28</f>
        <v>216900</v>
      </c>
      <c r="C29" s="11">
        <f>C27+C28</f>
        <v>278566.86</v>
      </c>
      <c r="D29" s="21">
        <f>C29/C7</f>
        <v>0.78936486256729943</v>
      </c>
      <c r="E29" s="223"/>
    </row>
    <row r="30" spans="1:7" ht="18.5" x14ac:dyDescent="0.45">
      <c r="A30" s="22" t="s">
        <v>70</v>
      </c>
      <c r="B30" s="23">
        <f>B13-B29</f>
        <v>119115</v>
      </c>
      <c r="C30" s="24">
        <f>C13-C29</f>
        <v>23162.640000000014</v>
      </c>
      <c r="D30" s="25">
        <f>C30/C13</f>
        <v>7.6766242611345639E-2</v>
      </c>
    </row>
    <row r="31" spans="1:7" x14ac:dyDescent="0.35">
      <c r="C31" s="26"/>
    </row>
    <row r="32" spans="1:7" x14ac:dyDescent="0.35">
      <c r="C32" s="26"/>
    </row>
    <row r="35" spans="1:8" x14ac:dyDescent="0.35">
      <c r="A35" s="35" t="s">
        <v>66</v>
      </c>
    </row>
    <row r="36" spans="1:8" s="34" customFormat="1" ht="14.5" x14ac:dyDescent="0.35">
      <c r="A36" s="34" t="s">
        <v>67</v>
      </c>
      <c r="E36" s="225"/>
      <c r="F36" s="225"/>
      <c r="G36" s="225"/>
      <c r="H36" s="159"/>
    </row>
  </sheetData>
  <mergeCells count="2">
    <mergeCell ref="A1:D1"/>
    <mergeCell ref="B2:D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03D6-3B1E-4709-8029-85B1C218BEB7}">
  <dimension ref="A1:BK178"/>
  <sheetViews>
    <sheetView tabSelected="1" topLeftCell="AY50" zoomScale="70" zoomScaleNormal="85" workbookViewId="0">
      <selection activeCell="AQ3" sqref="AQ3:BF3"/>
    </sheetView>
  </sheetViews>
  <sheetFormatPr defaultRowHeight="14.5" x14ac:dyDescent="0.35"/>
  <cols>
    <col min="1" max="1" width="20.81640625" style="80" customWidth="1"/>
    <col min="2" max="7" width="10.26953125" style="99" customWidth="1"/>
    <col min="8" max="9" width="10.26953125" style="65" customWidth="1"/>
    <col min="10" max="12" width="11.26953125" style="65" customWidth="1"/>
    <col min="13" max="13" width="12.08984375" style="65" customWidth="1"/>
    <col min="14" max="14" width="11.26953125" style="65" customWidth="1"/>
    <col min="15" max="15" width="13.08984375" style="65" customWidth="1"/>
    <col min="16" max="36" width="11.26953125" style="90" customWidth="1"/>
    <col min="37" max="37" width="12.26953125" style="90" customWidth="1"/>
    <col min="38" max="38" width="13" style="90" customWidth="1"/>
    <col min="39" max="41" width="11.26953125" style="90" customWidth="1"/>
    <col min="42" max="42" width="17.54296875" style="90" customWidth="1"/>
    <col min="43" max="47" width="11.26953125" style="65" customWidth="1"/>
    <col min="48" max="48" width="14.1796875" style="65" customWidth="1"/>
    <col min="49" max="49" width="13.90625" style="65" customWidth="1"/>
    <col min="50" max="51" width="14.81640625" style="65" customWidth="1"/>
    <col min="52" max="52" width="14.453125" style="65" customWidth="1"/>
    <col min="53" max="53" width="13.7265625" style="65" customWidth="1"/>
    <col min="54" max="58" width="11.26953125" style="65" customWidth="1"/>
    <col min="59" max="59" width="19.6328125" style="194" customWidth="1"/>
    <col min="60" max="61" width="11.26953125" style="65" customWidth="1"/>
    <col min="62" max="16384" width="8.7265625" style="65"/>
  </cols>
  <sheetData>
    <row r="1" spans="1:61" x14ac:dyDescent="0.35">
      <c r="A1" s="60" t="s">
        <v>108</v>
      </c>
      <c r="B1" s="96" t="s">
        <v>109</v>
      </c>
      <c r="C1" s="96" t="s">
        <v>110</v>
      </c>
      <c r="D1" s="96" t="s">
        <v>111</v>
      </c>
      <c r="E1" s="96" t="s">
        <v>112</v>
      </c>
      <c r="F1" s="96" t="s">
        <v>113</v>
      </c>
      <c r="G1" s="96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144</v>
      </c>
      <c r="O1" t="s">
        <v>145</v>
      </c>
      <c r="P1" s="87" t="s">
        <v>146</v>
      </c>
      <c r="Q1" s="87" t="s">
        <v>147</v>
      </c>
      <c r="R1" s="87" t="s">
        <v>148</v>
      </c>
      <c r="S1" s="87" t="s">
        <v>149</v>
      </c>
      <c r="T1" s="87" t="s">
        <v>150</v>
      </c>
      <c r="U1" s="87" t="s">
        <v>151</v>
      </c>
      <c r="V1" s="87" t="s">
        <v>152</v>
      </c>
      <c r="W1" s="87" t="s">
        <v>153</v>
      </c>
      <c r="X1" s="87" t="s">
        <v>154</v>
      </c>
      <c r="Y1" s="87" t="s">
        <v>155</v>
      </c>
      <c r="Z1" s="87" t="s">
        <v>156</v>
      </c>
      <c r="AA1" s="87" t="s">
        <v>157</v>
      </c>
      <c r="AB1" s="87" t="s">
        <v>158</v>
      </c>
      <c r="AC1" s="87" t="s">
        <v>159</v>
      </c>
      <c r="AD1" s="87" t="s">
        <v>160</v>
      </c>
      <c r="AE1" s="87" t="s">
        <v>161</v>
      </c>
      <c r="AF1" s="87" t="s">
        <v>162</v>
      </c>
      <c r="AG1" s="87" t="s">
        <v>163</v>
      </c>
      <c r="AH1" s="87" t="s">
        <v>164</v>
      </c>
      <c r="AI1" s="87" t="s">
        <v>165</v>
      </c>
      <c r="AJ1" s="87" t="s">
        <v>166</v>
      </c>
      <c r="AK1" s="87" t="s">
        <v>167</v>
      </c>
      <c r="AL1" s="87" t="s">
        <v>168</v>
      </c>
      <c r="AM1" s="87" t="s">
        <v>169</v>
      </c>
      <c r="AN1" s="87" t="s">
        <v>170</v>
      </c>
      <c r="AO1" s="87" t="s">
        <v>171</v>
      </c>
      <c r="AP1" s="91"/>
      <c r="AQ1" s="111" t="s">
        <v>108</v>
      </c>
      <c r="AR1" s="111" t="s">
        <v>109</v>
      </c>
      <c r="AS1" s="111" t="s">
        <v>110</v>
      </c>
      <c r="AT1" s="111" t="s">
        <v>111</v>
      </c>
      <c r="AU1" s="111" t="s">
        <v>112</v>
      </c>
      <c r="AV1" s="111" t="s">
        <v>113</v>
      </c>
      <c r="AW1" s="111" t="s">
        <v>114</v>
      </c>
      <c r="AX1" s="111" t="s">
        <v>115</v>
      </c>
      <c r="AY1" s="111" t="s">
        <v>116</v>
      </c>
      <c r="AZ1" s="111" t="s">
        <v>117</v>
      </c>
      <c r="BA1" s="111" t="s">
        <v>118</v>
      </c>
      <c r="BB1" s="111" t="s">
        <v>119</v>
      </c>
      <c r="BC1" s="111" t="s">
        <v>120</v>
      </c>
      <c r="BD1" s="111" t="s">
        <v>144</v>
      </c>
      <c r="BE1" s="111" t="s">
        <v>145</v>
      </c>
      <c r="BF1" s="111" t="s">
        <v>146</v>
      </c>
      <c r="BG1" s="195" t="s">
        <v>147</v>
      </c>
      <c r="BH1" s="204" t="s">
        <v>148</v>
      </c>
      <c r="BI1" s="204" t="s">
        <v>149</v>
      </c>
    </row>
    <row r="2" spans="1:61" ht="21" x14ac:dyDescent="0.55000000000000004">
      <c r="A2" s="89" t="s">
        <v>175</v>
      </c>
      <c r="B2" s="96"/>
      <c r="C2" s="96"/>
      <c r="D2" s="96"/>
      <c r="E2" s="96"/>
      <c r="F2" s="96"/>
      <c r="G2" s="96"/>
      <c r="H2"/>
      <c r="I2"/>
      <c r="J2"/>
      <c r="K2"/>
      <c r="L2"/>
      <c r="M2"/>
      <c r="N2"/>
      <c r="O2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Q2" s="112" t="s">
        <v>174</v>
      </c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118"/>
      <c r="BH2" s="116"/>
      <c r="BI2" s="116"/>
    </row>
    <row r="3" spans="1:61" s="82" customFormat="1" ht="63.5" customHeight="1" x14ac:dyDescent="0.35">
      <c r="A3" s="48" t="s">
        <v>177</v>
      </c>
      <c r="B3" s="85" t="s">
        <v>98</v>
      </c>
      <c r="C3" s="85" t="s">
        <v>42</v>
      </c>
      <c r="D3" s="85" t="s">
        <v>76</v>
      </c>
      <c r="E3" s="85" t="s">
        <v>43</v>
      </c>
      <c r="F3" s="85" t="s">
        <v>75</v>
      </c>
      <c r="G3" s="85" t="s">
        <v>79</v>
      </c>
      <c r="H3" s="85" t="s">
        <v>82</v>
      </c>
      <c r="I3" s="85" t="s">
        <v>83</v>
      </c>
      <c r="J3" s="85" t="s">
        <v>104</v>
      </c>
      <c r="K3" s="85" t="s">
        <v>85</v>
      </c>
      <c r="L3" s="85" t="s">
        <v>86</v>
      </c>
      <c r="M3" s="85" t="s">
        <v>87</v>
      </c>
      <c r="N3" s="85" t="s">
        <v>90</v>
      </c>
      <c r="O3" s="85" t="s">
        <v>91</v>
      </c>
      <c r="P3" s="88" t="s">
        <v>97</v>
      </c>
      <c r="Q3" s="88" t="s">
        <v>41</v>
      </c>
      <c r="R3" s="88" t="s">
        <v>44</v>
      </c>
      <c r="S3" s="88" t="s">
        <v>45</v>
      </c>
      <c r="T3" s="88" t="s">
        <v>172</v>
      </c>
      <c r="U3" s="88" t="s">
        <v>47</v>
      </c>
      <c r="V3" s="88" t="s">
        <v>48</v>
      </c>
      <c r="W3" s="88" t="s">
        <v>49</v>
      </c>
      <c r="X3" s="88" t="s">
        <v>50</v>
      </c>
      <c r="Y3" s="88" t="s">
        <v>71</v>
      </c>
      <c r="Z3" s="88" t="s">
        <v>72</v>
      </c>
      <c r="AA3" s="88" t="s">
        <v>73</v>
      </c>
      <c r="AB3" s="88" t="s">
        <v>74</v>
      </c>
      <c r="AC3" s="88" t="s">
        <v>77</v>
      </c>
      <c r="AD3" s="88" t="s">
        <v>78</v>
      </c>
      <c r="AE3" s="88" t="s">
        <v>80</v>
      </c>
      <c r="AF3" s="88" t="s">
        <v>81</v>
      </c>
      <c r="AG3" s="88" t="s">
        <v>84</v>
      </c>
      <c r="AH3" s="88" t="s">
        <v>88</v>
      </c>
      <c r="AI3" s="88" t="s">
        <v>173</v>
      </c>
      <c r="AJ3" s="88" t="s">
        <v>89</v>
      </c>
      <c r="AK3" s="88" t="s">
        <v>92</v>
      </c>
      <c r="AL3" s="88" t="s">
        <v>93</v>
      </c>
      <c r="AM3" s="88" t="s">
        <v>94</v>
      </c>
      <c r="AN3" s="88" t="s">
        <v>95</v>
      </c>
      <c r="AO3" s="88" t="s">
        <v>96</v>
      </c>
      <c r="AP3" s="92"/>
      <c r="AQ3" s="113" t="s">
        <v>124</v>
      </c>
      <c r="AR3" s="113" t="s">
        <v>125</v>
      </c>
      <c r="AS3" s="113" t="s">
        <v>126</v>
      </c>
      <c r="AT3" s="113" t="s">
        <v>127</v>
      </c>
      <c r="AU3" s="113" t="s">
        <v>128</v>
      </c>
      <c r="AV3" s="113" t="s">
        <v>132</v>
      </c>
      <c r="AW3" s="113" t="s">
        <v>131</v>
      </c>
      <c r="AX3" s="113" t="s">
        <v>129</v>
      </c>
      <c r="AY3" s="113" t="s">
        <v>130</v>
      </c>
      <c r="AZ3" s="113" t="s">
        <v>133</v>
      </c>
      <c r="BA3" s="113" t="s">
        <v>134</v>
      </c>
      <c r="BB3" s="113" t="s">
        <v>135</v>
      </c>
      <c r="BC3" s="113" t="s">
        <v>136</v>
      </c>
      <c r="BD3" s="113" t="s">
        <v>137</v>
      </c>
      <c r="BE3" s="113" t="s">
        <v>138</v>
      </c>
      <c r="BF3" s="113" t="s">
        <v>139</v>
      </c>
      <c r="BG3" s="193"/>
      <c r="BH3" s="202"/>
      <c r="BI3" s="202"/>
    </row>
    <row r="4" spans="1:61" s="106" customFormat="1" ht="31" customHeight="1" x14ac:dyDescent="0.35">
      <c r="A4" s="105" t="s">
        <v>182</v>
      </c>
      <c r="B4" s="101">
        <v>19</v>
      </c>
      <c r="C4" s="101">
        <v>5</v>
      </c>
      <c r="D4" s="101">
        <v>10</v>
      </c>
      <c r="E4" s="101">
        <v>3</v>
      </c>
      <c r="F4" s="101">
        <v>1</v>
      </c>
      <c r="G4" s="101">
        <v>8</v>
      </c>
      <c r="H4" s="102">
        <v>25</v>
      </c>
      <c r="I4" s="102">
        <v>8</v>
      </c>
      <c r="J4" s="102">
        <v>8</v>
      </c>
      <c r="K4" s="102">
        <v>18</v>
      </c>
      <c r="L4" s="102">
        <v>17</v>
      </c>
      <c r="M4" s="102">
        <v>5</v>
      </c>
      <c r="N4" s="102">
        <v>16</v>
      </c>
      <c r="O4" s="102">
        <v>13</v>
      </c>
      <c r="P4" s="102">
        <v>0</v>
      </c>
      <c r="Q4" s="102">
        <v>5</v>
      </c>
      <c r="R4" s="102">
        <v>4</v>
      </c>
      <c r="S4" s="102">
        <v>2</v>
      </c>
      <c r="T4" s="102">
        <v>9</v>
      </c>
      <c r="U4" s="102">
        <v>1</v>
      </c>
      <c r="V4" s="102">
        <v>2</v>
      </c>
      <c r="W4" s="102">
        <v>3</v>
      </c>
      <c r="X4" s="102">
        <v>3</v>
      </c>
      <c r="Y4" s="102">
        <v>1</v>
      </c>
      <c r="Z4" s="102">
        <v>7</v>
      </c>
      <c r="AA4" s="102">
        <v>1</v>
      </c>
      <c r="AB4" s="102">
        <v>3</v>
      </c>
      <c r="AC4" s="102">
        <v>6</v>
      </c>
      <c r="AD4" s="102">
        <v>6</v>
      </c>
      <c r="AE4" s="102">
        <v>3</v>
      </c>
      <c r="AF4" s="102">
        <v>2</v>
      </c>
      <c r="AG4" s="102">
        <v>6</v>
      </c>
      <c r="AH4" s="102">
        <v>0</v>
      </c>
      <c r="AI4" s="102">
        <v>10</v>
      </c>
      <c r="AJ4" s="102">
        <v>13</v>
      </c>
      <c r="AK4" s="102">
        <v>3</v>
      </c>
      <c r="AL4" s="102">
        <v>46</v>
      </c>
      <c r="AM4" s="102">
        <v>19</v>
      </c>
      <c r="AN4" s="102">
        <v>43</v>
      </c>
      <c r="AO4" s="102">
        <v>19</v>
      </c>
      <c r="AP4" s="103">
        <v>44287</v>
      </c>
      <c r="AQ4" s="114">
        <v>7</v>
      </c>
      <c r="AR4" s="114">
        <v>8</v>
      </c>
      <c r="AS4" s="114">
        <v>8</v>
      </c>
      <c r="AT4" s="114">
        <v>12</v>
      </c>
      <c r="AU4" s="114">
        <v>10</v>
      </c>
      <c r="AV4" s="114">
        <v>1</v>
      </c>
      <c r="AW4" s="114">
        <v>7</v>
      </c>
      <c r="AX4" s="114">
        <v>8</v>
      </c>
      <c r="AY4" s="114">
        <v>7</v>
      </c>
      <c r="AZ4" s="114">
        <v>3</v>
      </c>
      <c r="BA4" s="114">
        <v>1</v>
      </c>
      <c r="BB4" s="114">
        <v>2</v>
      </c>
      <c r="BC4" s="114">
        <v>12</v>
      </c>
      <c r="BD4" s="114">
        <v>13</v>
      </c>
      <c r="BE4" s="114">
        <v>6</v>
      </c>
      <c r="BF4" s="102">
        <v>6</v>
      </c>
      <c r="BG4" s="118"/>
      <c r="BH4" s="203"/>
      <c r="BI4" s="203"/>
    </row>
    <row r="5" spans="1:61" x14ac:dyDescent="0.35">
      <c r="A5" s="95">
        <v>44288</v>
      </c>
      <c r="B5" s="97">
        <v>6</v>
      </c>
      <c r="C5" s="97">
        <v>0</v>
      </c>
      <c r="D5" s="97">
        <v>11</v>
      </c>
      <c r="E5" s="97">
        <v>1</v>
      </c>
      <c r="F5" s="97">
        <v>5</v>
      </c>
      <c r="G5" s="97">
        <v>5</v>
      </c>
      <c r="H5" s="93">
        <v>41</v>
      </c>
      <c r="I5" s="93">
        <v>23</v>
      </c>
      <c r="J5" s="93">
        <v>12</v>
      </c>
      <c r="K5" s="93">
        <v>15</v>
      </c>
      <c r="L5" s="93">
        <v>24</v>
      </c>
      <c r="M5" s="93">
        <v>19</v>
      </c>
      <c r="N5" s="93">
        <v>13</v>
      </c>
      <c r="O5" s="93">
        <v>9</v>
      </c>
      <c r="P5" s="94">
        <v>4</v>
      </c>
      <c r="Q5" s="94">
        <v>5</v>
      </c>
      <c r="R5" s="94">
        <v>0</v>
      </c>
      <c r="S5" s="94">
        <v>0</v>
      </c>
      <c r="T5" s="94">
        <v>5</v>
      </c>
      <c r="U5" s="94">
        <v>5</v>
      </c>
      <c r="V5" s="94">
        <v>2</v>
      </c>
      <c r="W5" s="94">
        <v>0</v>
      </c>
      <c r="X5" s="94">
        <v>6</v>
      </c>
      <c r="Y5" s="94">
        <v>1</v>
      </c>
      <c r="Z5" s="94">
        <v>6</v>
      </c>
      <c r="AA5" s="94">
        <v>5</v>
      </c>
      <c r="AB5" s="94">
        <v>0</v>
      </c>
      <c r="AC5" s="94">
        <v>5</v>
      </c>
      <c r="AD5" s="94">
        <v>1</v>
      </c>
      <c r="AE5" s="94">
        <v>1</v>
      </c>
      <c r="AF5" s="94">
        <v>1</v>
      </c>
      <c r="AG5" s="94">
        <v>2</v>
      </c>
      <c r="AH5" s="94">
        <v>3</v>
      </c>
      <c r="AI5" s="94">
        <v>2</v>
      </c>
      <c r="AJ5" s="94">
        <v>7</v>
      </c>
      <c r="AK5" s="94">
        <v>5</v>
      </c>
      <c r="AL5" s="94">
        <v>58</v>
      </c>
      <c r="AM5" s="94">
        <v>16</v>
      </c>
      <c r="AN5" s="94">
        <v>67</v>
      </c>
      <c r="AO5" s="94">
        <v>9</v>
      </c>
      <c r="AP5" s="100">
        <v>44288</v>
      </c>
      <c r="AQ5" s="115">
        <v>32</v>
      </c>
      <c r="AR5" s="115">
        <v>27</v>
      </c>
      <c r="AS5" s="115">
        <v>20</v>
      </c>
      <c r="AT5" s="115">
        <v>18</v>
      </c>
      <c r="AU5" s="115">
        <v>2</v>
      </c>
      <c r="AV5" s="115">
        <v>9</v>
      </c>
      <c r="AW5" s="115">
        <v>11</v>
      </c>
      <c r="AX5" s="115">
        <v>1</v>
      </c>
      <c r="AY5" s="115">
        <v>12</v>
      </c>
      <c r="AZ5" s="115">
        <v>14</v>
      </c>
      <c r="BA5" s="115">
        <v>8</v>
      </c>
      <c r="BB5" s="115">
        <v>1</v>
      </c>
      <c r="BC5" s="115">
        <v>10</v>
      </c>
      <c r="BD5" s="115">
        <v>13</v>
      </c>
      <c r="BE5" s="115">
        <v>10</v>
      </c>
      <c r="BF5" s="111">
        <v>5</v>
      </c>
      <c r="BG5" s="118"/>
      <c r="BH5" s="116"/>
      <c r="BI5" s="116"/>
    </row>
    <row r="6" spans="1:61" x14ac:dyDescent="0.35">
      <c r="A6" s="95">
        <v>44289</v>
      </c>
      <c r="B6" s="97">
        <v>14</v>
      </c>
      <c r="C6" s="97">
        <v>9</v>
      </c>
      <c r="D6" s="97">
        <v>23</v>
      </c>
      <c r="E6" s="97">
        <v>5</v>
      </c>
      <c r="F6" s="97">
        <v>7</v>
      </c>
      <c r="G6" s="97">
        <v>8</v>
      </c>
      <c r="H6" s="93">
        <v>44</v>
      </c>
      <c r="I6" s="93">
        <v>17</v>
      </c>
      <c r="J6" s="93">
        <v>8</v>
      </c>
      <c r="K6" s="93">
        <v>16</v>
      </c>
      <c r="L6" s="93">
        <v>0</v>
      </c>
      <c r="M6" s="93">
        <v>20</v>
      </c>
      <c r="N6" s="93">
        <v>0</v>
      </c>
      <c r="O6" s="93">
        <v>6</v>
      </c>
      <c r="P6" s="94">
        <v>0</v>
      </c>
      <c r="Q6" s="94">
        <v>4</v>
      </c>
      <c r="R6" s="94">
        <v>4</v>
      </c>
      <c r="S6" s="94">
        <v>1</v>
      </c>
      <c r="T6" s="94">
        <v>8</v>
      </c>
      <c r="U6" s="94">
        <v>2</v>
      </c>
      <c r="V6" s="94">
        <v>5</v>
      </c>
      <c r="W6" s="94">
        <v>1</v>
      </c>
      <c r="X6" s="94">
        <v>5</v>
      </c>
      <c r="Y6" s="94">
        <v>0</v>
      </c>
      <c r="Z6" s="94">
        <v>0</v>
      </c>
      <c r="AA6" s="94">
        <v>2</v>
      </c>
      <c r="AB6" s="94">
        <v>3</v>
      </c>
      <c r="AC6" s="94">
        <v>0</v>
      </c>
      <c r="AD6" s="94">
        <v>3</v>
      </c>
      <c r="AE6" s="94">
        <v>9</v>
      </c>
      <c r="AF6" s="94">
        <v>0</v>
      </c>
      <c r="AG6" s="94">
        <v>3</v>
      </c>
      <c r="AH6" s="94">
        <v>7</v>
      </c>
      <c r="AI6" s="94">
        <v>8</v>
      </c>
      <c r="AJ6" s="94">
        <v>7</v>
      </c>
      <c r="AK6" s="94">
        <v>3</v>
      </c>
      <c r="AL6" s="94">
        <v>55</v>
      </c>
      <c r="AM6" s="94">
        <v>19</v>
      </c>
      <c r="AN6" s="94">
        <v>64</v>
      </c>
      <c r="AO6" s="94">
        <v>23</v>
      </c>
      <c r="AP6" s="100">
        <v>44289</v>
      </c>
      <c r="AQ6" s="115">
        <v>6</v>
      </c>
      <c r="AR6" s="115">
        <v>22</v>
      </c>
      <c r="AS6" s="115">
        <v>19</v>
      </c>
      <c r="AT6" s="115">
        <v>4</v>
      </c>
      <c r="AU6" s="115">
        <v>4</v>
      </c>
      <c r="AV6" s="115">
        <v>0</v>
      </c>
      <c r="AW6" s="115">
        <v>7</v>
      </c>
      <c r="AX6" s="115">
        <v>5</v>
      </c>
      <c r="AY6" s="115">
        <v>2</v>
      </c>
      <c r="AZ6" s="115">
        <v>4</v>
      </c>
      <c r="BA6" s="115">
        <v>13</v>
      </c>
      <c r="BB6" s="115">
        <v>5</v>
      </c>
      <c r="BC6" s="115">
        <v>2</v>
      </c>
      <c r="BD6" s="115">
        <v>0</v>
      </c>
      <c r="BE6" s="115">
        <v>14</v>
      </c>
      <c r="BF6" s="111">
        <v>14</v>
      </c>
      <c r="BG6" s="118"/>
      <c r="BH6" s="116"/>
      <c r="BI6" s="116"/>
    </row>
    <row r="7" spans="1:61" x14ac:dyDescent="0.35">
      <c r="A7" s="95">
        <v>44290</v>
      </c>
      <c r="B7" s="97">
        <v>11</v>
      </c>
      <c r="C7" s="97">
        <v>13</v>
      </c>
      <c r="D7" s="97">
        <v>33</v>
      </c>
      <c r="E7" s="97">
        <v>35</v>
      </c>
      <c r="F7" s="97">
        <v>4</v>
      </c>
      <c r="G7" s="97">
        <v>8</v>
      </c>
      <c r="H7" s="93">
        <v>4</v>
      </c>
      <c r="I7" s="93">
        <v>5</v>
      </c>
      <c r="J7" s="93">
        <v>20</v>
      </c>
      <c r="K7" s="93">
        <v>20</v>
      </c>
      <c r="L7" s="93">
        <v>15</v>
      </c>
      <c r="M7" s="93">
        <v>24</v>
      </c>
      <c r="N7" s="93">
        <v>14</v>
      </c>
      <c r="O7" s="93">
        <v>14</v>
      </c>
      <c r="P7" s="94">
        <v>2</v>
      </c>
      <c r="Q7" s="94">
        <v>2</v>
      </c>
      <c r="R7" s="94">
        <v>5</v>
      </c>
      <c r="S7" s="94">
        <v>0</v>
      </c>
      <c r="T7" s="94">
        <v>8</v>
      </c>
      <c r="U7" s="94">
        <v>0</v>
      </c>
      <c r="V7" s="94">
        <v>0</v>
      </c>
      <c r="W7" s="94">
        <v>3</v>
      </c>
      <c r="X7" s="94">
        <v>7</v>
      </c>
      <c r="Y7" s="94">
        <v>5</v>
      </c>
      <c r="Z7" s="94">
        <v>2</v>
      </c>
      <c r="AA7" s="94">
        <v>4</v>
      </c>
      <c r="AB7" s="94">
        <v>3</v>
      </c>
      <c r="AC7" s="94">
        <v>3</v>
      </c>
      <c r="AD7" s="94">
        <v>6</v>
      </c>
      <c r="AE7" s="94">
        <v>9</v>
      </c>
      <c r="AF7" s="94">
        <v>7</v>
      </c>
      <c r="AG7" s="94">
        <v>3</v>
      </c>
      <c r="AH7" s="94">
        <v>1</v>
      </c>
      <c r="AI7" s="94">
        <v>10</v>
      </c>
      <c r="AJ7" s="94">
        <v>4</v>
      </c>
      <c r="AK7" s="94">
        <v>3</v>
      </c>
      <c r="AL7" s="94">
        <v>20</v>
      </c>
      <c r="AM7" s="94">
        <v>22</v>
      </c>
      <c r="AN7" s="94">
        <v>31</v>
      </c>
      <c r="AO7" s="94">
        <v>22</v>
      </c>
      <c r="AP7" s="100">
        <v>44290</v>
      </c>
      <c r="AQ7" s="115">
        <v>42</v>
      </c>
      <c r="AR7" s="115">
        <v>6</v>
      </c>
      <c r="AS7" s="115">
        <v>1</v>
      </c>
      <c r="AT7" s="115">
        <v>12</v>
      </c>
      <c r="AU7" s="115">
        <v>5</v>
      </c>
      <c r="AV7" s="115">
        <v>3</v>
      </c>
      <c r="AW7" s="115">
        <v>9</v>
      </c>
      <c r="AX7" s="115">
        <v>5</v>
      </c>
      <c r="AY7" s="115">
        <v>8</v>
      </c>
      <c r="AZ7" s="115">
        <v>13</v>
      </c>
      <c r="BA7" s="115">
        <v>6</v>
      </c>
      <c r="BB7" s="115">
        <v>3</v>
      </c>
      <c r="BC7" s="115">
        <v>13</v>
      </c>
      <c r="BD7" s="115">
        <v>8</v>
      </c>
      <c r="BE7" s="115">
        <v>13</v>
      </c>
      <c r="BF7" s="111">
        <v>0</v>
      </c>
      <c r="BG7" s="118"/>
      <c r="BH7" s="116"/>
      <c r="BI7" s="116"/>
    </row>
    <row r="8" spans="1:61" x14ac:dyDescent="0.35">
      <c r="A8" s="95">
        <v>44291</v>
      </c>
      <c r="B8" s="97">
        <v>22</v>
      </c>
      <c r="C8" s="97">
        <v>0</v>
      </c>
      <c r="D8" s="97">
        <v>16</v>
      </c>
      <c r="E8" s="97">
        <v>17</v>
      </c>
      <c r="F8" s="97">
        <v>3</v>
      </c>
      <c r="G8" s="97">
        <v>9</v>
      </c>
      <c r="H8" s="93">
        <v>31</v>
      </c>
      <c r="I8" s="93">
        <v>26</v>
      </c>
      <c r="J8" s="93">
        <v>3</v>
      </c>
      <c r="K8" s="93">
        <v>16</v>
      </c>
      <c r="L8" s="93">
        <v>18</v>
      </c>
      <c r="M8" s="93">
        <v>15</v>
      </c>
      <c r="N8" s="93">
        <v>14</v>
      </c>
      <c r="O8" s="93">
        <v>13</v>
      </c>
      <c r="P8" s="94">
        <v>2</v>
      </c>
      <c r="Q8" s="94">
        <v>5</v>
      </c>
      <c r="R8" s="94">
        <v>4</v>
      </c>
      <c r="S8" s="94">
        <v>2</v>
      </c>
      <c r="T8" s="94">
        <v>3</v>
      </c>
      <c r="U8" s="94">
        <v>0</v>
      </c>
      <c r="V8" s="94">
        <v>4</v>
      </c>
      <c r="W8" s="94">
        <v>0</v>
      </c>
      <c r="X8" s="94">
        <v>7</v>
      </c>
      <c r="Y8" s="94">
        <v>1</v>
      </c>
      <c r="Z8" s="94">
        <v>0</v>
      </c>
      <c r="AA8" s="94">
        <v>0</v>
      </c>
      <c r="AB8" s="94">
        <v>1</v>
      </c>
      <c r="AC8" s="94">
        <v>8</v>
      </c>
      <c r="AD8" s="94">
        <v>0</v>
      </c>
      <c r="AE8" s="94">
        <v>3</v>
      </c>
      <c r="AF8" s="94">
        <v>7</v>
      </c>
      <c r="AG8" s="94">
        <v>4</v>
      </c>
      <c r="AH8" s="94">
        <v>5</v>
      </c>
      <c r="AI8" s="94">
        <v>8</v>
      </c>
      <c r="AJ8" s="94">
        <v>11</v>
      </c>
      <c r="AK8" s="94">
        <v>1</v>
      </c>
      <c r="AL8" s="94">
        <v>36</v>
      </c>
      <c r="AM8" s="94">
        <v>32</v>
      </c>
      <c r="AN8" s="94">
        <v>14</v>
      </c>
      <c r="AO8" s="94">
        <v>21</v>
      </c>
      <c r="AP8" s="100">
        <v>44291</v>
      </c>
      <c r="AQ8" s="115">
        <v>21</v>
      </c>
      <c r="AR8" s="115">
        <v>8</v>
      </c>
      <c r="AS8" s="115">
        <v>1</v>
      </c>
      <c r="AT8" s="115">
        <v>3</v>
      </c>
      <c r="AU8" s="115">
        <v>4</v>
      </c>
      <c r="AV8" s="115">
        <v>6</v>
      </c>
      <c r="AW8" s="115">
        <v>11</v>
      </c>
      <c r="AX8" s="115">
        <v>3</v>
      </c>
      <c r="AY8" s="115">
        <v>1</v>
      </c>
      <c r="AZ8" s="115">
        <v>1</v>
      </c>
      <c r="BA8" s="115">
        <v>14</v>
      </c>
      <c r="BB8" s="115">
        <v>6</v>
      </c>
      <c r="BC8" s="115">
        <v>3</v>
      </c>
      <c r="BD8" s="115">
        <v>8</v>
      </c>
      <c r="BE8" s="115">
        <v>12</v>
      </c>
      <c r="BF8" s="111">
        <v>15</v>
      </c>
      <c r="BG8" s="118"/>
      <c r="BH8" s="116"/>
      <c r="BI8" s="116"/>
    </row>
    <row r="9" spans="1:61" x14ac:dyDescent="0.35">
      <c r="A9" s="95">
        <v>44292</v>
      </c>
      <c r="B9" s="97">
        <v>29</v>
      </c>
      <c r="C9" s="97">
        <v>3</v>
      </c>
      <c r="D9" s="97">
        <v>24</v>
      </c>
      <c r="E9" s="97">
        <v>34</v>
      </c>
      <c r="F9" s="97">
        <v>2</v>
      </c>
      <c r="G9" s="97">
        <v>2</v>
      </c>
      <c r="H9" s="93">
        <v>26</v>
      </c>
      <c r="I9" s="93">
        <v>27</v>
      </c>
      <c r="J9" s="93">
        <v>8</v>
      </c>
      <c r="K9" s="93">
        <v>16</v>
      </c>
      <c r="L9" s="93">
        <v>5</v>
      </c>
      <c r="M9" s="93">
        <v>21</v>
      </c>
      <c r="N9" s="93">
        <v>13</v>
      </c>
      <c r="O9" s="93">
        <v>11</v>
      </c>
      <c r="P9" s="94">
        <v>5</v>
      </c>
      <c r="Q9" s="94">
        <v>5</v>
      </c>
      <c r="R9" s="94">
        <v>2</v>
      </c>
      <c r="S9" s="94">
        <v>2</v>
      </c>
      <c r="T9" s="94">
        <v>3</v>
      </c>
      <c r="U9" s="94">
        <v>0</v>
      </c>
      <c r="V9" s="94">
        <v>1</v>
      </c>
      <c r="W9" s="94">
        <v>3</v>
      </c>
      <c r="X9" s="94">
        <v>0</v>
      </c>
      <c r="Y9" s="94">
        <v>0</v>
      </c>
      <c r="Z9" s="94">
        <v>2</v>
      </c>
      <c r="AA9" s="94">
        <v>2</v>
      </c>
      <c r="AB9" s="94">
        <v>3</v>
      </c>
      <c r="AC9" s="94">
        <v>8</v>
      </c>
      <c r="AD9" s="94">
        <v>1</v>
      </c>
      <c r="AE9" s="94">
        <v>4</v>
      </c>
      <c r="AF9" s="94">
        <v>7</v>
      </c>
      <c r="AG9" s="94">
        <v>6</v>
      </c>
      <c r="AH9" s="94">
        <v>0</v>
      </c>
      <c r="AI9" s="94">
        <v>4</v>
      </c>
      <c r="AJ9" s="94">
        <v>11</v>
      </c>
      <c r="AK9" s="94">
        <v>6</v>
      </c>
      <c r="AL9" s="94">
        <v>15</v>
      </c>
      <c r="AM9" s="94">
        <v>37</v>
      </c>
      <c r="AN9" s="94">
        <v>20</v>
      </c>
      <c r="AO9" s="94">
        <v>28</v>
      </c>
      <c r="AP9" s="100">
        <v>44292</v>
      </c>
      <c r="AQ9" s="115">
        <v>21</v>
      </c>
      <c r="AR9" s="115">
        <v>21</v>
      </c>
      <c r="AS9" s="115">
        <v>0</v>
      </c>
      <c r="AT9" s="115">
        <v>12</v>
      </c>
      <c r="AU9" s="115">
        <v>1</v>
      </c>
      <c r="AV9" s="115">
        <v>4</v>
      </c>
      <c r="AW9" s="115">
        <v>3</v>
      </c>
      <c r="AX9" s="115">
        <v>7</v>
      </c>
      <c r="AY9" s="115">
        <v>10</v>
      </c>
      <c r="AZ9" s="115">
        <v>14</v>
      </c>
      <c r="BA9" s="115">
        <v>3</v>
      </c>
      <c r="BB9" s="115">
        <v>10</v>
      </c>
      <c r="BC9" s="115">
        <v>8</v>
      </c>
      <c r="BD9" s="115">
        <v>10</v>
      </c>
      <c r="BE9" s="115">
        <v>2</v>
      </c>
      <c r="BF9" s="111">
        <v>2</v>
      </c>
      <c r="BG9" s="118"/>
      <c r="BH9" s="116"/>
      <c r="BI9" s="116"/>
    </row>
    <row r="10" spans="1:61" x14ac:dyDescent="0.35">
      <c r="A10" s="95">
        <v>44293</v>
      </c>
      <c r="B10" s="97">
        <v>7</v>
      </c>
      <c r="C10" s="97">
        <v>6</v>
      </c>
      <c r="D10" s="97">
        <v>33</v>
      </c>
      <c r="E10" s="97">
        <v>37</v>
      </c>
      <c r="F10" s="97">
        <v>3</v>
      </c>
      <c r="G10" s="97">
        <v>10</v>
      </c>
      <c r="H10" s="93">
        <v>48</v>
      </c>
      <c r="I10" s="93">
        <v>17</v>
      </c>
      <c r="J10" s="93">
        <v>12</v>
      </c>
      <c r="K10" s="93">
        <v>7</v>
      </c>
      <c r="L10" s="93">
        <v>17</v>
      </c>
      <c r="M10" s="93">
        <v>10</v>
      </c>
      <c r="N10" s="93">
        <v>15</v>
      </c>
      <c r="O10" s="93">
        <v>1</v>
      </c>
      <c r="P10" s="94">
        <v>2</v>
      </c>
      <c r="Q10" s="94">
        <v>7</v>
      </c>
      <c r="R10" s="94">
        <v>2</v>
      </c>
      <c r="S10" s="94">
        <v>0</v>
      </c>
      <c r="T10" s="94">
        <v>0</v>
      </c>
      <c r="U10" s="94">
        <v>1</v>
      </c>
      <c r="V10" s="94">
        <v>5</v>
      </c>
      <c r="W10" s="94">
        <v>1</v>
      </c>
      <c r="X10" s="94">
        <v>10</v>
      </c>
      <c r="Y10" s="94">
        <v>4</v>
      </c>
      <c r="Z10" s="94">
        <v>2</v>
      </c>
      <c r="AA10" s="94">
        <v>5</v>
      </c>
      <c r="AB10" s="94">
        <v>0</v>
      </c>
      <c r="AC10" s="94">
        <v>9</v>
      </c>
      <c r="AD10" s="94">
        <v>5</v>
      </c>
      <c r="AE10" s="94">
        <v>8</v>
      </c>
      <c r="AF10" s="94">
        <v>0</v>
      </c>
      <c r="AG10" s="94">
        <v>6</v>
      </c>
      <c r="AH10" s="94">
        <v>2</v>
      </c>
      <c r="AI10" s="94">
        <v>3</v>
      </c>
      <c r="AJ10" s="94">
        <v>6</v>
      </c>
      <c r="AK10" s="94">
        <v>2</v>
      </c>
      <c r="AL10" s="94">
        <v>51</v>
      </c>
      <c r="AM10" s="94">
        <v>25</v>
      </c>
      <c r="AN10" s="94">
        <v>36</v>
      </c>
      <c r="AO10" s="94">
        <v>35</v>
      </c>
      <c r="AP10" s="100">
        <v>44293</v>
      </c>
      <c r="AQ10" s="115">
        <v>48</v>
      </c>
      <c r="AR10" s="115">
        <v>27</v>
      </c>
      <c r="AS10" s="115">
        <v>0</v>
      </c>
      <c r="AT10" s="115">
        <v>1</v>
      </c>
      <c r="AU10" s="115">
        <v>11</v>
      </c>
      <c r="AV10" s="115">
        <v>7</v>
      </c>
      <c r="AW10" s="115">
        <v>3</v>
      </c>
      <c r="AX10" s="115">
        <v>3</v>
      </c>
      <c r="AY10" s="115">
        <v>8</v>
      </c>
      <c r="AZ10" s="115">
        <v>2</v>
      </c>
      <c r="BA10" s="115">
        <v>3</v>
      </c>
      <c r="BB10" s="115">
        <v>11</v>
      </c>
      <c r="BC10" s="115">
        <v>5</v>
      </c>
      <c r="BD10" s="115">
        <v>14</v>
      </c>
      <c r="BE10" s="115">
        <v>7</v>
      </c>
      <c r="BF10" s="111">
        <v>8</v>
      </c>
      <c r="BG10" s="118"/>
      <c r="BH10" s="116"/>
      <c r="BI10" s="116"/>
    </row>
    <row r="11" spans="1:61" x14ac:dyDescent="0.35">
      <c r="A11" s="95">
        <v>44294</v>
      </c>
      <c r="B11" s="97">
        <v>20</v>
      </c>
      <c r="C11" s="97">
        <v>11</v>
      </c>
      <c r="D11" s="97">
        <v>2</v>
      </c>
      <c r="E11" s="97">
        <v>24</v>
      </c>
      <c r="F11" s="97">
        <v>8</v>
      </c>
      <c r="G11" s="97">
        <v>2</v>
      </c>
      <c r="H11" s="93">
        <v>11</v>
      </c>
      <c r="I11" s="93">
        <v>25</v>
      </c>
      <c r="J11" s="93">
        <v>30</v>
      </c>
      <c r="K11" s="93">
        <v>18</v>
      </c>
      <c r="L11" s="93">
        <v>11</v>
      </c>
      <c r="M11" s="93">
        <v>0</v>
      </c>
      <c r="N11" s="93">
        <v>4</v>
      </c>
      <c r="O11" s="93">
        <v>14</v>
      </c>
      <c r="P11" s="94">
        <v>4</v>
      </c>
      <c r="Q11" s="94">
        <v>0</v>
      </c>
      <c r="R11" s="94">
        <v>0</v>
      </c>
      <c r="S11" s="94">
        <v>0</v>
      </c>
      <c r="T11" s="94">
        <v>3</v>
      </c>
      <c r="U11" s="94">
        <v>3</v>
      </c>
      <c r="V11" s="94">
        <v>4</v>
      </c>
      <c r="W11" s="94">
        <v>1</v>
      </c>
      <c r="X11" s="94">
        <v>4</v>
      </c>
      <c r="Y11" s="94">
        <v>3</v>
      </c>
      <c r="Z11" s="94">
        <v>8</v>
      </c>
      <c r="AA11" s="94">
        <v>4</v>
      </c>
      <c r="AB11" s="94">
        <v>5</v>
      </c>
      <c r="AC11" s="94">
        <v>7</v>
      </c>
      <c r="AD11" s="94">
        <v>2</v>
      </c>
      <c r="AE11" s="94">
        <v>10</v>
      </c>
      <c r="AF11" s="94">
        <v>5</v>
      </c>
      <c r="AG11" s="94">
        <v>6</v>
      </c>
      <c r="AH11" s="94">
        <v>3</v>
      </c>
      <c r="AI11" s="94">
        <v>9</v>
      </c>
      <c r="AJ11" s="94">
        <v>8</v>
      </c>
      <c r="AK11" s="94">
        <v>1</v>
      </c>
      <c r="AL11" s="94">
        <v>42</v>
      </c>
      <c r="AM11" s="94">
        <v>49</v>
      </c>
      <c r="AN11" s="94">
        <v>41</v>
      </c>
      <c r="AO11" s="94">
        <v>6</v>
      </c>
      <c r="AP11" s="100">
        <v>44294</v>
      </c>
      <c r="AQ11" s="115">
        <v>8</v>
      </c>
      <c r="AR11" s="115">
        <v>11</v>
      </c>
      <c r="AS11" s="115">
        <v>13</v>
      </c>
      <c r="AT11" s="115">
        <v>10</v>
      </c>
      <c r="AU11" s="115">
        <v>12</v>
      </c>
      <c r="AV11" s="115">
        <v>6</v>
      </c>
      <c r="AW11" s="115">
        <v>9</v>
      </c>
      <c r="AX11" s="115">
        <v>0</v>
      </c>
      <c r="AY11" s="115">
        <v>4</v>
      </c>
      <c r="AZ11" s="115">
        <v>3</v>
      </c>
      <c r="BA11" s="115">
        <v>8</v>
      </c>
      <c r="BB11" s="115">
        <v>13</v>
      </c>
      <c r="BC11" s="115">
        <v>6</v>
      </c>
      <c r="BD11" s="115">
        <v>8</v>
      </c>
      <c r="BE11" s="115">
        <v>0</v>
      </c>
      <c r="BF11" s="111">
        <v>5</v>
      </c>
      <c r="BG11" s="118"/>
      <c r="BH11" s="116"/>
      <c r="BI11" s="116"/>
    </row>
    <row r="12" spans="1:61" x14ac:dyDescent="0.35">
      <c r="A12" s="95">
        <v>44295</v>
      </c>
      <c r="B12" s="97">
        <v>27</v>
      </c>
      <c r="C12" s="97">
        <v>11</v>
      </c>
      <c r="D12" s="97">
        <v>25</v>
      </c>
      <c r="E12" s="97">
        <v>24</v>
      </c>
      <c r="F12" s="97">
        <v>7</v>
      </c>
      <c r="G12" s="97">
        <v>1</v>
      </c>
      <c r="H12" s="93">
        <v>49</v>
      </c>
      <c r="I12" s="93">
        <v>9</v>
      </c>
      <c r="J12" s="93">
        <v>1</v>
      </c>
      <c r="K12" s="93">
        <v>24</v>
      </c>
      <c r="L12" s="93">
        <v>17</v>
      </c>
      <c r="M12" s="93">
        <v>12</v>
      </c>
      <c r="N12" s="93">
        <v>17</v>
      </c>
      <c r="O12" s="93">
        <v>11</v>
      </c>
      <c r="P12" s="94">
        <v>0</v>
      </c>
      <c r="Q12" s="94">
        <v>6</v>
      </c>
      <c r="R12" s="94">
        <v>4</v>
      </c>
      <c r="S12" s="94">
        <v>2</v>
      </c>
      <c r="T12" s="94">
        <v>1</v>
      </c>
      <c r="U12" s="94">
        <v>2</v>
      </c>
      <c r="V12" s="94">
        <v>0</v>
      </c>
      <c r="W12" s="94">
        <v>1</v>
      </c>
      <c r="X12" s="94">
        <v>0</v>
      </c>
      <c r="Y12" s="94">
        <v>4</v>
      </c>
      <c r="Z12" s="94">
        <v>8</v>
      </c>
      <c r="AA12" s="94">
        <v>2</v>
      </c>
      <c r="AB12" s="94">
        <v>5</v>
      </c>
      <c r="AC12" s="94">
        <v>5</v>
      </c>
      <c r="AD12" s="94">
        <v>3</v>
      </c>
      <c r="AE12" s="94">
        <v>4</v>
      </c>
      <c r="AF12" s="94">
        <v>2</v>
      </c>
      <c r="AG12" s="94">
        <v>2</v>
      </c>
      <c r="AH12" s="94">
        <v>0</v>
      </c>
      <c r="AI12" s="94">
        <v>5</v>
      </c>
      <c r="AJ12" s="94">
        <v>6</v>
      </c>
      <c r="AK12" s="94">
        <v>5</v>
      </c>
      <c r="AL12" s="94">
        <v>57</v>
      </c>
      <c r="AM12" s="94">
        <v>10</v>
      </c>
      <c r="AN12" s="94">
        <v>74</v>
      </c>
      <c r="AO12" s="94">
        <v>34</v>
      </c>
      <c r="AP12" s="100">
        <v>44295</v>
      </c>
      <c r="AQ12" s="115">
        <v>48</v>
      </c>
      <c r="AR12" s="115">
        <v>25</v>
      </c>
      <c r="AS12" s="115">
        <v>3</v>
      </c>
      <c r="AT12" s="115">
        <v>8</v>
      </c>
      <c r="AU12" s="115">
        <v>9</v>
      </c>
      <c r="AV12" s="115">
        <v>5</v>
      </c>
      <c r="AW12" s="115">
        <v>6</v>
      </c>
      <c r="AX12" s="115">
        <v>10</v>
      </c>
      <c r="AY12" s="115">
        <v>0</v>
      </c>
      <c r="AZ12" s="115">
        <v>0</v>
      </c>
      <c r="BA12" s="115">
        <v>7</v>
      </c>
      <c r="BB12" s="115">
        <v>11</v>
      </c>
      <c r="BC12" s="115">
        <v>11</v>
      </c>
      <c r="BD12" s="115">
        <v>1</v>
      </c>
      <c r="BE12" s="115">
        <v>3</v>
      </c>
      <c r="BF12" s="111">
        <v>15</v>
      </c>
      <c r="BG12" s="118"/>
      <c r="BH12" s="116"/>
      <c r="BI12" s="116"/>
    </row>
    <row r="13" spans="1:61" x14ac:dyDescent="0.35">
      <c r="A13" s="95">
        <v>44296</v>
      </c>
      <c r="B13" s="97">
        <v>12</v>
      </c>
      <c r="C13" s="97">
        <v>11</v>
      </c>
      <c r="D13" s="97">
        <v>14</v>
      </c>
      <c r="E13" s="97">
        <v>2</v>
      </c>
      <c r="F13" s="97">
        <v>12</v>
      </c>
      <c r="G13" s="97">
        <v>5</v>
      </c>
      <c r="H13" s="93">
        <v>14</v>
      </c>
      <c r="I13" s="93">
        <v>5</v>
      </c>
      <c r="J13" s="93">
        <v>22</v>
      </c>
      <c r="K13" s="93">
        <v>5</v>
      </c>
      <c r="L13" s="93">
        <v>10</v>
      </c>
      <c r="M13" s="93">
        <v>23</v>
      </c>
      <c r="N13" s="93">
        <v>16</v>
      </c>
      <c r="O13" s="93">
        <v>11</v>
      </c>
      <c r="P13" s="94">
        <v>0</v>
      </c>
      <c r="Q13" s="94">
        <v>6</v>
      </c>
      <c r="R13" s="94">
        <v>6</v>
      </c>
      <c r="S13" s="94">
        <v>4</v>
      </c>
      <c r="T13" s="94">
        <v>3</v>
      </c>
      <c r="U13" s="94">
        <v>3</v>
      </c>
      <c r="V13" s="94">
        <v>5</v>
      </c>
      <c r="W13" s="94">
        <v>2</v>
      </c>
      <c r="X13" s="94">
        <v>5</v>
      </c>
      <c r="Y13" s="94">
        <v>7</v>
      </c>
      <c r="Z13" s="94">
        <v>8</v>
      </c>
      <c r="AA13" s="94">
        <v>2</v>
      </c>
      <c r="AB13" s="94">
        <v>3</v>
      </c>
      <c r="AC13" s="94">
        <v>7</v>
      </c>
      <c r="AD13" s="94">
        <v>2</v>
      </c>
      <c r="AE13" s="94">
        <v>2</v>
      </c>
      <c r="AF13" s="94">
        <v>2</v>
      </c>
      <c r="AG13" s="94">
        <v>8</v>
      </c>
      <c r="AH13" s="94">
        <v>2</v>
      </c>
      <c r="AI13" s="94">
        <v>0</v>
      </c>
      <c r="AJ13" s="94">
        <v>14</v>
      </c>
      <c r="AK13" s="94">
        <v>0</v>
      </c>
      <c r="AL13" s="94">
        <v>53</v>
      </c>
      <c r="AM13" s="94">
        <v>12</v>
      </c>
      <c r="AN13" s="94">
        <v>45</v>
      </c>
      <c r="AO13" s="94">
        <v>5</v>
      </c>
      <c r="AP13" s="100">
        <v>44296</v>
      </c>
      <c r="AQ13" s="115">
        <v>20</v>
      </c>
      <c r="AR13" s="115">
        <v>24</v>
      </c>
      <c r="AS13" s="115">
        <v>1</v>
      </c>
      <c r="AT13" s="115">
        <v>17</v>
      </c>
      <c r="AU13" s="115">
        <v>10</v>
      </c>
      <c r="AV13" s="115">
        <v>8</v>
      </c>
      <c r="AW13" s="115">
        <v>1</v>
      </c>
      <c r="AX13" s="115">
        <v>10</v>
      </c>
      <c r="AY13" s="115">
        <v>2</v>
      </c>
      <c r="AZ13" s="115">
        <v>6</v>
      </c>
      <c r="BA13" s="115">
        <v>7</v>
      </c>
      <c r="BB13" s="115">
        <v>7</v>
      </c>
      <c r="BC13" s="115">
        <v>4</v>
      </c>
      <c r="BD13" s="115">
        <v>0</v>
      </c>
      <c r="BE13" s="115">
        <v>8</v>
      </c>
      <c r="BF13" s="111">
        <v>4</v>
      </c>
      <c r="BG13" s="118"/>
      <c r="BH13" s="116"/>
      <c r="BI13" s="116"/>
    </row>
    <row r="14" spans="1:61" x14ac:dyDescent="0.35">
      <c r="A14" s="95">
        <v>44297</v>
      </c>
      <c r="B14" s="97">
        <v>0</v>
      </c>
      <c r="C14" s="97">
        <v>8</v>
      </c>
      <c r="D14" s="97">
        <v>40</v>
      </c>
      <c r="E14" s="97">
        <v>32</v>
      </c>
      <c r="F14" s="97">
        <v>9</v>
      </c>
      <c r="G14" s="97">
        <v>7</v>
      </c>
      <c r="H14" s="93">
        <v>24</v>
      </c>
      <c r="I14" s="93">
        <v>28</v>
      </c>
      <c r="J14" s="93">
        <v>18</v>
      </c>
      <c r="K14" s="93">
        <v>1</v>
      </c>
      <c r="L14" s="93">
        <v>0</v>
      </c>
      <c r="M14" s="93">
        <v>15</v>
      </c>
      <c r="N14" s="93">
        <v>20</v>
      </c>
      <c r="O14" s="93">
        <v>0</v>
      </c>
      <c r="P14" s="94">
        <v>4</v>
      </c>
      <c r="Q14" s="94">
        <v>2</v>
      </c>
      <c r="R14" s="94">
        <v>4</v>
      </c>
      <c r="S14" s="94">
        <v>2</v>
      </c>
      <c r="T14" s="94">
        <v>9</v>
      </c>
      <c r="U14" s="94">
        <v>0</v>
      </c>
      <c r="V14" s="94">
        <v>2</v>
      </c>
      <c r="W14" s="94">
        <v>0</v>
      </c>
      <c r="X14" s="94">
        <v>7</v>
      </c>
      <c r="Y14" s="94">
        <v>3</v>
      </c>
      <c r="Z14" s="94">
        <v>3</v>
      </c>
      <c r="AA14" s="94">
        <v>3</v>
      </c>
      <c r="AB14" s="94">
        <v>0</v>
      </c>
      <c r="AC14" s="94">
        <v>9</v>
      </c>
      <c r="AD14" s="94">
        <v>6</v>
      </c>
      <c r="AE14" s="94">
        <v>1</v>
      </c>
      <c r="AF14" s="94">
        <v>5</v>
      </c>
      <c r="AG14" s="94">
        <v>3</v>
      </c>
      <c r="AH14" s="94">
        <v>7</v>
      </c>
      <c r="AI14" s="94">
        <v>6</v>
      </c>
      <c r="AJ14" s="94">
        <v>11</v>
      </c>
      <c r="AK14" s="94">
        <v>5</v>
      </c>
      <c r="AL14" s="94">
        <v>41</v>
      </c>
      <c r="AM14" s="94">
        <v>35</v>
      </c>
      <c r="AN14" s="94">
        <v>31</v>
      </c>
      <c r="AO14" s="94">
        <v>4</v>
      </c>
      <c r="AP14" s="100">
        <v>44297</v>
      </c>
      <c r="AQ14" s="115">
        <v>13</v>
      </c>
      <c r="AR14" s="115">
        <v>26</v>
      </c>
      <c r="AS14" s="115">
        <v>19</v>
      </c>
      <c r="AT14" s="115">
        <v>19</v>
      </c>
      <c r="AU14" s="115">
        <v>3</v>
      </c>
      <c r="AV14" s="115">
        <v>7</v>
      </c>
      <c r="AW14" s="115">
        <v>10</v>
      </c>
      <c r="AX14" s="115">
        <v>12</v>
      </c>
      <c r="AY14" s="115">
        <v>2</v>
      </c>
      <c r="AZ14" s="115">
        <v>12</v>
      </c>
      <c r="BA14" s="115">
        <v>5</v>
      </c>
      <c r="BB14" s="115">
        <v>9</v>
      </c>
      <c r="BC14" s="115">
        <v>6</v>
      </c>
      <c r="BD14" s="115">
        <v>9</v>
      </c>
      <c r="BE14" s="115">
        <v>12</v>
      </c>
      <c r="BF14" s="111">
        <v>10</v>
      </c>
      <c r="BG14" s="118"/>
      <c r="BH14" s="116"/>
      <c r="BI14" s="116"/>
    </row>
    <row r="15" spans="1:61" x14ac:dyDescent="0.35">
      <c r="A15" s="95">
        <v>44298</v>
      </c>
      <c r="B15" s="97">
        <v>2</v>
      </c>
      <c r="C15" s="97">
        <v>6</v>
      </c>
      <c r="D15" s="97">
        <v>25</v>
      </c>
      <c r="E15" s="97">
        <v>13</v>
      </c>
      <c r="F15" s="97">
        <v>1</v>
      </c>
      <c r="G15" s="97">
        <v>6</v>
      </c>
      <c r="H15" s="93">
        <v>23</v>
      </c>
      <c r="I15" s="93">
        <v>15</v>
      </c>
      <c r="J15" s="93">
        <v>27</v>
      </c>
      <c r="K15" s="93">
        <v>19</v>
      </c>
      <c r="L15" s="93">
        <v>16</v>
      </c>
      <c r="M15" s="93">
        <v>10</v>
      </c>
      <c r="N15" s="93">
        <v>7</v>
      </c>
      <c r="O15" s="93">
        <v>12</v>
      </c>
      <c r="P15" s="94">
        <v>5</v>
      </c>
      <c r="Q15" s="94">
        <v>1</v>
      </c>
      <c r="R15" s="94">
        <v>6</v>
      </c>
      <c r="S15" s="94">
        <v>3</v>
      </c>
      <c r="T15" s="94">
        <v>5</v>
      </c>
      <c r="U15" s="94">
        <v>0</v>
      </c>
      <c r="V15" s="94">
        <v>5</v>
      </c>
      <c r="W15" s="94">
        <v>3</v>
      </c>
      <c r="X15" s="94">
        <v>3</v>
      </c>
      <c r="Y15" s="94">
        <v>0</v>
      </c>
      <c r="Z15" s="94">
        <v>0</v>
      </c>
      <c r="AA15" s="94">
        <v>3</v>
      </c>
      <c r="AB15" s="94">
        <v>2</v>
      </c>
      <c r="AC15" s="94">
        <v>2</v>
      </c>
      <c r="AD15" s="94">
        <v>6</v>
      </c>
      <c r="AE15" s="94">
        <v>6</v>
      </c>
      <c r="AF15" s="94">
        <v>7</v>
      </c>
      <c r="AG15" s="94">
        <v>8</v>
      </c>
      <c r="AH15" s="94">
        <v>5</v>
      </c>
      <c r="AI15" s="94">
        <v>7</v>
      </c>
      <c r="AJ15" s="94">
        <v>0</v>
      </c>
      <c r="AK15" s="94">
        <v>4</v>
      </c>
      <c r="AL15" s="94">
        <v>20</v>
      </c>
      <c r="AM15" s="94">
        <v>31</v>
      </c>
      <c r="AN15" s="94">
        <v>55</v>
      </c>
      <c r="AO15" s="94">
        <v>29</v>
      </c>
      <c r="AP15" s="100">
        <v>44298</v>
      </c>
      <c r="AQ15" s="115">
        <v>2</v>
      </c>
      <c r="AR15" s="115">
        <v>22</v>
      </c>
      <c r="AS15" s="115">
        <v>16</v>
      </c>
      <c r="AT15" s="115">
        <v>5</v>
      </c>
      <c r="AU15" s="115">
        <v>10</v>
      </c>
      <c r="AV15" s="115">
        <v>10</v>
      </c>
      <c r="AW15" s="115">
        <v>3</v>
      </c>
      <c r="AX15" s="115">
        <v>9</v>
      </c>
      <c r="AY15" s="115">
        <v>7</v>
      </c>
      <c r="AZ15" s="115">
        <v>14</v>
      </c>
      <c r="BA15" s="115">
        <v>10</v>
      </c>
      <c r="BB15" s="115">
        <v>9</v>
      </c>
      <c r="BC15" s="115">
        <v>11</v>
      </c>
      <c r="BD15" s="115">
        <v>9</v>
      </c>
      <c r="BE15" s="115">
        <v>8</v>
      </c>
      <c r="BF15" s="111">
        <v>9</v>
      </c>
      <c r="BG15" s="118"/>
      <c r="BH15" s="116"/>
      <c r="BI15" s="116"/>
    </row>
    <row r="16" spans="1:61" x14ac:dyDescent="0.35">
      <c r="A16" s="95">
        <v>44299</v>
      </c>
      <c r="B16" s="97">
        <v>4</v>
      </c>
      <c r="C16" s="97">
        <v>12</v>
      </c>
      <c r="D16" s="97">
        <v>3</v>
      </c>
      <c r="E16" s="97">
        <v>14</v>
      </c>
      <c r="F16" s="97">
        <v>3</v>
      </c>
      <c r="G16" s="97">
        <v>3</v>
      </c>
      <c r="H16" s="93">
        <v>3</v>
      </c>
      <c r="I16" s="93">
        <v>19</v>
      </c>
      <c r="J16" s="93">
        <v>19</v>
      </c>
      <c r="K16" s="93">
        <v>18</v>
      </c>
      <c r="L16" s="93">
        <v>25</v>
      </c>
      <c r="M16" s="93">
        <v>5</v>
      </c>
      <c r="N16" s="93">
        <v>1</v>
      </c>
      <c r="O16" s="93">
        <v>15</v>
      </c>
      <c r="P16" s="94">
        <v>4</v>
      </c>
      <c r="Q16" s="94">
        <v>3</v>
      </c>
      <c r="R16" s="94">
        <v>5</v>
      </c>
      <c r="S16" s="94">
        <v>4</v>
      </c>
      <c r="T16" s="94">
        <v>9</v>
      </c>
      <c r="U16" s="94">
        <v>4</v>
      </c>
      <c r="V16" s="94">
        <v>1</v>
      </c>
      <c r="W16" s="94">
        <v>0</v>
      </c>
      <c r="X16" s="94">
        <v>0</v>
      </c>
      <c r="Y16" s="94">
        <v>2</v>
      </c>
      <c r="Z16" s="94">
        <v>5</v>
      </c>
      <c r="AA16" s="94">
        <v>2</v>
      </c>
      <c r="AB16" s="94">
        <v>4</v>
      </c>
      <c r="AC16" s="94">
        <v>4</v>
      </c>
      <c r="AD16" s="94">
        <v>0</v>
      </c>
      <c r="AE16" s="94">
        <v>7</v>
      </c>
      <c r="AF16" s="94">
        <v>1</v>
      </c>
      <c r="AG16" s="94">
        <v>7</v>
      </c>
      <c r="AH16" s="94">
        <v>7</v>
      </c>
      <c r="AI16" s="94">
        <v>0</v>
      </c>
      <c r="AJ16" s="94">
        <v>5</v>
      </c>
      <c r="AK16" s="94">
        <v>4</v>
      </c>
      <c r="AL16" s="94">
        <v>33</v>
      </c>
      <c r="AM16" s="94">
        <v>22</v>
      </c>
      <c r="AN16" s="94">
        <v>62</v>
      </c>
      <c r="AO16" s="94">
        <v>20</v>
      </c>
      <c r="AP16" s="100">
        <v>44299</v>
      </c>
      <c r="AQ16" s="115">
        <v>12</v>
      </c>
      <c r="AR16" s="115">
        <v>12</v>
      </c>
      <c r="AS16" s="115">
        <v>16</v>
      </c>
      <c r="AT16" s="115">
        <v>14</v>
      </c>
      <c r="AU16" s="115">
        <v>8</v>
      </c>
      <c r="AV16" s="115">
        <v>9</v>
      </c>
      <c r="AW16" s="115">
        <v>8</v>
      </c>
      <c r="AX16" s="115">
        <v>11</v>
      </c>
      <c r="AY16" s="115">
        <v>10</v>
      </c>
      <c r="AZ16" s="115">
        <v>11</v>
      </c>
      <c r="BA16" s="115">
        <v>11</v>
      </c>
      <c r="BB16" s="115">
        <v>10</v>
      </c>
      <c r="BC16" s="115">
        <v>2</v>
      </c>
      <c r="BD16" s="115">
        <v>4</v>
      </c>
      <c r="BE16" s="115">
        <v>10</v>
      </c>
      <c r="BF16" s="111">
        <v>13</v>
      </c>
      <c r="BG16" s="118"/>
      <c r="BH16" s="116"/>
      <c r="BI16" s="116"/>
    </row>
    <row r="17" spans="1:61" x14ac:dyDescent="0.35">
      <c r="A17" s="95">
        <v>44300</v>
      </c>
      <c r="B17" s="97">
        <v>18</v>
      </c>
      <c r="C17" s="97">
        <v>11</v>
      </c>
      <c r="D17" s="97">
        <v>20</v>
      </c>
      <c r="E17" s="97">
        <v>28</v>
      </c>
      <c r="F17" s="97">
        <v>8</v>
      </c>
      <c r="G17" s="97">
        <v>2</v>
      </c>
      <c r="H17" s="93">
        <v>39</v>
      </c>
      <c r="I17" s="93">
        <v>8</v>
      </c>
      <c r="J17" s="93">
        <v>29</v>
      </c>
      <c r="K17" s="93">
        <v>9</v>
      </c>
      <c r="L17" s="93">
        <v>24</v>
      </c>
      <c r="M17" s="93">
        <v>3</v>
      </c>
      <c r="N17" s="93">
        <v>17</v>
      </c>
      <c r="O17" s="93">
        <v>9</v>
      </c>
      <c r="P17" s="94">
        <v>3</v>
      </c>
      <c r="Q17" s="94">
        <v>1</v>
      </c>
      <c r="R17" s="94">
        <v>0</v>
      </c>
      <c r="S17" s="94">
        <v>3</v>
      </c>
      <c r="T17" s="94">
        <v>3</v>
      </c>
      <c r="U17" s="94">
        <v>5</v>
      </c>
      <c r="V17" s="94">
        <v>5</v>
      </c>
      <c r="W17" s="94">
        <v>1</v>
      </c>
      <c r="X17" s="94">
        <v>0</v>
      </c>
      <c r="Y17" s="94">
        <v>4</v>
      </c>
      <c r="Z17" s="94">
        <v>4</v>
      </c>
      <c r="AA17" s="94">
        <v>2</v>
      </c>
      <c r="AB17" s="94">
        <v>5</v>
      </c>
      <c r="AC17" s="94">
        <v>5</v>
      </c>
      <c r="AD17" s="94">
        <v>5</v>
      </c>
      <c r="AE17" s="94">
        <v>5</v>
      </c>
      <c r="AF17" s="94">
        <v>4</v>
      </c>
      <c r="AG17" s="94">
        <v>4</v>
      </c>
      <c r="AH17" s="94">
        <v>1</v>
      </c>
      <c r="AI17" s="94">
        <v>3</v>
      </c>
      <c r="AJ17" s="94">
        <v>14</v>
      </c>
      <c r="AK17" s="94">
        <v>3</v>
      </c>
      <c r="AL17" s="94">
        <v>34</v>
      </c>
      <c r="AM17" s="94">
        <v>29</v>
      </c>
      <c r="AN17" s="94">
        <v>72</v>
      </c>
      <c r="AO17" s="94">
        <v>9</v>
      </c>
      <c r="AP17" s="100">
        <v>44300</v>
      </c>
      <c r="AQ17" s="115">
        <v>32</v>
      </c>
      <c r="AR17" s="115">
        <v>20</v>
      </c>
      <c r="AS17" s="115">
        <v>4</v>
      </c>
      <c r="AT17" s="115">
        <v>3</v>
      </c>
      <c r="AU17" s="115">
        <v>10</v>
      </c>
      <c r="AV17" s="115">
        <v>2</v>
      </c>
      <c r="AW17" s="115">
        <v>10</v>
      </c>
      <c r="AX17" s="115">
        <v>10</v>
      </c>
      <c r="AY17" s="115">
        <v>8</v>
      </c>
      <c r="AZ17" s="115">
        <v>2</v>
      </c>
      <c r="BA17" s="115">
        <v>13</v>
      </c>
      <c r="BB17" s="115">
        <v>7</v>
      </c>
      <c r="BC17" s="115">
        <v>10</v>
      </c>
      <c r="BD17" s="115">
        <v>2</v>
      </c>
      <c r="BE17" s="115">
        <v>9</v>
      </c>
      <c r="BF17" s="111">
        <v>11</v>
      </c>
      <c r="BG17" s="118"/>
      <c r="BH17" s="116"/>
      <c r="BI17" s="116"/>
    </row>
    <row r="18" spans="1:61" x14ac:dyDescent="0.35">
      <c r="A18" s="95">
        <v>44301</v>
      </c>
      <c r="B18" s="97">
        <v>9</v>
      </c>
      <c r="C18" s="97">
        <v>5</v>
      </c>
      <c r="D18" s="97">
        <v>9</v>
      </c>
      <c r="E18" s="97">
        <v>35</v>
      </c>
      <c r="F18" s="97">
        <v>4</v>
      </c>
      <c r="G18" s="97">
        <v>15</v>
      </c>
      <c r="H18" s="93">
        <v>8</v>
      </c>
      <c r="I18" s="93">
        <v>3</v>
      </c>
      <c r="J18" s="93">
        <v>25</v>
      </c>
      <c r="K18" s="93">
        <v>7</v>
      </c>
      <c r="L18" s="93">
        <v>11</v>
      </c>
      <c r="M18" s="93">
        <v>25</v>
      </c>
      <c r="N18" s="93">
        <v>12</v>
      </c>
      <c r="O18" s="93">
        <v>13</v>
      </c>
      <c r="P18" s="94">
        <v>3</v>
      </c>
      <c r="Q18" s="94">
        <v>6</v>
      </c>
      <c r="R18" s="94">
        <v>6</v>
      </c>
      <c r="S18" s="94">
        <v>4</v>
      </c>
      <c r="T18" s="94">
        <v>6</v>
      </c>
      <c r="U18" s="94">
        <v>3</v>
      </c>
      <c r="V18" s="94">
        <v>0</v>
      </c>
      <c r="W18" s="94">
        <v>3</v>
      </c>
      <c r="X18" s="94">
        <v>7</v>
      </c>
      <c r="Y18" s="94">
        <v>2</v>
      </c>
      <c r="Z18" s="94">
        <v>2</v>
      </c>
      <c r="AA18" s="94">
        <v>4</v>
      </c>
      <c r="AB18" s="94">
        <v>0</v>
      </c>
      <c r="AC18" s="94">
        <v>1</v>
      </c>
      <c r="AD18" s="94">
        <v>0</v>
      </c>
      <c r="AE18" s="94">
        <v>9</v>
      </c>
      <c r="AF18" s="94">
        <v>4</v>
      </c>
      <c r="AG18" s="94">
        <v>9</v>
      </c>
      <c r="AH18" s="94">
        <v>1</v>
      </c>
      <c r="AI18" s="94">
        <v>2</v>
      </c>
      <c r="AJ18" s="94">
        <v>15</v>
      </c>
      <c r="AK18" s="94">
        <v>4</v>
      </c>
      <c r="AL18" s="94">
        <v>31</v>
      </c>
      <c r="AM18" s="94">
        <v>18</v>
      </c>
      <c r="AN18" s="94">
        <v>32</v>
      </c>
      <c r="AO18" s="94">
        <v>18</v>
      </c>
      <c r="AP18" s="100">
        <v>44301</v>
      </c>
      <c r="AQ18" s="115">
        <v>1</v>
      </c>
      <c r="AR18" s="115">
        <v>30</v>
      </c>
      <c r="AS18" s="115">
        <v>8</v>
      </c>
      <c r="AT18" s="115">
        <v>12</v>
      </c>
      <c r="AU18" s="115">
        <v>0</v>
      </c>
      <c r="AV18" s="115">
        <v>11</v>
      </c>
      <c r="AW18" s="115">
        <v>7</v>
      </c>
      <c r="AX18" s="115">
        <v>3</v>
      </c>
      <c r="AY18" s="115">
        <v>0</v>
      </c>
      <c r="AZ18" s="115">
        <v>9</v>
      </c>
      <c r="BA18" s="115">
        <v>5</v>
      </c>
      <c r="BB18" s="115">
        <v>5</v>
      </c>
      <c r="BC18" s="115">
        <v>9</v>
      </c>
      <c r="BD18" s="115">
        <v>0</v>
      </c>
      <c r="BE18" s="115">
        <v>13</v>
      </c>
      <c r="BF18" s="111">
        <v>9</v>
      </c>
      <c r="BG18" s="118"/>
      <c r="BH18" s="116"/>
      <c r="BI18" s="116"/>
    </row>
    <row r="19" spans="1:61" x14ac:dyDescent="0.35">
      <c r="A19" s="95">
        <v>44302</v>
      </c>
      <c r="B19" s="97">
        <v>1</v>
      </c>
      <c r="C19" s="97">
        <v>10</v>
      </c>
      <c r="D19" s="97">
        <v>24</v>
      </c>
      <c r="E19" s="97">
        <v>38</v>
      </c>
      <c r="F19" s="97">
        <v>11</v>
      </c>
      <c r="G19" s="97">
        <v>5</v>
      </c>
      <c r="H19" s="93">
        <v>27</v>
      </c>
      <c r="I19" s="93">
        <v>5</v>
      </c>
      <c r="J19" s="93">
        <v>7</v>
      </c>
      <c r="K19" s="93">
        <v>3</v>
      </c>
      <c r="L19" s="93">
        <v>12</v>
      </c>
      <c r="M19" s="93">
        <v>3</v>
      </c>
      <c r="N19" s="93">
        <v>19</v>
      </c>
      <c r="O19" s="93">
        <v>15</v>
      </c>
      <c r="P19" s="94">
        <v>4</v>
      </c>
      <c r="Q19" s="94">
        <v>3</v>
      </c>
      <c r="R19" s="94">
        <v>2</v>
      </c>
      <c r="S19" s="94">
        <v>3</v>
      </c>
      <c r="T19" s="94">
        <v>2</v>
      </c>
      <c r="U19" s="94">
        <v>2</v>
      </c>
      <c r="V19" s="94">
        <v>2</v>
      </c>
      <c r="W19" s="94">
        <v>2</v>
      </c>
      <c r="X19" s="94">
        <v>7</v>
      </c>
      <c r="Y19" s="94">
        <v>7</v>
      </c>
      <c r="Z19" s="94">
        <v>4</v>
      </c>
      <c r="AA19" s="94">
        <v>0</v>
      </c>
      <c r="AB19" s="94">
        <v>5</v>
      </c>
      <c r="AC19" s="94">
        <v>6</v>
      </c>
      <c r="AD19" s="94">
        <v>2</v>
      </c>
      <c r="AE19" s="94">
        <v>2</v>
      </c>
      <c r="AF19" s="94">
        <v>2</v>
      </c>
      <c r="AG19" s="94">
        <v>4</v>
      </c>
      <c r="AH19" s="94">
        <v>3</v>
      </c>
      <c r="AI19" s="94">
        <v>0</v>
      </c>
      <c r="AJ19" s="94">
        <v>7</v>
      </c>
      <c r="AK19" s="94">
        <v>4</v>
      </c>
      <c r="AL19" s="94">
        <v>29</v>
      </c>
      <c r="AM19" s="94">
        <v>44</v>
      </c>
      <c r="AN19" s="94">
        <v>71</v>
      </c>
      <c r="AO19" s="94">
        <v>33</v>
      </c>
      <c r="AP19" s="100">
        <v>44302</v>
      </c>
      <c r="AQ19" s="115">
        <v>46</v>
      </c>
      <c r="AR19" s="115">
        <v>2</v>
      </c>
      <c r="AS19" s="115">
        <v>0</v>
      </c>
      <c r="AT19" s="115">
        <v>18</v>
      </c>
      <c r="AU19" s="115">
        <v>11</v>
      </c>
      <c r="AV19" s="115">
        <v>4</v>
      </c>
      <c r="AW19" s="115">
        <v>6</v>
      </c>
      <c r="AX19" s="115">
        <v>9</v>
      </c>
      <c r="AY19" s="115">
        <v>12</v>
      </c>
      <c r="AZ19" s="115">
        <v>11</v>
      </c>
      <c r="BA19" s="115">
        <v>4</v>
      </c>
      <c r="BB19" s="115">
        <v>10</v>
      </c>
      <c r="BC19" s="115">
        <v>1</v>
      </c>
      <c r="BD19" s="115">
        <v>12</v>
      </c>
      <c r="BE19" s="115">
        <v>3</v>
      </c>
      <c r="BF19" s="111">
        <v>2</v>
      </c>
      <c r="BG19" s="118"/>
      <c r="BH19" s="116"/>
      <c r="BI19" s="116"/>
    </row>
    <row r="20" spans="1:61" x14ac:dyDescent="0.35">
      <c r="A20" s="95">
        <v>44303</v>
      </c>
      <c r="B20" s="97">
        <v>30</v>
      </c>
      <c r="C20" s="97">
        <v>7</v>
      </c>
      <c r="D20" s="97">
        <v>2</v>
      </c>
      <c r="E20" s="97">
        <v>1</v>
      </c>
      <c r="F20" s="97">
        <v>6</v>
      </c>
      <c r="G20" s="97">
        <v>2</v>
      </c>
      <c r="H20" s="93">
        <v>42</v>
      </c>
      <c r="I20" s="93">
        <v>18</v>
      </c>
      <c r="J20" s="93">
        <v>19</v>
      </c>
      <c r="K20" s="93">
        <v>4</v>
      </c>
      <c r="L20" s="93">
        <v>4</v>
      </c>
      <c r="M20" s="93">
        <v>3</v>
      </c>
      <c r="N20" s="93">
        <v>12</v>
      </c>
      <c r="O20" s="93">
        <v>0</v>
      </c>
      <c r="P20" s="94">
        <v>0</v>
      </c>
      <c r="Q20" s="94">
        <v>6</v>
      </c>
      <c r="R20" s="94">
        <v>0</v>
      </c>
      <c r="S20" s="94">
        <v>3</v>
      </c>
      <c r="T20" s="94">
        <v>6</v>
      </c>
      <c r="U20" s="94">
        <v>5</v>
      </c>
      <c r="V20" s="94">
        <v>4</v>
      </c>
      <c r="W20" s="94">
        <v>0</v>
      </c>
      <c r="X20" s="94">
        <v>6</v>
      </c>
      <c r="Y20" s="94">
        <v>5</v>
      </c>
      <c r="Z20" s="94">
        <v>4</v>
      </c>
      <c r="AA20" s="94">
        <v>2</v>
      </c>
      <c r="AB20" s="94">
        <v>1</v>
      </c>
      <c r="AC20" s="94">
        <v>7</v>
      </c>
      <c r="AD20" s="94">
        <v>4</v>
      </c>
      <c r="AE20" s="94">
        <v>7</v>
      </c>
      <c r="AF20" s="94">
        <v>0</v>
      </c>
      <c r="AG20" s="94">
        <v>8</v>
      </c>
      <c r="AH20" s="94">
        <v>0</v>
      </c>
      <c r="AI20" s="94">
        <v>2</v>
      </c>
      <c r="AJ20" s="94">
        <v>6</v>
      </c>
      <c r="AK20" s="94">
        <v>5</v>
      </c>
      <c r="AL20" s="94">
        <v>40</v>
      </c>
      <c r="AM20" s="94">
        <v>38</v>
      </c>
      <c r="AN20" s="94">
        <v>60</v>
      </c>
      <c r="AO20" s="94">
        <v>26</v>
      </c>
      <c r="AP20" s="100">
        <v>44303</v>
      </c>
      <c r="AQ20" s="115">
        <v>37</v>
      </c>
      <c r="AR20" s="115">
        <v>25</v>
      </c>
      <c r="AS20" s="115">
        <v>4</v>
      </c>
      <c r="AT20" s="115">
        <v>10</v>
      </c>
      <c r="AU20" s="115">
        <v>4</v>
      </c>
      <c r="AV20" s="115">
        <v>5</v>
      </c>
      <c r="AW20" s="115">
        <v>7</v>
      </c>
      <c r="AX20" s="115">
        <v>0</v>
      </c>
      <c r="AY20" s="115">
        <v>4</v>
      </c>
      <c r="AZ20" s="115">
        <v>0</v>
      </c>
      <c r="BA20" s="115">
        <v>6</v>
      </c>
      <c r="BB20" s="115">
        <v>11</v>
      </c>
      <c r="BC20" s="115">
        <v>10</v>
      </c>
      <c r="BD20" s="115">
        <v>8</v>
      </c>
      <c r="BE20" s="115">
        <v>10</v>
      </c>
      <c r="BF20" s="111">
        <v>14</v>
      </c>
      <c r="BG20" s="118"/>
      <c r="BH20" s="116"/>
      <c r="BI20" s="116"/>
    </row>
    <row r="21" spans="1:61" x14ac:dyDescent="0.35">
      <c r="A21" s="95">
        <v>44304</v>
      </c>
      <c r="B21" s="97">
        <v>22</v>
      </c>
      <c r="C21" s="97">
        <v>0</v>
      </c>
      <c r="D21" s="97">
        <v>26</v>
      </c>
      <c r="E21" s="97">
        <v>23</v>
      </c>
      <c r="F21" s="97">
        <v>4</v>
      </c>
      <c r="G21" s="97">
        <v>14</v>
      </c>
      <c r="H21" s="93">
        <v>22</v>
      </c>
      <c r="I21" s="93">
        <v>2</v>
      </c>
      <c r="J21" s="93">
        <v>13</v>
      </c>
      <c r="K21" s="93">
        <v>15</v>
      </c>
      <c r="L21" s="93">
        <v>9</v>
      </c>
      <c r="M21" s="93">
        <v>7</v>
      </c>
      <c r="N21" s="93">
        <v>15</v>
      </c>
      <c r="O21" s="93">
        <v>3</v>
      </c>
      <c r="P21" s="94">
        <v>2</v>
      </c>
      <c r="Q21" s="94">
        <v>4</v>
      </c>
      <c r="R21" s="94">
        <v>3</v>
      </c>
      <c r="S21" s="94">
        <v>0</v>
      </c>
      <c r="T21" s="94">
        <v>3</v>
      </c>
      <c r="U21" s="94">
        <v>1</v>
      </c>
      <c r="V21" s="94">
        <v>3</v>
      </c>
      <c r="W21" s="94">
        <v>3</v>
      </c>
      <c r="X21" s="94">
        <v>1</v>
      </c>
      <c r="Y21" s="94">
        <v>5</v>
      </c>
      <c r="Z21" s="94">
        <v>7</v>
      </c>
      <c r="AA21" s="94">
        <v>0</v>
      </c>
      <c r="AB21" s="94">
        <v>2</v>
      </c>
      <c r="AC21" s="94">
        <v>9</v>
      </c>
      <c r="AD21" s="94">
        <v>4</v>
      </c>
      <c r="AE21" s="94">
        <v>8</v>
      </c>
      <c r="AF21" s="94">
        <v>2</v>
      </c>
      <c r="AG21" s="94">
        <v>1</v>
      </c>
      <c r="AH21" s="94">
        <v>3</v>
      </c>
      <c r="AI21" s="94">
        <v>4</v>
      </c>
      <c r="AJ21" s="94">
        <v>12</v>
      </c>
      <c r="AK21" s="94">
        <v>1</v>
      </c>
      <c r="AL21" s="94">
        <v>22</v>
      </c>
      <c r="AM21" s="94">
        <v>9</v>
      </c>
      <c r="AN21" s="94">
        <v>16</v>
      </c>
      <c r="AO21" s="94">
        <v>16</v>
      </c>
      <c r="AP21" s="100">
        <v>44304</v>
      </c>
      <c r="AQ21" s="115">
        <v>33</v>
      </c>
      <c r="AR21" s="115">
        <v>29</v>
      </c>
      <c r="AS21" s="115">
        <v>9</v>
      </c>
      <c r="AT21" s="115">
        <v>0</v>
      </c>
      <c r="AU21" s="115">
        <v>12</v>
      </c>
      <c r="AV21" s="115">
        <v>9</v>
      </c>
      <c r="AW21" s="115">
        <v>4</v>
      </c>
      <c r="AX21" s="115">
        <v>5</v>
      </c>
      <c r="AY21" s="115">
        <v>4</v>
      </c>
      <c r="AZ21" s="115">
        <v>14</v>
      </c>
      <c r="BA21" s="115">
        <v>4</v>
      </c>
      <c r="BB21" s="115">
        <v>4</v>
      </c>
      <c r="BC21" s="115">
        <v>1</v>
      </c>
      <c r="BD21" s="115">
        <v>10</v>
      </c>
      <c r="BE21" s="115">
        <v>13</v>
      </c>
      <c r="BF21" s="111">
        <v>2</v>
      </c>
      <c r="BG21" s="118"/>
      <c r="BH21" s="116"/>
      <c r="BI21" s="116"/>
    </row>
    <row r="22" spans="1:61" x14ac:dyDescent="0.35">
      <c r="A22" s="95">
        <v>44305</v>
      </c>
      <c r="B22" s="97">
        <v>20</v>
      </c>
      <c r="C22" s="97">
        <v>9</v>
      </c>
      <c r="D22" s="97">
        <v>20</v>
      </c>
      <c r="E22" s="97">
        <v>23</v>
      </c>
      <c r="F22" s="97">
        <v>10</v>
      </c>
      <c r="G22" s="97">
        <v>10</v>
      </c>
      <c r="H22" s="93">
        <v>38</v>
      </c>
      <c r="I22" s="93">
        <v>2</v>
      </c>
      <c r="J22" s="93">
        <v>28</v>
      </c>
      <c r="K22" s="93">
        <v>24</v>
      </c>
      <c r="L22" s="93">
        <v>5</v>
      </c>
      <c r="M22" s="93">
        <v>22</v>
      </c>
      <c r="N22" s="93">
        <v>13</v>
      </c>
      <c r="O22" s="93">
        <v>3</v>
      </c>
      <c r="P22" s="94">
        <v>5</v>
      </c>
      <c r="Q22" s="94">
        <v>3</v>
      </c>
      <c r="R22" s="94">
        <v>3</v>
      </c>
      <c r="S22" s="94">
        <v>2</v>
      </c>
      <c r="T22" s="94">
        <v>8</v>
      </c>
      <c r="U22" s="94">
        <v>2</v>
      </c>
      <c r="V22" s="94">
        <v>0</v>
      </c>
      <c r="W22" s="94">
        <v>3</v>
      </c>
      <c r="X22" s="94">
        <v>9</v>
      </c>
      <c r="Y22" s="94">
        <v>7</v>
      </c>
      <c r="Z22" s="94">
        <v>5</v>
      </c>
      <c r="AA22" s="94">
        <v>3</v>
      </c>
      <c r="AB22" s="94">
        <v>4</v>
      </c>
      <c r="AC22" s="94">
        <v>2</v>
      </c>
      <c r="AD22" s="94">
        <v>6</v>
      </c>
      <c r="AE22" s="94">
        <v>5</v>
      </c>
      <c r="AF22" s="94">
        <v>3</v>
      </c>
      <c r="AG22" s="94">
        <v>7</v>
      </c>
      <c r="AH22" s="94">
        <v>5</v>
      </c>
      <c r="AI22" s="94">
        <v>9</v>
      </c>
      <c r="AJ22" s="94">
        <v>14</v>
      </c>
      <c r="AK22" s="94">
        <v>5</v>
      </c>
      <c r="AL22" s="94">
        <v>15</v>
      </c>
      <c r="AM22" s="94">
        <v>26</v>
      </c>
      <c r="AN22" s="94">
        <v>10</v>
      </c>
      <c r="AO22" s="94">
        <v>11</v>
      </c>
      <c r="AP22" s="100">
        <v>44305</v>
      </c>
      <c r="AQ22" s="115">
        <v>23</v>
      </c>
      <c r="AR22" s="115">
        <v>24</v>
      </c>
      <c r="AS22" s="115">
        <v>8</v>
      </c>
      <c r="AT22" s="115">
        <v>2</v>
      </c>
      <c r="AU22" s="115">
        <v>8</v>
      </c>
      <c r="AV22" s="115">
        <v>15</v>
      </c>
      <c r="AW22" s="115">
        <v>1</v>
      </c>
      <c r="AX22" s="115">
        <v>1</v>
      </c>
      <c r="AY22" s="115">
        <v>5</v>
      </c>
      <c r="AZ22" s="115">
        <v>6</v>
      </c>
      <c r="BA22" s="115">
        <v>14</v>
      </c>
      <c r="BB22" s="115">
        <v>11</v>
      </c>
      <c r="BC22" s="115">
        <v>13</v>
      </c>
      <c r="BD22" s="115">
        <v>5</v>
      </c>
      <c r="BE22" s="115">
        <v>8</v>
      </c>
      <c r="BF22" s="111">
        <v>11</v>
      </c>
      <c r="BG22" s="118"/>
      <c r="BH22" s="116"/>
      <c r="BI22" s="116"/>
    </row>
    <row r="23" spans="1:61" x14ac:dyDescent="0.35">
      <c r="A23" s="95">
        <v>44306</v>
      </c>
      <c r="B23" s="97">
        <v>10</v>
      </c>
      <c r="C23" s="97">
        <v>13</v>
      </c>
      <c r="D23" s="97">
        <v>19</v>
      </c>
      <c r="E23" s="97">
        <v>33</v>
      </c>
      <c r="F23" s="97">
        <v>6</v>
      </c>
      <c r="G23" s="97">
        <v>0</v>
      </c>
      <c r="H23" s="93">
        <v>36</v>
      </c>
      <c r="I23" s="93">
        <v>19</v>
      </c>
      <c r="J23" s="93">
        <v>30</v>
      </c>
      <c r="K23" s="93">
        <v>24</v>
      </c>
      <c r="L23" s="93">
        <v>18</v>
      </c>
      <c r="M23" s="93">
        <v>18</v>
      </c>
      <c r="N23" s="93">
        <v>3</v>
      </c>
      <c r="O23" s="93">
        <v>1</v>
      </c>
      <c r="P23" s="94">
        <v>4</v>
      </c>
      <c r="Q23" s="94">
        <v>1</v>
      </c>
      <c r="R23" s="94">
        <v>6</v>
      </c>
      <c r="S23" s="94">
        <v>2</v>
      </c>
      <c r="T23" s="94">
        <v>7</v>
      </c>
      <c r="U23" s="94">
        <v>2</v>
      </c>
      <c r="V23" s="94">
        <v>4</v>
      </c>
      <c r="W23" s="94">
        <v>1</v>
      </c>
      <c r="X23" s="94">
        <v>6</v>
      </c>
      <c r="Y23" s="94">
        <v>4</v>
      </c>
      <c r="Z23" s="94">
        <v>0</v>
      </c>
      <c r="AA23" s="94">
        <v>1</v>
      </c>
      <c r="AB23" s="94">
        <v>0</v>
      </c>
      <c r="AC23" s="94">
        <v>7</v>
      </c>
      <c r="AD23" s="94">
        <v>4</v>
      </c>
      <c r="AE23" s="94">
        <v>3</v>
      </c>
      <c r="AF23" s="94">
        <v>1</v>
      </c>
      <c r="AG23" s="94">
        <v>6</v>
      </c>
      <c r="AH23" s="94">
        <v>5</v>
      </c>
      <c r="AI23" s="94">
        <v>10</v>
      </c>
      <c r="AJ23" s="94">
        <v>11</v>
      </c>
      <c r="AK23" s="94">
        <v>2</v>
      </c>
      <c r="AL23" s="94">
        <v>31</v>
      </c>
      <c r="AM23" s="94">
        <v>22</v>
      </c>
      <c r="AN23" s="94">
        <v>53</v>
      </c>
      <c r="AO23" s="94">
        <v>19</v>
      </c>
      <c r="AP23" s="100">
        <v>44306</v>
      </c>
      <c r="AQ23" s="115">
        <v>20</v>
      </c>
      <c r="AR23" s="115">
        <v>5</v>
      </c>
      <c r="AS23" s="115">
        <v>5</v>
      </c>
      <c r="AT23" s="115">
        <v>20</v>
      </c>
      <c r="AU23" s="115">
        <v>5</v>
      </c>
      <c r="AV23" s="115">
        <v>15</v>
      </c>
      <c r="AW23" s="115">
        <v>3</v>
      </c>
      <c r="AX23" s="115">
        <v>0</v>
      </c>
      <c r="AY23" s="115">
        <v>5</v>
      </c>
      <c r="AZ23" s="115">
        <v>8</v>
      </c>
      <c r="BA23" s="115">
        <v>9</v>
      </c>
      <c r="BB23" s="115">
        <v>7</v>
      </c>
      <c r="BC23" s="115">
        <v>7</v>
      </c>
      <c r="BD23" s="115">
        <v>10</v>
      </c>
      <c r="BE23" s="115">
        <v>2</v>
      </c>
      <c r="BF23" s="111">
        <v>2</v>
      </c>
      <c r="BG23" s="118"/>
      <c r="BH23" s="116"/>
      <c r="BI23" s="116"/>
    </row>
    <row r="24" spans="1:61" x14ac:dyDescent="0.35">
      <c r="A24" s="95">
        <v>44307</v>
      </c>
      <c r="B24" s="97">
        <v>16</v>
      </c>
      <c r="C24" s="97">
        <v>6</v>
      </c>
      <c r="D24" s="97">
        <v>38</v>
      </c>
      <c r="E24" s="97">
        <v>15</v>
      </c>
      <c r="F24" s="97">
        <v>1</v>
      </c>
      <c r="G24" s="97">
        <v>0</v>
      </c>
      <c r="H24" s="93">
        <v>12</v>
      </c>
      <c r="I24" s="93">
        <v>3</v>
      </c>
      <c r="J24" s="93">
        <v>0</v>
      </c>
      <c r="K24" s="93">
        <v>21</v>
      </c>
      <c r="L24" s="93">
        <v>22</v>
      </c>
      <c r="M24" s="93">
        <v>15</v>
      </c>
      <c r="N24" s="93">
        <v>2</v>
      </c>
      <c r="O24" s="93">
        <v>2</v>
      </c>
      <c r="P24" s="94">
        <v>0</v>
      </c>
      <c r="Q24" s="94">
        <v>5</v>
      </c>
      <c r="R24" s="94">
        <v>2</v>
      </c>
      <c r="S24" s="94">
        <v>3</v>
      </c>
      <c r="T24" s="94">
        <v>6</v>
      </c>
      <c r="U24" s="94">
        <v>0</v>
      </c>
      <c r="V24" s="94">
        <v>5</v>
      </c>
      <c r="W24" s="94">
        <v>1</v>
      </c>
      <c r="X24" s="94">
        <v>9</v>
      </c>
      <c r="Y24" s="94">
        <v>5</v>
      </c>
      <c r="Z24" s="94">
        <v>7</v>
      </c>
      <c r="AA24" s="94">
        <v>2</v>
      </c>
      <c r="AB24" s="94">
        <v>5</v>
      </c>
      <c r="AC24" s="94">
        <v>0</v>
      </c>
      <c r="AD24" s="94">
        <v>0</v>
      </c>
      <c r="AE24" s="94">
        <v>3</v>
      </c>
      <c r="AF24" s="94">
        <v>2</v>
      </c>
      <c r="AG24" s="94">
        <v>3</v>
      </c>
      <c r="AH24" s="94">
        <v>8</v>
      </c>
      <c r="AI24" s="94">
        <v>5</v>
      </c>
      <c r="AJ24" s="94">
        <v>7</v>
      </c>
      <c r="AK24" s="94">
        <v>6</v>
      </c>
      <c r="AL24" s="94">
        <v>31</v>
      </c>
      <c r="AM24" s="94">
        <v>12</v>
      </c>
      <c r="AN24" s="94">
        <v>40</v>
      </c>
      <c r="AO24" s="94">
        <v>25</v>
      </c>
      <c r="AP24" s="100">
        <v>44307</v>
      </c>
      <c r="AQ24" s="115">
        <v>13</v>
      </c>
      <c r="AR24" s="115">
        <v>1</v>
      </c>
      <c r="AS24" s="115">
        <v>20</v>
      </c>
      <c r="AT24" s="115">
        <v>20</v>
      </c>
      <c r="AU24" s="115">
        <v>4</v>
      </c>
      <c r="AV24" s="115">
        <v>1</v>
      </c>
      <c r="AW24" s="115">
        <v>2</v>
      </c>
      <c r="AX24" s="115">
        <v>13</v>
      </c>
      <c r="AY24" s="115">
        <v>7</v>
      </c>
      <c r="AZ24" s="115">
        <v>13</v>
      </c>
      <c r="BA24" s="115">
        <v>6</v>
      </c>
      <c r="BB24" s="115">
        <v>1</v>
      </c>
      <c r="BC24" s="115">
        <v>9</v>
      </c>
      <c r="BD24" s="115">
        <v>10</v>
      </c>
      <c r="BE24" s="115">
        <v>0</v>
      </c>
      <c r="BF24" s="111">
        <v>7</v>
      </c>
      <c r="BG24" s="118"/>
      <c r="BH24" s="116"/>
      <c r="BI24" s="116"/>
    </row>
    <row r="25" spans="1:61" x14ac:dyDescent="0.35">
      <c r="A25" s="95">
        <v>44308</v>
      </c>
      <c r="B25" s="97">
        <v>18</v>
      </c>
      <c r="C25" s="97">
        <v>13</v>
      </c>
      <c r="D25" s="97">
        <v>5</v>
      </c>
      <c r="E25" s="97">
        <v>15</v>
      </c>
      <c r="F25" s="97">
        <v>1</v>
      </c>
      <c r="G25" s="97">
        <v>11</v>
      </c>
      <c r="H25" s="93">
        <v>42</v>
      </c>
      <c r="I25" s="93">
        <v>23</v>
      </c>
      <c r="J25" s="93">
        <v>7</v>
      </c>
      <c r="K25" s="93">
        <v>25</v>
      </c>
      <c r="L25" s="93">
        <v>8</v>
      </c>
      <c r="M25" s="93">
        <v>8</v>
      </c>
      <c r="N25" s="93">
        <v>3</v>
      </c>
      <c r="O25" s="93">
        <v>5</v>
      </c>
      <c r="P25" s="94">
        <v>1</v>
      </c>
      <c r="Q25" s="94">
        <v>4</v>
      </c>
      <c r="R25" s="94">
        <v>6</v>
      </c>
      <c r="S25" s="94">
        <v>4</v>
      </c>
      <c r="T25" s="94">
        <v>4</v>
      </c>
      <c r="U25" s="94">
        <v>4</v>
      </c>
      <c r="V25" s="94">
        <v>5</v>
      </c>
      <c r="W25" s="94">
        <v>3</v>
      </c>
      <c r="X25" s="94">
        <v>0</v>
      </c>
      <c r="Y25" s="94">
        <v>0</v>
      </c>
      <c r="Z25" s="94">
        <v>4</v>
      </c>
      <c r="AA25" s="94">
        <v>2</v>
      </c>
      <c r="AB25" s="94">
        <v>0</v>
      </c>
      <c r="AC25" s="94">
        <v>1</v>
      </c>
      <c r="AD25" s="94">
        <v>4</v>
      </c>
      <c r="AE25" s="94">
        <v>4</v>
      </c>
      <c r="AF25" s="94">
        <v>7</v>
      </c>
      <c r="AG25" s="94">
        <v>3</v>
      </c>
      <c r="AH25" s="94">
        <v>7</v>
      </c>
      <c r="AI25" s="94">
        <v>3</v>
      </c>
      <c r="AJ25" s="94">
        <v>3</v>
      </c>
      <c r="AK25" s="94">
        <v>3</v>
      </c>
      <c r="AL25" s="94">
        <v>39</v>
      </c>
      <c r="AM25" s="94">
        <v>34</v>
      </c>
      <c r="AN25" s="94">
        <v>45</v>
      </c>
      <c r="AO25" s="94">
        <v>27</v>
      </c>
      <c r="AP25" s="100">
        <v>44308</v>
      </c>
      <c r="AQ25" s="115">
        <v>49</v>
      </c>
      <c r="AR25" s="115">
        <v>3</v>
      </c>
      <c r="AS25" s="115">
        <v>19</v>
      </c>
      <c r="AT25" s="115">
        <v>17</v>
      </c>
      <c r="AU25" s="115">
        <v>7</v>
      </c>
      <c r="AV25" s="115">
        <v>4</v>
      </c>
      <c r="AW25" s="115">
        <v>5</v>
      </c>
      <c r="AX25" s="115">
        <v>5</v>
      </c>
      <c r="AY25" s="115">
        <v>12</v>
      </c>
      <c r="AZ25" s="115">
        <v>4</v>
      </c>
      <c r="BA25" s="115">
        <v>15</v>
      </c>
      <c r="BB25" s="115">
        <v>13</v>
      </c>
      <c r="BC25" s="115">
        <v>11</v>
      </c>
      <c r="BD25" s="115">
        <v>4</v>
      </c>
      <c r="BE25" s="115">
        <v>3</v>
      </c>
      <c r="BF25" s="111">
        <v>15</v>
      </c>
      <c r="BG25" s="118"/>
      <c r="BH25" s="116"/>
      <c r="BI25" s="116"/>
    </row>
    <row r="26" spans="1:61" x14ac:dyDescent="0.35">
      <c r="A26" s="95">
        <v>44309</v>
      </c>
      <c r="B26" s="97">
        <v>8</v>
      </c>
      <c r="C26" s="97">
        <v>6</v>
      </c>
      <c r="D26" s="97">
        <v>15</v>
      </c>
      <c r="E26" s="97">
        <v>15</v>
      </c>
      <c r="F26" s="97">
        <v>3</v>
      </c>
      <c r="G26" s="97">
        <v>12</v>
      </c>
      <c r="H26" s="93">
        <v>15</v>
      </c>
      <c r="I26" s="93">
        <v>14</v>
      </c>
      <c r="J26" s="93">
        <v>10</v>
      </c>
      <c r="K26" s="93">
        <v>12</v>
      </c>
      <c r="L26" s="93">
        <v>9</v>
      </c>
      <c r="M26" s="93">
        <v>8</v>
      </c>
      <c r="N26" s="93">
        <v>6</v>
      </c>
      <c r="O26" s="93">
        <v>0</v>
      </c>
      <c r="P26" s="94">
        <v>0</v>
      </c>
      <c r="Q26" s="94">
        <v>2</v>
      </c>
      <c r="R26" s="94">
        <v>2</v>
      </c>
      <c r="S26" s="94">
        <v>0</v>
      </c>
      <c r="T26" s="94">
        <v>0</v>
      </c>
      <c r="U26" s="94">
        <v>2</v>
      </c>
      <c r="V26" s="94">
        <v>3</v>
      </c>
      <c r="W26" s="94">
        <v>0</v>
      </c>
      <c r="X26" s="94">
        <v>1</v>
      </c>
      <c r="Y26" s="94">
        <v>5</v>
      </c>
      <c r="Z26" s="94">
        <v>7</v>
      </c>
      <c r="AA26" s="94">
        <v>5</v>
      </c>
      <c r="AB26" s="94">
        <v>4</v>
      </c>
      <c r="AC26" s="94">
        <v>8</v>
      </c>
      <c r="AD26" s="94">
        <v>0</v>
      </c>
      <c r="AE26" s="94">
        <v>1</v>
      </c>
      <c r="AF26" s="94">
        <v>1</v>
      </c>
      <c r="AG26" s="94">
        <v>7</v>
      </c>
      <c r="AH26" s="94">
        <v>8</v>
      </c>
      <c r="AI26" s="94">
        <v>4</v>
      </c>
      <c r="AJ26" s="94">
        <v>1</v>
      </c>
      <c r="AK26" s="94">
        <v>1</v>
      </c>
      <c r="AL26" s="94">
        <v>40</v>
      </c>
      <c r="AM26" s="94">
        <v>43</v>
      </c>
      <c r="AN26" s="94">
        <v>62</v>
      </c>
      <c r="AO26" s="94">
        <v>2</v>
      </c>
      <c r="AP26" s="100">
        <v>44309</v>
      </c>
      <c r="AQ26" s="115">
        <v>33</v>
      </c>
      <c r="AR26" s="115">
        <v>18</v>
      </c>
      <c r="AS26" s="115">
        <v>2</v>
      </c>
      <c r="AT26" s="115">
        <v>3</v>
      </c>
      <c r="AU26" s="115">
        <v>8</v>
      </c>
      <c r="AV26" s="115">
        <v>6</v>
      </c>
      <c r="AW26" s="115">
        <v>3</v>
      </c>
      <c r="AX26" s="115">
        <v>5</v>
      </c>
      <c r="AY26" s="115">
        <v>0</v>
      </c>
      <c r="AZ26" s="115">
        <v>4</v>
      </c>
      <c r="BA26" s="115">
        <v>10</v>
      </c>
      <c r="BB26" s="115">
        <v>7</v>
      </c>
      <c r="BC26" s="115">
        <v>3</v>
      </c>
      <c r="BD26" s="115">
        <v>11</v>
      </c>
      <c r="BE26" s="115">
        <v>4</v>
      </c>
      <c r="BF26" s="111">
        <v>6</v>
      </c>
      <c r="BG26" s="118"/>
      <c r="BH26" s="116"/>
      <c r="BI26" s="116"/>
    </row>
    <row r="27" spans="1:61" x14ac:dyDescent="0.35">
      <c r="A27" s="95">
        <v>44310</v>
      </c>
      <c r="B27" s="97">
        <v>6</v>
      </c>
      <c r="C27" s="97">
        <v>6</v>
      </c>
      <c r="D27" s="97">
        <v>26</v>
      </c>
      <c r="E27" s="97">
        <v>3</v>
      </c>
      <c r="F27" s="97">
        <v>1</v>
      </c>
      <c r="G27" s="97">
        <v>15</v>
      </c>
      <c r="H27" s="93">
        <v>38</v>
      </c>
      <c r="I27" s="93">
        <v>1</v>
      </c>
      <c r="J27" s="93">
        <v>17</v>
      </c>
      <c r="K27" s="93">
        <v>25</v>
      </c>
      <c r="L27" s="93">
        <v>25</v>
      </c>
      <c r="M27" s="93">
        <v>21</v>
      </c>
      <c r="N27" s="93">
        <v>10</v>
      </c>
      <c r="O27" s="93">
        <v>7</v>
      </c>
      <c r="P27" s="94">
        <v>0</v>
      </c>
      <c r="Q27" s="94">
        <v>4</v>
      </c>
      <c r="R27" s="94">
        <v>0</v>
      </c>
      <c r="S27" s="94">
        <v>1</v>
      </c>
      <c r="T27" s="94">
        <v>2</v>
      </c>
      <c r="U27" s="94">
        <v>0</v>
      </c>
      <c r="V27" s="94">
        <v>5</v>
      </c>
      <c r="W27" s="94">
        <v>1</v>
      </c>
      <c r="X27" s="94">
        <v>8</v>
      </c>
      <c r="Y27" s="94">
        <v>3</v>
      </c>
      <c r="Z27" s="94">
        <v>5</v>
      </c>
      <c r="AA27" s="94">
        <v>5</v>
      </c>
      <c r="AB27" s="94">
        <v>1</v>
      </c>
      <c r="AC27" s="94">
        <v>7</v>
      </c>
      <c r="AD27" s="94">
        <v>1</v>
      </c>
      <c r="AE27" s="94">
        <v>8</v>
      </c>
      <c r="AF27" s="94">
        <v>1</v>
      </c>
      <c r="AG27" s="94">
        <v>8</v>
      </c>
      <c r="AH27" s="94">
        <v>7</v>
      </c>
      <c r="AI27" s="94">
        <v>3</v>
      </c>
      <c r="AJ27" s="94">
        <v>14</v>
      </c>
      <c r="AK27" s="94">
        <v>5</v>
      </c>
      <c r="AL27" s="94">
        <v>16</v>
      </c>
      <c r="AM27" s="94">
        <v>37</v>
      </c>
      <c r="AN27" s="94">
        <v>32</v>
      </c>
      <c r="AO27" s="94">
        <v>27</v>
      </c>
      <c r="AP27" s="100">
        <v>44310</v>
      </c>
      <c r="AQ27" s="115">
        <v>50</v>
      </c>
      <c r="AR27" s="115">
        <v>24</v>
      </c>
      <c r="AS27" s="115">
        <v>16</v>
      </c>
      <c r="AT27" s="115">
        <v>1</v>
      </c>
      <c r="AU27" s="115">
        <v>11</v>
      </c>
      <c r="AV27" s="115">
        <v>9</v>
      </c>
      <c r="AW27" s="115">
        <v>5</v>
      </c>
      <c r="AX27" s="115">
        <v>7</v>
      </c>
      <c r="AY27" s="115">
        <v>8</v>
      </c>
      <c r="AZ27" s="115">
        <v>13</v>
      </c>
      <c r="BA27" s="115">
        <v>9</v>
      </c>
      <c r="BB27" s="115">
        <v>5</v>
      </c>
      <c r="BC27" s="115">
        <v>12</v>
      </c>
      <c r="BD27" s="115">
        <v>0</v>
      </c>
      <c r="BE27" s="115">
        <v>8</v>
      </c>
      <c r="BF27" s="111">
        <v>15</v>
      </c>
      <c r="BG27" s="118"/>
      <c r="BH27" s="116"/>
      <c r="BI27" s="116"/>
    </row>
    <row r="28" spans="1:61" x14ac:dyDescent="0.35">
      <c r="A28" s="95">
        <v>44311</v>
      </c>
      <c r="B28" s="97">
        <v>11</v>
      </c>
      <c r="C28" s="97">
        <v>1</v>
      </c>
      <c r="D28" s="97">
        <v>17</v>
      </c>
      <c r="E28" s="97">
        <v>14</v>
      </c>
      <c r="F28" s="97">
        <v>2</v>
      </c>
      <c r="G28" s="97">
        <v>13</v>
      </c>
      <c r="H28" s="93">
        <v>25</v>
      </c>
      <c r="I28" s="93">
        <v>20</v>
      </c>
      <c r="J28" s="93">
        <v>7</v>
      </c>
      <c r="K28" s="93">
        <v>23</v>
      </c>
      <c r="L28" s="93">
        <v>21</v>
      </c>
      <c r="M28" s="93">
        <v>24</v>
      </c>
      <c r="N28" s="93">
        <v>9</v>
      </c>
      <c r="O28" s="93">
        <v>4</v>
      </c>
      <c r="P28" s="94">
        <v>2</v>
      </c>
      <c r="Q28" s="94">
        <v>1</v>
      </c>
      <c r="R28" s="94">
        <v>4</v>
      </c>
      <c r="S28" s="94">
        <v>3</v>
      </c>
      <c r="T28" s="94">
        <v>0</v>
      </c>
      <c r="U28" s="94">
        <v>1</v>
      </c>
      <c r="V28" s="94">
        <v>0</v>
      </c>
      <c r="W28" s="94">
        <v>3</v>
      </c>
      <c r="X28" s="94">
        <v>9</v>
      </c>
      <c r="Y28" s="94">
        <v>7</v>
      </c>
      <c r="Z28" s="94">
        <v>6</v>
      </c>
      <c r="AA28" s="94">
        <v>4</v>
      </c>
      <c r="AB28" s="94">
        <v>0</v>
      </c>
      <c r="AC28" s="94">
        <v>6</v>
      </c>
      <c r="AD28" s="94">
        <v>4</v>
      </c>
      <c r="AE28" s="94">
        <v>8</v>
      </c>
      <c r="AF28" s="94">
        <v>1</v>
      </c>
      <c r="AG28" s="94">
        <v>9</v>
      </c>
      <c r="AH28" s="94">
        <v>0</v>
      </c>
      <c r="AI28" s="94">
        <v>3</v>
      </c>
      <c r="AJ28" s="94">
        <v>10</v>
      </c>
      <c r="AK28" s="94">
        <v>6</v>
      </c>
      <c r="AL28" s="94">
        <v>40</v>
      </c>
      <c r="AM28" s="94">
        <v>41</v>
      </c>
      <c r="AN28" s="94">
        <v>46</v>
      </c>
      <c r="AO28" s="94">
        <v>3</v>
      </c>
      <c r="AP28" s="100">
        <v>44311</v>
      </c>
      <c r="AQ28" s="115">
        <v>31</v>
      </c>
      <c r="AR28" s="115">
        <v>23</v>
      </c>
      <c r="AS28" s="115">
        <v>7</v>
      </c>
      <c r="AT28" s="115">
        <v>12</v>
      </c>
      <c r="AU28" s="115">
        <v>7</v>
      </c>
      <c r="AV28" s="115">
        <v>8</v>
      </c>
      <c r="AW28" s="115">
        <v>4</v>
      </c>
      <c r="AX28" s="115">
        <v>14</v>
      </c>
      <c r="AY28" s="115">
        <v>1</v>
      </c>
      <c r="AZ28" s="115">
        <v>9</v>
      </c>
      <c r="BA28" s="115">
        <v>9</v>
      </c>
      <c r="BB28" s="115">
        <v>11</v>
      </c>
      <c r="BC28" s="115">
        <v>5</v>
      </c>
      <c r="BD28" s="115">
        <v>11</v>
      </c>
      <c r="BE28" s="115">
        <v>1</v>
      </c>
      <c r="BF28" s="111">
        <v>3</v>
      </c>
      <c r="BG28" s="118"/>
      <c r="BH28" s="116"/>
      <c r="BI28" s="116"/>
    </row>
    <row r="29" spans="1:61" x14ac:dyDescent="0.35">
      <c r="A29" s="95">
        <v>44312</v>
      </c>
      <c r="B29" s="97">
        <v>18</v>
      </c>
      <c r="C29" s="97">
        <v>7</v>
      </c>
      <c r="D29" s="97">
        <v>6</v>
      </c>
      <c r="E29" s="97">
        <v>36</v>
      </c>
      <c r="F29" s="97">
        <v>5</v>
      </c>
      <c r="G29" s="97">
        <v>14</v>
      </c>
      <c r="H29" s="93">
        <v>34</v>
      </c>
      <c r="I29" s="93">
        <v>6</v>
      </c>
      <c r="J29" s="93">
        <v>2</v>
      </c>
      <c r="K29" s="93">
        <v>2</v>
      </c>
      <c r="L29" s="93">
        <v>2</v>
      </c>
      <c r="M29" s="93">
        <v>1</v>
      </c>
      <c r="N29" s="93">
        <v>18</v>
      </c>
      <c r="O29" s="93">
        <v>2</v>
      </c>
      <c r="P29" s="94">
        <v>4</v>
      </c>
      <c r="Q29" s="94">
        <v>6</v>
      </c>
      <c r="R29" s="94">
        <v>4</v>
      </c>
      <c r="S29" s="94">
        <v>5</v>
      </c>
      <c r="T29" s="94">
        <v>5</v>
      </c>
      <c r="U29" s="94">
        <v>5</v>
      </c>
      <c r="V29" s="94">
        <v>2</v>
      </c>
      <c r="W29" s="94">
        <v>2</v>
      </c>
      <c r="X29" s="94">
        <v>3</v>
      </c>
      <c r="Y29" s="94">
        <v>4</v>
      </c>
      <c r="Z29" s="94">
        <v>9</v>
      </c>
      <c r="AA29" s="94">
        <v>2</v>
      </c>
      <c r="AB29" s="94">
        <v>2</v>
      </c>
      <c r="AC29" s="94">
        <v>9</v>
      </c>
      <c r="AD29" s="94">
        <v>4</v>
      </c>
      <c r="AE29" s="94">
        <v>0</v>
      </c>
      <c r="AF29" s="94">
        <v>3</v>
      </c>
      <c r="AG29" s="94">
        <v>3</v>
      </c>
      <c r="AH29" s="94">
        <v>7</v>
      </c>
      <c r="AI29" s="94">
        <v>7</v>
      </c>
      <c r="AJ29" s="94">
        <v>7</v>
      </c>
      <c r="AK29" s="94">
        <v>5</v>
      </c>
      <c r="AL29" s="94">
        <v>43</v>
      </c>
      <c r="AM29" s="94">
        <v>48</v>
      </c>
      <c r="AN29" s="94">
        <v>57</v>
      </c>
      <c r="AO29" s="94">
        <v>24</v>
      </c>
      <c r="AP29" s="100">
        <v>44312</v>
      </c>
      <c r="AQ29" s="115">
        <v>16</v>
      </c>
      <c r="AR29" s="115">
        <v>5</v>
      </c>
      <c r="AS29" s="115">
        <v>4</v>
      </c>
      <c r="AT29" s="115">
        <v>0</v>
      </c>
      <c r="AU29" s="115">
        <v>5</v>
      </c>
      <c r="AV29" s="115">
        <v>10</v>
      </c>
      <c r="AW29" s="115">
        <v>11</v>
      </c>
      <c r="AX29" s="115">
        <v>2</v>
      </c>
      <c r="AY29" s="115">
        <v>11</v>
      </c>
      <c r="AZ29" s="115">
        <v>3</v>
      </c>
      <c r="BA29" s="115">
        <v>4</v>
      </c>
      <c r="BB29" s="115">
        <v>5</v>
      </c>
      <c r="BC29" s="115">
        <v>1</v>
      </c>
      <c r="BD29" s="115">
        <v>5</v>
      </c>
      <c r="BE29" s="115">
        <v>0</v>
      </c>
      <c r="BF29" s="111">
        <v>13</v>
      </c>
      <c r="BG29" s="118"/>
      <c r="BH29" s="116"/>
      <c r="BI29" s="116"/>
    </row>
    <row r="30" spans="1:61" x14ac:dyDescent="0.35">
      <c r="A30" s="95">
        <v>44313</v>
      </c>
      <c r="B30" s="97">
        <v>1</v>
      </c>
      <c r="C30" s="97">
        <v>15</v>
      </c>
      <c r="D30" s="97">
        <v>8</v>
      </c>
      <c r="E30" s="97">
        <v>32</v>
      </c>
      <c r="F30" s="97">
        <v>10</v>
      </c>
      <c r="G30" s="97">
        <v>6</v>
      </c>
      <c r="H30" s="93">
        <v>11</v>
      </c>
      <c r="I30" s="93">
        <v>10</v>
      </c>
      <c r="J30" s="93">
        <v>16</v>
      </c>
      <c r="K30" s="93">
        <v>2</v>
      </c>
      <c r="L30" s="93">
        <v>20</v>
      </c>
      <c r="M30" s="93">
        <v>6</v>
      </c>
      <c r="N30" s="93">
        <v>6</v>
      </c>
      <c r="O30" s="93">
        <v>3</v>
      </c>
      <c r="P30" s="94">
        <v>3</v>
      </c>
      <c r="Q30" s="94">
        <v>7</v>
      </c>
      <c r="R30" s="94">
        <v>1</v>
      </c>
      <c r="S30" s="94">
        <v>2</v>
      </c>
      <c r="T30" s="94">
        <v>2</v>
      </c>
      <c r="U30" s="94">
        <v>2</v>
      </c>
      <c r="V30" s="94">
        <v>2</v>
      </c>
      <c r="W30" s="94">
        <v>3</v>
      </c>
      <c r="X30" s="94">
        <v>7</v>
      </c>
      <c r="Y30" s="94">
        <v>6</v>
      </c>
      <c r="Z30" s="94">
        <v>7</v>
      </c>
      <c r="AA30" s="94">
        <v>0</v>
      </c>
      <c r="AB30" s="94">
        <v>0</v>
      </c>
      <c r="AC30" s="94">
        <v>2</v>
      </c>
      <c r="AD30" s="94">
        <v>6</v>
      </c>
      <c r="AE30" s="94">
        <v>0</v>
      </c>
      <c r="AF30" s="94">
        <v>0</v>
      </c>
      <c r="AG30" s="94">
        <v>8</v>
      </c>
      <c r="AH30" s="94">
        <v>4</v>
      </c>
      <c r="AI30" s="94">
        <v>1</v>
      </c>
      <c r="AJ30" s="94">
        <v>3</v>
      </c>
      <c r="AK30" s="94">
        <v>6</v>
      </c>
      <c r="AL30" s="94">
        <v>35</v>
      </c>
      <c r="AM30" s="94">
        <v>22</v>
      </c>
      <c r="AN30" s="94">
        <v>79</v>
      </c>
      <c r="AO30" s="94">
        <v>22</v>
      </c>
      <c r="AP30" s="100">
        <v>44313</v>
      </c>
      <c r="AQ30" s="115">
        <v>36</v>
      </c>
      <c r="AR30" s="115">
        <v>14</v>
      </c>
      <c r="AS30" s="115">
        <v>7</v>
      </c>
      <c r="AT30" s="115">
        <v>2</v>
      </c>
      <c r="AU30" s="115">
        <v>10</v>
      </c>
      <c r="AV30" s="115">
        <v>0</v>
      </c>
      <c r="AW30" s="115">
        <v>10</v>
      </c>
      <c r="AX30" s="115">
        <v>2</v>
      </c>
      <c r="AY30" s="115">
        <v>1</v>
      </c>
      <c r="AZ30" s="115">
        <v>5</v>
      </c>
      <c r="BA30" s="115">
        <v>14</v>
      </c>
      <c r="BB30" s="115">
        <v>9</v>
      </c>
      <c r="BC30" s="115">
        <v>10</v>
      </c>
      <c r="BD30" s="115">
        <v>11</v>
      </c>
      <c r="BE30" s="115">
        <v>12</v>
      </c>
      <c r="BF30" s="111">
        <v>13</v>
      </c>
      <c r="BG30" s="118"/>
      <c r="BH30" s="116"/>
      <c r="BI30" s="116"/>
    </row>
    <row r="31" spans="1:61" x14ac:dyDescent="0.35">
      <c r="A31" s="95">
        <v>44314</v>
      </c>
      <c r="B31" s="97">
        <v>29</v>
      </c>
      <c r="C31" s="97">
        <v>0</v>
      </c>
      <c r="D31" s="97">
        <v>22</v>
      </c>
      <c r="E31" s="97">
        <v>19</v>
      </c>
      <c r="F31" s="97">
        <v>6</v>
      </c>
      <c r="G31" s="97">
        <v>4</v>
      </c>
      <c r="H31" s="93">
        <v>19</v>
      </c>
      <c r="I31" s="93">
        <v>24</v>
      </c>
      <c r="J31" s="93">
        <v>3</v>
      </c>
      <c r="K31" s="93">
        <v>11</v>
      </c>
      <c r="L31" s="93">
        <v>11</v>
      </c>
      <c r="M31" s="93">
        <v>6</v>
      </c>
      <c r="N31" s="93">
        <v>2</v>
      </c>
      <c r="O31" s="93">
        <v>5</v>
      </c>
      <c r="P31" s="94">
        <v>3</v>
      </c>
      <c r="Q31" s="94">
        <v>7</v>
      </c>
      <c r="R31" s="94">
        <v>0</v>
      </c>
      <c r="S31" s="94">
        <v>1</v>
      </c>
      <c r="T31" s="94">
        <v>2</v>
      </c>
      <c r="U31" s="94">
        <v>0</v>
      </c>
      <c r="V31" s="94">
        <v>0</v>
      </c>
      <c r="W31" s="94">
        <v>2</v>
      </c>
      <c r="X31" s="94">
        <v>4</v>
      </c>
      <c r="Y31" s="94">
        <v>3</v>
      </c>
      <c r="Z31" s="94">
        <v>1</v>
      </c>
      <c r="AA31" s="94">
        <v>1</v>
      </c>
      <c r="AB31" s="94">
        <v>4</v>
      </c>
      <c r="AC31" s="94">
        <v>5</v>
      </c>
      <c r="AD31" s="94">
        <v>2</v>
      </c>
      <c r="AE31" s="94">
        <v>1</v>
      </c>
      <c r="AF31" s="94">
        <v>5</v>
      </c>
      <c r="AG31" s="94">
        <v>4</v>
      </c>
      <c r="AH31" s="94">
        <v>8</v>
      </c>
      <c r="AI31" s="94">
        <v>7</v>
      </c>
      <c r="AJ31" s="94">
        <v>13</v>
      </c>
      <c r="AK31" s="94">
        <v>5</v>
      </c>
      <c r="AL31" s="94">
        <v>25</v>
      </c>
      <c r="AM31" s="94">
        <v>15</v>
      </c>
      <c r="AN31" s="94">
        <v>13</v>
      </c>
      <c r="AO31" s="94">
        <v>14</v>
      </c>
      <c r="AP31" s="100">
        <v>44314</v>
      </c>
      <c r="AQ31" s="115">
        <v>24</v>
      </c>
      <c r="AR31" s="115">
        <v>11</v>
      </c>
      <c r="AS31" s="115">
        <v>0</v>
      </c>
      <c r="AT31" s="115">
        <v>2</v>
      </c>
      <c r="AU31" s="115">
        <v>6</v>
      </c>
      <c r="AV31" s="115">
        <v>14</v>
      </c>
      <c r="AW31" s="115">
        <v>9</v>
      </c>
      <c r="AX31" s="115">
        <v>11</v>
      </c>
      <c r="AY31" s="115">
        <v>3</v>
      </c>
      <c r="AZ31" s="115">
        <v>0</v>
      </c>
      <c r="BA31" s="115">
        <v>15</v>
      </c>
      <c r="BB31" s="115">
        <v>6</v>
      </c>
      <c r="BC31" s="115">
        <v>10</v>
      </c>
      <c r="BD31" s="115">
        <v>1</v>
      </c>
      <c r="BE31" s="115">
        <v>8</v>
      </c>
      <c r="BF31" s="111">
        <v>2</v>
      </c>
      <c r="BG31" s="118"/>
      <c r="BH31" s="116"/>
      <c r="BI31" s="116"/>
    </row>
    <row r="32" spans="1:61" x14ac:dyDescent="0.35">
      <c r="A32" s="95">
        <v>44315</v>
      </c>
      <c r="B32" s="97">
        <v>6</v>
      </c>
      <c r="C32" s="97">
        <v>2</v>
      </c>
      <c r="D32" s="97">
        <v>37</v>
      </c>
      <c r="E32" s="97">
        <v>2</v>
      </c>
      <c r="F32" s="97">
        <v>9</v>
      </c>
      <c r="G32" s="97">
        <v>15</v>
      </c>
      <c r="H32" s="93">
        <v>43</v>
      </c>
      <c r="I32" s="93">
        <v>12</v>
      </c>
      <c r="J32" s="93">
        <v>15</v>
      </c>
      <c r="K32" s="93">
        <v>14</v>
      </c>
      <c r="L32" s="93">
        <v>20</v>
      </c>
      <c r="M32" s="93">
        <v>0</v>
      </c>
      <c r="N32" s="93">
        <v>1</v>
      </c>
      <c r="O32" s="93">
        <v>0</v>
      </c>
      <c r="P32" s="94">
        <v>1</v>
      </c>
      <c r="Q32" s="94">
        <v>0</v>
      </c>
      <c r="R32" s="94">
        <v>3</v>
      </c>
      <c r="S32" s="94">
        <v>5</v>
      </c>
      <c r="T32" s="94">
        <v>9</v>
      </c>
      <c r="U32" s="94">
        <v>4</v>
      </c>
      <c r="V32" s="94">
        <v>1</v>
      </c>
      <c r="W32" s="94">
        <v>0</v>
      </c>
      <c r="X32" s="94">
        <v>6</v>
      </c>
      <c r="Y32" s="94">
        <v>1</v>
      </c>
      <c r="Z32" s="94">
        <v>5</v>
      </c>
      <c r="AA32" s="94">
        <v>3</v>
      </c>
      <c r="AB32" s="94">
        <v>3</v>
      </c>
      <c r="AC32" s="94">
        <v>4</v>
      </c>
      <c r="AD32" s="94">
        <v>4</v>
      </c>
      <c r="AE32" s="94">
        <v>8</v>
      </c>
      <c r="AF32" s="94">
        <v>0</v>
      </c>
      <c r="AG32" s="94">
        <v>9</v>
      </c>
      <c r="AH32" s="94">
        <v>2</v>
      </c>
      <c r="AI32" s="94">
        <v>6</v>
      </c>
      <c r="AJ32" s="94">
        <v>7</v>
      </c>
      <c r="AK32" s="94">
        <v>3</v>
      </c>
      <c r="AL32" s="94">
        <v>48</v>
      </c>
      <c r="AM32" s="94">
        <v>11</v>
      </c>
      <c r="AN32" s="94">
        <v>12</v>
      </c>
      <c r="AO32" s="94">
        <v>19</v>
      </c>
      <c r="AP32" s="100">
        <v>44315</v>
      </c>
      <c r="AQ32" s="115">
        <v>20</v>
      </c>
      <c r="AR32" s="115">
        <v>21</v>
      </c>
      <c r="AS32" s="115">
        <v>9</v>
      </c>
      <c r="AT32" s="115">
        <v>18</v>
      </c>
      <c r="AU32" s="115">
        <v>1</v>
      </c>
      <c r="AV32" s="115">
        <v>11</v>
      </c>
      <c r="AW32" s="115">
        <v>7</v>
      </c>
      <c r="AX32" s="115">
        <v>11</v>
      </c>
      <c r="AY32" s="115">
        <v>9</v>
      </c>
      <c r="AZ32" s="115">
        <v>13</v>
      </c>
      <c r="BA32" s="115">
        <v>2</v>
      </c>
      <c r="BB32" s="115">
        <v>0</v>
      </c>
      <c r="BC32" s="115">
        <v>3</v>
      </c>
      <c r="BD32" s="115">
        <v>8</v>
      </c>
      <c r="BE32" s="115">
        <v>6</v>
      </c>
      <c r="BF32" s="111">
        <v>12</v>
      </c>
      <c r="BG32" s="118"/>
      <c r="BH32" s="116"/>
      <c r="BI32" s="116"/>
    </row>
    <row r="33" spans="1:61" x14ac:dyDescent="0.35">
      <c r="A33" s="95">
        <v>44316</v>
      </c>
      <c r="B33" s="97">
        <v>3</v>
      </c>
      <c r="C33" s="97">
        <v>3</v>
      </c>
      <c r="D33" s="97">
        <v>13</v>
      </c>
      <c r="E33" s="97">
        <v>39</v>
      </c>
      <c r="F33" s="97">
        <v>9</v>
      </c>
      <c r="G33" s="97">
        <v>14</v>
      </c>
      <c r="H33" s="93">
        <v>8</v>
      </c>
      <c r="I33" s="93">
        <v>12</v>
      </c>
      <c r="J33" s="93">
        <v>22</v>
      </c>
      <c r="K33" s="93">
        <v>14</v>
      </c>
      <c r="L33" s="93">
        <v>3</v>
      </c>
      <c r="M33" s="93">
        <v>11</v>
      </c>
      <c r="N33" s="93">
        <v>17</v>
      </c>
      <c r="O33" s="93">
        <v>11</v>
      </c>
      <c r="P33" s="94">
        <v>3</v>
      </c>
      <c r="Q33" s="94">
        <v>2</v>
      </c>
      <c r="R33" s="94">
        <v>2</v>
      </c>
      <c r="S33" s="94">
        <v>1</v>
      </c>
      <c r="T33" s="94">
        <v>2</v>
      </c>
      <c r="U33" s="94">
        <v>0</v>
      </c>
      <c r="V33" s="94">
        <v>2</v>
      </c>
      <c r="W33" s="94">
        <v>0</v>
      </c>
      <c r="X33" s="94">
        <v>3</v>
      </c>
      <c r="Y33" s="94">
        <v>1</v>
      </c>
      <c r="Z33" s="94">
        <v>7</v>
      </c>
      <c r="AA33" s="94">
        <v>4</v>
      </c>
      <c r="AB33" s="94">
        <v>2</v>
      </c>
      <c r="AC33" s="94">
        <v>5</v>
      </c>
      <c r="AD33" s="94">
        <v>0</v>
      </c>
      <c r="AE33" s="94">
        <v>3</v>
      </c>
      <c r="AF33" s="94">
        <v>1</v>
      </c>
      <c r="AG33" s="94">
        <v>7</v>
      </c>
      <c r="AH33" s="94">
        <v>7</v>
      </c>
      <c r="AI33" s="94">
        <v>2</v>
      </c>
      <c r="AJ33" s="94">
        <v>8</v>
      </c>
      <c r="AK33" s="94">
        <v>2</v>
      </c>
      <c r="AL33" s="94">
        <v>13</v>
      </c>
      <c r="AM33" s="94">
        <v>17</v>
      </c>
      <c r="AN33" s="94">
        <v>13</v>
      </c>
      <c r="AO33" s="94">
        <v>35</v>
      </c>
      <c r="AP33" s="100">
        <v>44316</v>
      </c>
      <c r="AQ33" s="115">
        <v>25</v>
      </c>
      <c r="AR33" s="115">
        <v>15</v>
      </c>
      <c r="AS33" s="115">
        <v>18</v>
      </c>
      <c r="AT33" s="115">
        <v>10</v>
      </c>
      <c r="AU33" s="115">
        <v>7</v>
      </c>
      <c r="AV33" s="115">
        <v>6</v>
      </c>
      <c r="AW33" s="115">
        <v>1</v>
      </c>
      <c r="AX33" s="115">
        <v>5</v>
      </c>
      <c r="AY33" s="115">
        <v>13</v>
      </c>
      <c r="AZ33" s="115">
        <v>2</v>
      </c>
      <c r="BA33" s="115">
        <v>7</v>
      </c>
      <c r="BB33" s="115">
        <v>12</v>
      </c>
      <c r="BC33" s="115">
        <v>11</v>
      </c>
      <c r="BD33" s="115">
        <v>1</v>
      </c>
      <c r="BE33" s="115">
        <v>6</v>
      </c>
      <c r="BF33" s="111">
        <v>1</v>
      </c>
      <c r="BG33" s="118"/>
      <c r="BH33" s="116"/>
      <c r="BI33" s="116"/>
    </row>
    <row r="34" spans="1:61" s="34" customFormat="1" ht="29.5" customHeight="1" x14ac:dyDescent="0.35">
      <c r="A34" s="104" t="s">
        <v>181</v>
      </c>
      <c r="B34" s="101">
        <v>0</v>
      </c>
      <c r="C34" s="101">
        <v>11</v>
      </c>
      <c r="D34" s="101">
        <v>5</v>
      </c>
      <c r="E34" s="101">
        <v>39</v>
      </c>
      <c r="F34" s="101">
        <v>10</v>
      </c>
      <c r="G34" s="101">
        <v>3</v>
      </c>
      <c r="H34" s="102">
        <v>15</v>
      </c>
      <c r="I34" s="102">
        <v>17</v>
      </c>
      <c r="J34" s="102">
        <v>27</v>
      </c>
      <c r="K34" s="102">
        <v>15</v>
      </c>
      <c r="L34" s="102">
        <v>4</v>
      </c>
      <c r="M34" s="102">
        <v>18</v>
      </c>
      <c r="N34" s="102">
        <v>20</v>
      </c>
      <c r="O34" s="102">
        <v>14</v>
      </c>
      <c r="P34" s="102">
        <v>4</v>
      </c>
      <c r="Q34" s="102">
        <v>2</v>
      </c>
      <c r="R34" s="102">
        <v>0</v>
      </c>
      <c r="S34" s="102">
        <v>3</v>
      </c>
      <c r="T34" s="102">
        <v>0</v>
      </c>
      <c r="U34" s="102">
        <v>1</v>
      </c>
      <c r="V34" s="102">
        <v>3</v>
      </c>
      <c r="W34" s="102">
        <v>0</v>
      </c>
      <c r="X34" s="102">
        <v>7</v>
      </c>
      <c r="Y34" s="102">
        <v>4</v>
      </c>
      <c r="Z34" s="102">
        <v>1</v>
      </c>
      <c r="AA34" s="102">
        <v>5</v>
      </c>
      <c r="AB34" s="102">
        <v>2</v>
      </c>
      <c r="AC34" s="102">
        <v>6</v>
      </c>
      <c r="AD34" s="102">
        <v>2</v>
      </c>
      <c r="AE34" s="102">
        <v>5</v>
      </c>
      <c r="AF34" s="102">
        <v>7</v>
      </c>
      <c r="AG34" s="102">
        <v>5</v>
      </c>
      <c r="AH34" s="102">
        <v>5</v>
      </c>
      <c r="AI34" s="102">
        <v>2</v>
      </c>
      <c r="AJ34" s="102">
        <v>13</v>
      </c>
      <c r="AK34" s="102">
        <v>4</v>
      </c>
      <c r="AL34" s="102">
        <v>53</v>
      </c>
      <c r="AM34" s="102">
        <v>45</v>
      </c>
      <c r="AN34" s="102">
        <v>9</v>
      </c>
      <c r="AO34" s="102">
        <v>13</v>
      </c>
      <c r="AP34" s="103">
        <v>44317</v>
      </c>
      <c r="AQ34" s="114">
        <v>5</v>
      </c>
      <c r="AR34" s="114">
        <v>8</v>
      </c>
      <c r="AS34" s="114">
        <v>16</v>
      </c>
      <c r="AT34" s="114">
        <v>3</v>
      </c>
      <c r="AU34" s="114">
        <v>2</v>
      </c>
      <c r="AV34" s="114">
        <v>15</v>
      </c>
      <c r="AW34" s="114">
        <v>9</v>
      </c>
      <c r="AX34" s="114">
        <v>5</v>
      </c>
      <c r="AY34" s="114">
        <v>6</v>
      </c>
      <c r="AZ34" s="114">
        <v>5</v>
      </c>
      <c r="BA34" s="114">
        <v>4</v>
      </c>
      <c r="BB34" s="114">
        <v>6</v>
      </c>
      <c r="BC34" s="114">
        <v>4</v>
      </c>
      <c r="BD34" s="114">
        <v>12</v>
      </c>
      <c r="BE34" s="114">
        <v>7</v>
      </c>
      <c r="BF34" s="102">
        <v>11</v>
      </c>
      <c r="BG34" s="118"/>
      <c r="BH34" s="102"/>
      <c r="BI34" s="102"/>
    </row>
    <row r="35" spans="1:61" x14ac:dyDescent="0.35">
      <c r="A35" s="95">
        <v>44318</v>
      </c>
      <c r="B35" s="97">
        <v>21</v>
      </c>
      <c r="C35" s="97">
        <v>0</v>
      </c>
      <c r="D35" s="97">
        <v>32</v>
      </c>
      <c r="E35" s="97">
        <v>13</v>
      </c>
      <c r="F35" s="97">
        <v>9</v>
      </c>
      <c r="G35" s="97">
        <v>15</v>
      </c>
      <c r="H35" s="93">
        <v>33</v>
      </c>
      <c r="I35" s="93">
        <v>18</v>
      </c>
      <c r="J35" s="93">
        <v>11</v>
      </c>
      <c r="K35" s="93">
        <v>7</v>
      </c>
      <c r="L35" s="93">
        <v>7</v>
      </c>
      <c r="M35" s="93">
        <v>7</v>
      </c>
      <c r="N35" s="93">
        <v>9</v>
      </c>
      <c r="O35" s="93">
        <v>9</v>
      </c>
      <c r="P35" s="94">
        <v>1</v>
      </c>
      <c r="Q35" s="94">
        <v>7</v>
      </c>
      <c r="R35" s="94">
        <v>5</v>
      </c>
      <c r="S35" s="94">
        <v>1</v>
      </c>
      <c r="T35" s="94">
        <v>7</v>
      </c>
      <c r="U35" s="94">
        <v>3</v>
      </c>
      <c r="V35" s="94">
        <v>2</v>
      </c>
      <c r="W35" s="94">
        <v>3</v>
      </c>
      <c r="X35" s="94">
        <v>9</v>
      </c>
      <c r="Y35" s="94">
        <v>2</v>
      </c>
      <c r="Z35" s="94">
        <v>9</v>
      </c>
      <c r="AA35" s="94">
        <v>3</v>
      </c>
      <c r="AB35" s="94">
        <v>2</v>
      </c>
      <c r="AC35" s="94">
        <v>5</v>
      </c>
      <c r="AD35" s="94">
        <v>3</v>
      </c>
      <c r="AE35" s="94">
        <v>6</v>
      </c>
      <c r="AF35" s="94">
        <v>3</v>
      </c>
      <c r="AG35" s="94">
        <v>5</v>
      </c>
      <c r="AH35" s="94">
        <v>4</v>
      </c>
      <c r="AI35" s="94">
        <v>9</v>
      </c>
      <c r="AJ35" s="94">
        <v>15</v>
      </c>
      <c r="AK35" s="94">
        <v>2</v>
      </c>
      <c r="AL35" s="94">
        <v>43</v>
      </c>
      <c r="AM35" s="94">
        <v>36</v>
      </c>
      <c r="AN35" s="94">
        <v>78</v>
      </c>
      <c r="AO35" s="94">
        <v>9</v>
      </c>
      <c r="AP35" s="100">
        <v>44318</v>
      </c>
      <c r="AQ35" s="115">
        <v>14</v>
      </c>
      <c r="AR35" s="115">
        <v>28</v>
      </c>
      <c r="AS35" s="115">
        <v>0</v>
      </c>
      <c r="AT35" s="115">
        <v>19</v>
      </c>
      <c r="AU35" s="115">
        <v>0</v>
      </c>
      <c r="AV35" s="115">
        <v>6</v>
      </c>
      <c r="AW35" s="115">
        <v>8</v>
      </c>
      <c r="AX35" s="115">
        <v>2</v>
      </c>
      <c r="AY35" s="115">
        <v>9</v>
      </c>
      <c r="AZ35" s="115">
        <v>12</v>
      </c>
      <c r="BA35" s="115">
        <v>14</v>
      </c>
      <c r="BB35" s="115">
        <v>9</v>
      </c>
      <c r="BC35" s="115">
        <v>11</v>
      </c>
      <c r="BD35" s="115">
        <v>12</v>
      </c>
      <c r="BE35" s="115">
        <v>3</v>
      </c>
      <c r="BF35" s="111">
        <v>3</v>
      </c>
      <c r="BG35" s="118"/>
      <c r="BH35" s="116"/>
      <c r="BI35" s="116"/>
    </row>
    <row r="36" spans="1:61" x14ac:dyDescent="0.35">
      <c r="A36" s="95">
        <v>44319</v>
      </c>
      <c r="B36" s="97">
        <v>17</v>
      </c>
      <c r="C36" s="97">
        <v>12</v>
      </c>
      <c r="D36" s="97">
        <v>9</v>
      </c>
      <c r="E36" s="97">
        <v>34</v>
      </c>
      <c r="F36" s="97">
        <v>6</v>
      </c>
      <c r="G36" s="97">
        <v>6</v>
      </c>
      <c r="H36" s="93">
        <v>11</v>
      </c>
      <c r="I36" s="93">
        <v>20</v>
      </c>
      <c r="J36" s="93">
        <v>12</v>
      </c>
      <c r="K36" s="93">
        <v>4</v>
      </c>
      <c r="L36" s="93">
        <v>17</v>
      </c>
      <c r="M36" s="93">
        <v>24</v>
      </c>
      <c r="N36" s="93">
        <v>4</v>
      </c>
      <c r="O36" s="93">
        <v>15</v>
      </c>
      <c r="P36" s="94">
        <v>0</v>
      </c>
      <c r="Q36" s="94">
        <v>3</v>
      </c>
      <c r="R36" s="94">
        <v>2</v>
      </c>
      <c r="S36" s="94">
        <v>5</v>
      </c>
      <c r="T36" s="94">
        <v>5</v>
      </c>
      <c r="U36" s="94">
        <v>5</v>
      </c>
      <c r="V36" s="94">
        <v>4</v>
      </c>
      <c r="W36" s="94">
        <v>2</v>
      </c>
      <c r="X36" s="94">
        <v>10</v>
      </c>
      <c r="Y36" s="94">
        <v>4</v>
      </c>
      <c r="Z36" s="94">
        <v>7</v>
      </c>
      <c r="AA36" s="94">
        <v>3</v>
      </c>
      <c r="AB36" s="94">
        <v>3</v>
      </c>
      <c r="AC36" s="94">
        <v>9</v>
      </c>
      <c r="AD36" s="94">
        <v>2</v>
      </c>
      <c r="AE36" s="94">
        <v>2</v>
      </c>
      <c r="AF36" s="94">
        <v>1</v>
      </c>
      <c r="AG36" s="94">
        <v>6</v>
      </c>
      <c r="AH36" s="94">
        <v>6</v>
      </c>
      <c r="AI36" s="94">
        <v>5</v>
      </c>
      <c r="AJ36" s="94">
        <v>15</v>
      </c>
      <c r="AK36" s="94">
        <v>6</v>
      </c>
      <c r="AL36" s="94">
        <v>37</v>
      </c>
      <c r="AM36" s="94">
        <v>11</v>
      </c>
      <c r="AN36" s="94">
        <v>18</v>
      </c>
      <c r="AO36" s="94">
        <v>25</v>
      </c>
      <c r="AP36" s="100">
        <v>44319</v>
      </c>
      <c r="AQ36" s="115">
        <v>25</v>
      </c>
      <c r="AR36" s="115">
        <v>15</v>
      </c>
      <c r="AS36" s="115">
        <v>11</v>
      </c>
      <c r="AT36" s="115">
        <v>18</v>
      </c>
      <c r="AU36" s="115">
        <v>2</v>
      </c>
      <c r="AV36" s="115">
        <v>9</v>
      </c>
      <c r="AW36" s="115">
        <v>2</v>
      </c>
      <c r="AX36" s="115">
        <v>5</v>
      </c>
      <c r="AY36" s="115">
        <v>14</v>
      </c>
      <c r="AZ36" s="115">
        <v>9</v>
      </c>
      <c r="BA36" s="115">
        <v>10</v>
      </c>
      <c r="BB36" s="115">
        <v>8</v>
      </c>
      <c r="BC36" s="115">
        <v>11</v>
      </c>
      <c r="BD36" s="115">
        <v>8</v>
      </c>
      <c r="BE36" s="115">
        <v>6</v>
      </c>
      <c r="BF36" s="111">
        <v>15</v>
      </c>
      <c r="BG36" s="118"/>
      <c r="BH36" s="116"/>
      <c r="BI36" s="116"/>
    </row>
    <row r="37" spans="1:61" x14ac:dyDescent="0.35">
      <c r="A37" s="95">
        <v>44320</v>
      </c>
      <c r="B37" s="97">
        <v>12</v>
      </c>
      <c r="C37" s="97">
        <v>12</v>
      </c>
      <c r="D37" s="97">
        <v>34</v>
      </c>
      <c r="E37" s="97">
        <v>10</v>
      </c>
      <c r="F37" s="97">
        <v>4</v>
      </c>
      <c r="G37" s="97">
        <v>4</v>
      </c>
      <c r="H37" s="93">
        <v>1</v>
      </c>
      <c r="I37" s="93">
        <v>22</v>
      </c>
      <c r="J37" s="93">
        <v>27</v>
      </c>
      <c r="K37" s="93">
        <v>21</v>
      </c>
      <c r="L37" s="93">
        <v>20</v>
      </c>
      <c r="M37" s="93">
        <v>0</v>
      </c>
      <c r="N37" s="93">
        <v>3</v>
      </c>
      <c r="O37" s="93">
        <v>10</v>
      </c>
      <c r="P37" s="94">
        <v>4</v>
      </c>
      <c r="Q37" s="94">
        <v>2</v>
      </c>
      <c r="R37" s="94">
        <v>6</v>
      </c>
      <c r="S37" s="94">
        <v>5</v>
      </c>
      <c r="T37" s="94">
        <v>6</v>
      </c>
      <c r="U37" s="94">
        <v>4</v>
      </c>
      <c r="V37" s="94">
        <v>3</v>
      </c>
      <c r="W37" s="94">
        <v>1</v>
      </c>
      <c r="X37" s="94">
        <v>7</v>
      </c>
      <c r="Y37" s="94">
        <v>7</v>
      </c>
      <c r="Z37" s="94">
        <v>0</v>
      </c>
      <c r="AA37" s="94">
        <v>3</v>
      </c>
      <c r="AB37" s="94">
        <v>4</v>
      </c>
      <c r="AC37" s="94">
        <v>6</v>
      </c>
      <c r="AD37" s="94">
        <v>5</v>
      </c>
      <c r="AE37" s="94">
        <v>3</v>
      </c>
      <c r="AF37" s="94">
        <v>0</v>
      </c>
      <c r="AG37" s="94">
        <v>8</v>
      </c>
      <c r="AH37" s="94">
        <v>8</v>
      </c>
      <c r="AI37" s="94">
        <v>7</v>
      </c>
      <c r="AJ37" s="94">
        <v>13</v>
      </c>
      <c r="AK37" s="94">
        <v>3</v>
      </c>
      <c r="AL37" s="94">
        <v>60</v>
      </c>
      <c r="AM37" s="94">
        <v>25</v>
      </c>
      <c r="AN37" s="94">
        <v>11</v>
      </c>
      <c r="AO37" s="94">
        <v>0</v>
      </c>
      <c r="AP37" s="100">
        <v>44320</v>
      </c>
      <c r="AQ37" s="115">
        <v>0</v>
      </c>
      <c r="AR37" s="115">
        <v>7</v>
      </c>
      <c r="AS37" s="115">
        <v>4</v>
      </c>
      <c r="AT37" s="115">
        <v>15</v>
      </c>
      <c r="AU37" s="115">
        <v>3</v>
      </c>
      <c r="AV37" s="115">
        <v>1</v>
      </c>
      <c r="AW37" s="115">
        <v>4</v>
      </c>
      <c r="AX37" s="115">
        <v>13</v>
      </c>
      <c r="AY37" s="115">
        <v>6</v>
      </c>
      <c r="AZ37" s="115">
        <v>4</v>
      </c>
      <c r="BA37" s="115">
        <v>3</v>
      </c>
      <c r="BB37" s="115">
        <v>10</v>
      </c>
      <c r="BC37" s="115">
        <v>10</v>
      </c>
      <c r="BD37" s="115">
        <v>0</v>
      </c>
      <c r="BE37" s="115">
        <v>9</v>
      </c>
      <c r="BF37" s="111">
        <v>7</v>
      </c>
      <c r="BG37" s="118"/>
      <c r="BH37" s="116"/>
      <c r="BI37" s="116"/>
    </row>
    <row r="38" spans="1:61" x14ac:dyDescent="0.35">
      <c r="A38" s="95">
        <v>44321</v>
      </c>
      <c r="B38" s="97">
        <v>3</v>
      </c>
      <c r="C38" s="97">
        <v>4</v>
      </c>
      <c r="D38" s="97">
        <v>35</v>
      </c>
      <c r="E38" s="97">
        <v>34</v>
      </c>
      <c r="F38" s="97">
        <v>0</v>
      </c>
      <c r="G38" s="97">
        <v>14</v>
      </c>
      <c r="H38" s="93">
        <v>37</v>
      </c>
      <c r="I38" s="93">
        <v>11</v>
      </c>
      <c r="J38" s="93">
        <v>17</v>
      </c>
      <c r="K38" s="93">
        <v>17</v>
      </c>
      <c r="L38" s="93">
        <v>18</v>
      </c>
      <c r="M38" s="93">
        <v>12</v>
      </c>
      <c r="N38" s="93">
        <v>0</v>
      </c>
      <c r="O38" s="93">
        <v>11</v>
      </c>
      <c r="P38" s="94">
        <v>5</v>
      </c>
      <c r="Q38" s="94">
        <v>6</v>
      </c>
      <c r="R38" s="94">
        <v>5</v>
      </c>
      <c r="S38" s="94">
        <v>1</v>
      </c>
      <c r="T38" s="94">
        <v>2</v>
      </c>
      <c r="U38" s="94">
        <v>5</v>
      </c>
      <c r="V38" s="94">
        <v>4</v>
      </c>
      <c r="W38" s="94">
        <v>1</v>
      </c>
      <c r="X38" s="94">
        <v>8</v>
      </c>
      <c r="Y38" s="94">
        <v>0</v>
      </c>
      <c r="Z38" s="94">
        <v>2</v>
      </c>
      <c r="AA38" s="94">
        <v>2</v>
      </c>
      <c r="AB38" s="94">
        <v>0</v>
      </c>
      <c r="AC38" s="94">
        <v>6</v>
      </c>
      <c r="AD38" s="94">
        <v>6</v>
      </c>
      <c r="AE38" s="94">
        <v>7</v>
      </c>
      <c r="AF38" s="94">
        <v>2</v>
      </c>
      <c r="AG38" s="94">
        <v>9</v>
      </c>
      <c r="AH38" s="94">
        <v>5</v>
      </c>
      <c r="AI38" s="94">
        <v>8</v>
      </c>
      <c r="AJ38" s="94">
        <v>14</v>
      </c>
      <c r="AK38" s="94">
        <v>4</v>
      </c>
      <c r="AL38" s="94">
        <v>30</v>
      </c>
      <c r="AM38" s="94">
        <v>26</v>
      </c>
      <c r="AN38" s="94">
        <v>18</v>
      </c>
      <c r="AO38" s="94">
        <v>23</v>
      </c>
      <c r="AP38" s="100">
        <v>44321</v>
      </c>
      <c r="AQ38" s="115">
        <v>6</v>
      </c>
      <c r="AR38" s="115">
        <v>16</v>
      </c>
      <c r="AS38" s="115">
        <v>1</v>
      </c>
      <c r="AT38" s="115">
        <v>19</v>
      </c>
      <c r="AU38" s="115">
        <v>0</v>
      </c>
      <c r="AV38" s="115">
        <v>0</v>
      </c>
      <c r="AW38" s="115">
        <v>4</v>
      </c>
      <c r="AX38" s="115">
        <v>11</v>
      </c>
      <c r="AY38" s="115">
        <v>10</v>
      </c>
      <c r="AZ38" s="115">
        <v>1</v>
      </c>
      <c r="BA38" s="115">
        <v>1</v>
      </c>
      <c r="BB38" s="115">
        <v>7</v>
      </c>
      <c r="BC38" s="115">
        <v>7</v>
      </c>
      <c r="BD38" s="115">
        <v>9</v>
      </c>
      <c r="BE38" s="115">
        <v>2</v>
      </c>
      <c r="BF38" s="111">
        <v>0</v>
      </c>
      <c r="BG38" s="118"/>
      <c r="BH38" s="116"/>
      <c r="BI38" s="116"/>
    </row>
    <row r="39" spans="1:61" x14ac:dyDescent="0.35">
      <c r="A39" s="95">
        <v>44322</v>
      </c>
      <c r="B39" s="97">
        <v>7</v>
      </c>
      <c r="C39" s="97">
        <v>14</v>
      </c>
      <c r="D39" s="97">
        <v>39</v>
      </c>
      <c r="E39" s="97">
        <v>11</v>
      </c>
      <c r="F39" s="97">
        <v>9</v>
      </c>
      <c r="G39" s="97">
        <v>8</v>
      </c>
      <c r="H39" s="93">
        <v>38</v>
      </c>
      <c r="I39" s="93">
        <v>15</v>
      </c>
      <c r="J39" s="93">
        <v>11</v>
      </c>
      <c r="K39" s="93">
        <v>13</v>
      </c>
      <c r="L39" s="93">
        <v>16</v>
      </c>
      <c r="M39" s="93">
        <v>10</v>
      </c>
      <c r="N39" s="93">
        <v>17</v>
      </c>
      <c r="O39" s="93">
        <v>2</v>
      </c>
      <c r="P39" s="94">
        <v>4</v>
      </c>
      <c r="Q39" s="94">
        <v>1</v>
      </c>
      <c r="R39" s="94">
        <v>6</v>
      </c>
      <c r="S39" s="94">
        <v>4</v>
      </c>
      <c r="T39" s="94">
        <v>0</v>
      </c>
      <c r="U39" s="94">
        <v>4</v>
      </c>
      <c r="V39" s="94">
        <v>2</v>
      </c>
      <c r="W39" s="94">
        <v>3</v>
      </c>
      <c r="X39" s="94">
        <v>7</v>
      </c>
      <c r="Y39" s="94">
        <v>5</v>
      </c>
      <c r="Z39" s="94">
        <v>1</v>
      </c>
      <c r="AA39" s="94">
        <v>0</v>
      </c>
      <c r="AB39" s="94">
        <v>2</v>
      </c>
      <c r="AC39" s="94">
        <v>5</v>
      </c>
      <c r="AD39" s="94">
        <v>1</v>
      </c>
      <c r="AE39" s="94">
        <v>8</v>
      </c>
      <c r="AF39" s="94">
        <v>7</v>
      </c>
      <c r="AG39" s="94">
        <v>7</v>
      </c>
      <c r="AH39" s="94">
        <v>3</v>
      </c>
      <c r="AI39" s="94">
        <v>5</v>
      </c>
      <c r="AJ39" s="94">
        <v>15</v>
      </c>
      <c r="AK39" s="94">
        <v>0</v>
      </c>
      <c r="AL39" s="94">
        <v>50</v>
      </c>
      <c r="AM39" s="94">
        <v>29</v>
      </c>
      <c r="AN39" s="94">
        <v>34</v>
      </c>
      <c r="AO39" s="94">
        <v>20</v>
      </c>
      <c r="AP39" s="100">
        <v>44322</v>
      </c>
      <c r="AQ39" s="115">
        <v>26</v>
      </c>
      <c r="AR39" s="115">
        <v>25</v>
      </c>
      <c r="AS39" s="115">
        <v>8</v>
      </c>
      <c r="AT39" s="115">
        <v>11</v>
      </c>
      <c r="AU39" s="115">
        <v>8</v>
      </c>
      <c r="AV39" s="115">
        <v>4</v>
      </c>
      <c r="AW39" s="115">
        <v>5</v>
      </c>
      <c r="AX39" s="115">
        <v>13</v>
      </c>
      <c r="AY39" s="115">
        <v>7</v>
      </c>
      <c r="AZ39" s="115">
        <v>5</v>
      </c>
      <c r="BA39" s="115">
        <v>6</v>
      </c>
      <c r="BB39" s="115">
        <v>2</v>
      </c>
      <c r="BC39" s="115">
        <v>13</v>
      </c>
      <c r="BD39" s="115">
        <v>3</v>
      </c>
      <c r="BE39" s="115">
        <v>2</v>
      </c>
      <c r="BF39" s="111">
        <v>15</v>
      </c>
      <c r="BG39" s="118"/>
      <c r="BH39" s="116"/>
      <c r="BI39" s="116"/>
    </row>
    <row r="40" spans="1:61" x14ac:dyDescent="0.35">
      <c r="A40" s="95">
        <v>44323</v>
      </c>
      <c r="B40" s="97">
        <v>2</v>
      </c>
      <c r="C40" s="97">
        <v>7</v>
      </c>
      <c r="D40" s="97">
        <v>16</v>
      </c>
      <c r="E40" s="97">
        <v>28</v>
      </c>
      <c r="F40" s="97">
        <v>10</v>
      </c>
      <c r="G40" s="97">
        <v>4</v>
      </c>
      <c r="H40" s="93">
        <v>38</v>
      </c>
      <c r="I40" s="93">
        <v>15</v>
      </c>
      <c r="J40" s="93">
        <v>13</v>
      </c>
      <c r="K40" s="93">
        <v>10</v>
      </c>
      <c r="L40" s="93">
        <v>17</v>
      </c>
      <c r="M40" s="93">
        <v>14</v>
      </c>
      <c r="N40" s="93">
        <v>16</v>
      </c>
      <c r="O40" s="93">
        <v>11</v>
      </c>
      <c r="P40" s="94">
        <v>3</v>
      </c>
      <c r="Q40" s="94">
        <v>2</v>
      </c>
      <c r="R40" s="94">
        <v>3</v>
      </c>
      <c r="S40" s="94">
        <v>1</v>
      </c>
      <c r="T40" s="94">
        <v>8</v>
      </c>
      <c r="U40" s="94">
        <v>5</v>
      </c>
      <c r="V40" s="94">
        <v>4</v>
      </c>
      <c r="W40" s="94">
        <v>1</v>
      </c>
      <c r="X40" s="94">
        <v>4</v>
      </c>
      <c r="Y40" s="94">
        <v>2</v>
      </c>
      <c r="Z40" s="94">
        <v>8</v>
      </c>
      <c r="AA40" s="94">
        <v>0</v>
      </c>
      <c r="AB40" s="94">
        <v>0</v>
      </c>
      <c r="AC40" s="94">
        <v>6</v>
      </c>
      <c r="AD40" s="94">
        <v>5</v>
      </c>
      <c r="AE40" s="94">
        <v>6</v>
      </c>
      <c r="AF40" s="94">
        <v>7</v>
      </c>
      <c r="AG40" s="94">
        <v>8</v>
      </c>
      <c r="AH40" s="94">
        <v>0</v>
      </c>
      <c r="AI40" s="94">
        <v>1</v>
      </c>
      <c r="AJ40" s="94">
        <v>0</v>
      </c>
      <c r="AK40" s="94">
        <v>6</v>
      </c>
      <c r="AL40" s="94">
        <v>39</v>
      </c>
      <c r="AM40" s="94">
        <v>32</v>
      </c>
      <c r="AN40" s="94">
        <v>32</v>
      </c>
      <c r="AO40" s="94">
        <v>14</v>
      </c>
      <c r="AP40" s="100">
        <v>44323</v>
      </c>
      <c r="AQ40" s="115">
        <v>46</v>
      </c>
      <c r="AR40" s="115">
        <v>23</v>
      </c>
      <c r="AS40" s="115">
        <v>5</v>
      </c>
      <c r="AT40" s="115">
        <v>12</v>
      </c>
      <c r="AU40" s="115">
        <v>3</v>
      </c>
      <c r="AV40" s="115">
        <v>11</v>
      </c>
      <c r="AW40" s="115">
        <v>6</v>
      </c>
      <c r="AX40" s="115">
        <v>2</v>
      </c>
      <c r="AY40" s="115">
        <v>2</v>
      </c>
      <c r="AZ40" s="115">
        <v>3</v>
      </c>
      <c r="BA40" s="115">
        <v>9</v>
      </c>
      <c r="BB40" s="115">
        <v>1</v>
      </c>
      <c r="BC40" s="115">
        <v>0</v>
      </c>
      <c r="BD40" s="115">
        <v>0</v>
      </c>
      <c r="BE40" s="115">
        <v>7</v>
      </c>
      <c r="BF40" s="111">
        <v>12</v>
      </c>
      <c r="BG40" s="118"/>
      <c r="BH40" s="116"/>
      <c r="BI40" s="116"/>
    </row>
    <row r="41" spans="1:61" x14ac:dyDescent="0.35">
      <c r="A41" s="95">
        <v>44324</v>
      </c>
      <c r="B41" s="97">
        <v>14</v>
      </c>
      <c r="C41" s="97">
        <v>0</v>
      </c>
      <c r="D41" s="97">
        <v>7</v>
      </c>
      <c r="E41" s="97">
        <v>1</v>
      </c>
      <c r="F41" s="97">
        <v>3</v>
      </c>
      <c r="G41" s="97">
        <v>8</v>
      </c>
      <c r="H41" s="93">
        <v>21</v>
      </c>
      <c r="I41" s="93">
        <v>8</v>
      </c>
      <c r="J41" s="93">
        <v>24</v>
      </c>
      <c r="K41" s="93">
        <v>23</v>
      </c>
      <c r="L41" s="93">
        <v>9</v>
      </c>
      <c r="M41" s="93">
        <v>10</v>
      </c>
      <c r="N41" s="93">
        <v>9</v>
      </c>
      <c r="O41" s="93">
        <v>5</v>
      </c>
      <c r="P41" s="94">
        <v>2</v>
      </c>
      <c r="Q41" s="94">
        <v>4</v>
      </c>
      <c r="R41" s="94">
        <v>4</v>
      </c>
      <c r="S41" s="94">
        <v>3</v>
      </c>
      <c r="T41" s="94">
        <v>8</v>
      </c>
      <c r="U41" s="94">
        <v>4</v>
      </c>
      <c r="V41" s="94">
        <v>2</v>
      </c>
      <c r="W41" s="94">
        <v>1</v>
      </c>
      <c r="X41" s="94">
        <v>1</v>
      </c>
      <c r="Y41" s="94">
        <v>0</v>
      </c>
      <c r="Z41" s="94">
        <v>1</v>
      </c>
      <c r="AA41" s="94">
        <v>2</v>
      </c>
      <c r="AB41" s="94">
        <v>3</v>
      </c>
      <c r="AC41" s="94">
        <v>6</v>
      </c>
      <c r="AD41" s="94">
        <v>2</v>
      </c>
      <c r="AE41" s="94">
        <v>7</v>
      </c>
      <c r="AF41" s="94">
        <v>5</v>
      </c>
      <c r="AG41" s="94">
        <v>3</v>
      </c>
      <c r="AH41" s="94">
        <v>7</v>
      </c>
      <c r="AI41" s="94">
        <v>10</v>
      </c>
      <c r="AJ41" s="94">
        <v>6</v>
      </c>
      <c r="AK41" s="94">
        <v>2</v>
      </c>
      <c r="AL41" s="94">
        <v>36</v>
      </c>
      <c r="AM41" s="94">
        <v>9</v>
      </c>
      <c r="AN41" s="94">
        <v>37</v>
      </c>
      <c r="AO41" s="94">
        <v>15</v>
      </c>
      <c r="AP41" s="100">
        <v>44324</v>
      </c>
      <c r="AQ41" s="115">
        <v>35</v>
      </c>
      <c r="AR41" s="115">
        <v>30</v>
      </c>
      <c r="AS41" s="115">
        <v>8</v>
      </c>
      <c r="AT41" s="115">
        <v>10</v>
      </c>
      <c r="AU41" s="115">
        <v>5</v>
      </c>
      <c r="AV41" s="115">
        <v>3</v>
      </c>
      <c r="AW41" s="115">
        <v>5</v>
      </c>
      <c r="AX41" s="115">
        <v>4</v>
      </c>
      <c r="AY41" s="115">
        <v>14</v>
      </c>
      <c r="AZ41" s="115">
        <v>15</v>
      </c>
      <c r="BA41" s="115">
        <v>14</v>
      </c>
      <c r="BB41" s="115">
        <v>3</v>
      </c>
      <c r="BC41" s="115">
        <v>6</v>
      </c>
      <c r="BD41" s="115">
        <v>7</v>
      </c>
      <c r="BE41" s="115">
        <v>9</v>
      </c>
      <c r="BF41" s="111">
        <v>3</v>
      </c>
      <c r="BG41" s="118"/>
      <c r="BH41" s="116"/>
      <c r="BI41" s="116"/>
    </row>
    <row r="42" spans="1:61" x14ac:dyDescent="0.35">
      <c r="A42" s="95">
        <v>44325</v>
      </c>
      <c r="B42" s="97">
        <v>23</v>
      </c>
      <c r="C42" s="97">
        <v>13</v>
      </c>
      <c r="D42" s="97">
        <v>9</v>
      </c>
      <c r="E42" s="97">
        <v>35</v>
      </c>
      <c r="F42" s="97">
        <v>1</v>
      </c>
      <c r="G42" s="97">
        <v>7</v>
      </c>
      <c r="H42" s="93">
        <v>19</v>
      </c>
      <c r="I42" s="93">
        <v>12</v>
      </c>
      <c r="J42" s="93">
        <v>22</v>
      </c>
      <c r="K42" s="93">
        <v>13</v>
      </c>
      <c r="L42" s="93">
        <v>23</v>
      </c>
      <c r="M42" s="93">
        <v>13</v>
      </c>
      <c r="N42" s="93">
        <v>4</v>
      </c>
      <c r="O42" s="93">
        <v>5</v>
      </c>
      <c r="P42" s="94">
        <v>3</v>
      </c>
      <c r="Q42" s="94">
        <v>2</v>
      </c>
      <c r="R42" s="94">
        <v>6</v>
      </c>
      <c r="S42" s="94">
        <v>4</v>
      </c>
      <c r="T42" s="94">
        <v>8</v>
      </c>
      <c r="U42" s="94">
        <v>2</v>
      </c>
      <c r="V42" s="94">
        <v>1</v>
      </c>
      <c r="W42" s="94">
        <v>3</v>
      </c>
      <c r="X42" s="94">
        <v>8</v>
      </c>
      <c r="Y42" s="94">
        <v>6</v>
      </c>
      <c r="Z42" s="94">
        <v>5</v>
      </c>
      <c r="AA42" s="94">
        <v>4</v>
      </c>
      <c r="AB42" s="94">
        <v>4</v>
      </c>
      <c r="AC42" s="94">
        <v>4</v>
      </c>
      <c r="AD42" s="94">
        <v>3</v>
      </c>
      <c r="AE42" s="94">
        <v>5</v>
      </c>
      <c r="AF42" s="94">
        <v>3</v>
      </c>
      <c r="AG42" s="94">
        <v>0</v>
      </c>
      <c r="AH42" s="94">
        <v>5</v>
      </c>
      <c r="AI42" s="94">
        <v>0</v>
      </c>
      <c r="AJ42" s="94">
        <v>8</v>
      </c>
      <c r="AK42" s="94">
        <v>0</v>
      </c>
      <c r="AL42" s="94">
        <v>54</v>
      </c>
      <c r="AM42" s="94">
        <v>33</v>
      </c>
      <c r="AN42" s="94">
        <v>69</v>
      </c>
      <c r="AO42" s="94">
        <v>22</v>
      </c>
      <c r="AP42" s="100">
        <v>44325</v>
      </c>
      <c r="AQ42" s="115">
        <v>40</v>
      </c>
      <c r="AR42" s="115">
        <v>15</v>
      </c>
      <c r="AS42" s="115">
        <v>19</v>
      </c>
      <c r="AT42" s="115">
        <v>16</v>
      </c>
      <c r="AU42" s="115">
        <v>12</v>
      </c>
      <c r="AV42" s="115">
        <v>8</v>
      </c>
      <c r="AW42" s="115">
        <v>8</v>
      </c>
      <c r="AX42" s="115">
        <v>8</v>
      </c>
      <c r="AY42" s="115">
        <v>3</v>
      </c>
      <c r="AZ42" s="115">
        <v>7</v>
      </c>
      <c r="BA42" s="115">
        <v>1</v>
      </c>
      <c r="BB42" s="115">
        <v>9</v>
      </c>
      <c r="BC42" s="115">
        <v>7</v>
      </c>
      <c r="BD42" s="115">
        <v>2</v>
      </c>
      <c r="BE42" s="115">
        <v>12</v>
      </c>
      <c r="BF42" s="111">
        <v>2</v>
      </c>
      <c r="BG42" s="118"/>
      <c r="BH42" s="116"/>
      <c r="BI42" s="116"/>
    </row>
    <row r="43" spans="1:61" x14ac:dyDescent="0.35">
      <c r="A43" s="95">
        <v>44326</v>
      </c>
      <c r="B43" s="97">
        <v>28</v>
      </c>
      <c r="C43" s="97">
        <v>11</v>
      </c>
      <c r="D43" s="97">
        <v>33</v>
      </c>
      <c r="E43" s="97">
        <v>25</v>
      </c>
      <c r="F43" s="97">
        <v>6</v>
      </c>
      <c r="G43" s="97">
        <v>11</v>
      </c>
      <c r="H43" s="93">
        <v>30</v>
      </c>
      <c r="I43" s="93">
        <v>30</v>
      </c>
      <c r="J43" s="93">
        <v>11</v>
      </c>
      <c r="K43" s="93">
        <v>17</v>
      </c>
      <c r="L43" s="93">
        <v>21</v>
      </c>
      <c r="M43" s="93">
        <v>3</v>
      </c>
      <c r="N43" s="93">
        <v>4</v>
      </c>
      <c r="O43" s="93">
        <v>12</v>
      </c>
      <c r="P43" s="94">
        <v>4</v>
      </c>
      <c r="Q43" s="94">
        <v>7</v>
      </c>
      <c r="R43" s="94">
        <v>3</v>
      </c>
      <c r="S43" s="94">
        <v>1</v>
      </c>
      <c r="T43" s="94">
        <v>3</v>
      </c>
      <c r="U43" s="94">
        <v>5</v>
      </c>
      <c r="V43" s="94">
        <v>0</v>
      </c>
      <c r="W43" s="94">
        <v>2</v>
      </c>
      <c r="X43" s="94">
        <v>7</v>
      </c>
      <c r="Y43" s="94">
        <v>7</v>
      </c>
      <c r="Z43" s="94">
        <v>9</v>
      </c>
      <c r="AA43" s="94">
        <v>4</v>
      </c>
      <c r="AB43" s="94">
        <v>3</v>
      </c>
      <c r="AC43" s="94">
        <v>9</v>
      </c>
      <c r="AD43" s="94">
        <v>4</v>
      </c>
      <c r="AE43" s="94">
        <v>3</v>
      </c>
      <c r="AF43" s="94">
        <v>6</v>
      </c>
      <c r="AG43" s="94">
        <v>9</v>
      </c>
      <c r="AH43" s="94">
        <v>5</v>
      </c>
      <c r="AI43" s="94">
        <v>6</v>
      </c>
      <c r="AJ43" s="94">
        <v>13</v>
      </c>
      <c r="AK43" s="94">
        <v>4</v>
      </c>
      <c r="AL43" s="94">
        <v>20</v>
      </c>
      <c r="AM43" s="94">
        <v>50</v>
      </c>
      <c r="AN43" s="94">
        <v>60</v>
      </c>
      <c r="AO43" s="94">
        <v>32</v>
      </c>
      <c r="AP43" s="100">
        <v>44326</v>
      </c>
      <c r="AQ43" s="115">
        <v>33</v>
      </c>
      <c r="AR43" s="115">
        <v>19</v>
      </c>
      <c r="AS43" s="115">
        <v>6</v>
      </c>
      <c r="AT43" s="115">
        <v>8</v>
      </c>
      <c r="AU43" s="115">
        <v>11</v>
      </c>
      <c r="AV43" s="115">
        <v>8</v>
      </c>
      <c r="AW43" s="115">
        <v>6</v>
      </c>
      <c r="AX43" s="115">
        <v>14</v>
      </c>
      <c r="AY43" s="115">
        <v>1</v>
      </c>
      <c r="AZ43" s="115">
        <v>11</v>
      </c>
      <c r="BA43" s="115">
        <v>9</v>
      </c>
      <c r="BB43" s="115">
        <v>7</v>
      </c>
      <c r="BC43" s="115">
        <v>6</v>
      </c>
      <c r="BD43" s="115">
        <v>4</v>
      </c>
      <c r="BE43" s="115">
        <v>13</v>
      </c>
      <c r="BF43" s="111">
        <v>15</v>
      </c>
      <c r="BG43" s="118"/>
      <c r="BH43" s="116"/>
      <c r="BI43" s="116"/>
    </row>
    <row r="44" spans="1:61" x14ac:dyDescent="0.35">
      <c r="A44" s="95">
        <v>44327</v>
      </c>
      <c r="B44" s="97">
        <v>20</v>
      </c>
      <c r="C44" s="97">
        <v>0</v>
      </c>
      <c r="D44" s="97">
        <v>22</v>
      </c>
      <c r="E44" s="97">
        <v>40</v>
      </c>
      <c r="F44" s="97">
        <v>11</v>
      </c>
      <c r="G44" s="97">
        <v>12</v>
      </c>
      <c r="H44" s="93">
        <v>1</v>
      </c>
      <c r="I44" s="93">
        <v>29</v>
      </c>
      <c r="J44" s="93">
        <v>6</v>
      </c>
      <c r="K44" s="93">
        <v>17</v>
      </c>
      <c r="L44" s="93">
        <v>0</v>
      </c>
      <c r="M44" s="93">
        <v>18</v>
      </c>
      <c r="N44" s="93">
        <v>15</v>
      </c>
      <c r="O44" s="93">
        <v>15</v>
      </c>
      <c r="P44" s="94">
        <v>4</v>
      </c>
      <c r="Q44" s="94">
        <v>3</v>
      </c>
      <c r="R44" s="94">
        <v>4</v>
      </c>
      <c r="S44" s="94">
        <v>4</v>
      </c>
      <c r="T44" s="94">
        <v>2</v>
      </c>
      <c r="U44" s="94">
        <v>5</v>
      </c>
      <c r="V44" s="94">
        <v>5</v>
      </c>
      <c r="W44" s="94">
        <v>3</v>
      </c>
      <c r="X44" s="94">
        <v>8</v>
      </c>
      <c r="Y44" s="94">
        <v>4</v>
      </c>
      <c r="Z44" s="94">
        <v>0</v>
      </c>
      <c r="AA44" s="94">
        <v>5</v>
      </c>
      <c r="AB44" s="94">
        <v>4</v>
      </c>
      <c r="AC44" s="94">
        <v>8</v>
      </c>
      <c r="AD44" s="94">
        <v>3</v>
      </c>
      <c r="AE44" s="94">
        <v>7</v>
      </c>
      <c r="AF44" s="94">
        <v>4</v>
      </c>
      <c r="AG44" s="94">
        <v>3</v>
      </c>
      <c r="AH44" s="94">
        <v>2</v>
      </c>
      <c r="AI44" s="94">
        <v>4</v>
      </c>
      <c r="AJ44" s="94">
        <v>15</v>
      </c>
      <c r="AK44" s="94">
        <v>4</v>
      </c>
      <c r="AL44" s="94">
        <v>46</v>
      </c>
      <c r="AM44" s="94">
        <v>24</v>
      </c>
      <c r="AN44" s="94">
        <v>26</v>
      </c>
      <c r="AO44" s="94">
        <v>9</v>
      </c>
      <c r="AP44" s="100">
        <v>44327</v>
      </c>
      <c r="AQ44" s="115">
        <v>5</v>
      </c>
      <c r="AR44" s="115">
        <v>19</v>
      </c>
      <c r="AS44" s="115">
        <v>14</v>
      </c>
      <c r="AT44" s="115">
        <v>16</v>
      </c>
      <c r="AU44" s="115">
        <v>1</v>
      </c>
      <c r="AV44" s="115">
        <v>4</v>
      </c>
      <c r="AW44" s="115">
        <v>10</v>
      </c>
      <c r="AX44" s="115">
        <v>14</v>
      </c>
      <c r="AY44" s="115">
        <v>8</v>
      </c>
      <c r="AZ44" s="115">
        <v>0</v>
      </c>
      <c r="BA44" s="115">
        <v>8</v>
      </c>
      <c r="BB44" s="115">
        <v>6</v>
      </c>
      <c r="BC44" s="115">
        <v>3</v>
      </c>
      <c r="BD44" s="115">
        <v>11</v>
      </c>
      <c r="BE44" s="115">
        <v>14</v>
      </c>
      <c r="BF44" s="111">
        <v>10</v>
      </c>
      <c r="BG44" s="118"/>
      <c r="BH44" s="116"/>
      <c r="BI44" s="116"/>
    </row>
    <row r="45" spans="1:61" x14ac:dyDescent="0.35">
      <c r="A45" s="95">
        <v>44328</v>
      </c>
      <c r="B45" s="97">
        <v>22</v>
      </c>
      <c r="C45" s="97">
        <v>0</v>
      </c>
      <c r="D45" s="97">
        <v>30</v>
      </c>
      <c r="E45" s="97">
        <v>15</v>
      </c>
      <c r="F45" s="97">
        <v>4</v>
      </c>
      <c r="G45" s="97">
        <v>11</v>
      </c>
      <c r="H45" s="93">
        <v>2</v>
      </c>
      <c r="I45" s="93">
        <v>20</v>
      </c>
      <c r="J45" s="93">
        <v>16</v>
      </c>
      <c r="K45" s="93">
        <v>20</v>
      </c>
      <c r="L45" s="93">
        <v>18</v>
      </c>
      <c r="M45" s="93">
        <v>5</v>
      </c>
      <c r="N45" s="93">
        <v>11</v>
      </c>
      <c r="O45" s="93">
        <v>1</v>
      </c>
      <c r="P45" s="94">
        <v>0</v>
      </c>
      <c r="Q45" s="94">
        <v>7</v>
      </c>
      <c r="R45" s="94">
        <v>0</v>
      </c>
      <c r="S45" s="94">
        <v>5</v>
      </c>
      <c r="T45" s="94">
        <v>8</v>
      </c>
      <c r="U45" s="94">
        <v>0</v>
      </c>
      <c r="V45" s="94">
        <v>4</v>
      </c>
      <c r="W45" s="94">
        <v>2</v>
      </c>
      <c r="X45" s="94">
        <v>10</v>
      </c>
      <c r="Y45" s="94">
        <v>6</v>
      </c>
      <c r="Z45" s="94">
        <v>3</v>
      </c>
      <c r="AA45" s="94">
        <v>2</v>
      </c>
      <c r="AB45" s="94">
        <v>2</v>
      </c>
      <c r="AC45" s="94">
        <v>3</v>
      </c>
      <c r="AD45" s="94">
        <v>4</v>
      </c>
      <c r="AE45" s="94">
        <v>8</v>
      </c>
      <c r="AF45" s="94">
        <v>6</v>
      </c>
      <c r="AG45" s="94">
        <v>3</v>
      </c>
      <c r="AH45" s="94">
        <v>7</v>
      </c>
      <c r="AI45" s="94">
        <v>4</v>
      </c>
      <c r="AJ45" s="94">
        <v>7</v>
      </c>
      <c r="AK45" s="94">
        <v>4</v>
      </c>
      <c r="AL45" s="94">
        <v>41</v>
      </c>
      <c r="AM45" s="94">
        <v>28</v>
      </c>
      <c r="AN45" s="94">
        <v>56</v>
      </c>
      <c r="AO45" s="94">
        <v>22</v>
      </c>
      <c r="AP45" s="100">
        <v>44328</v>
      </c>
      <c r="AQ45" s="115">
        <v>43</v>
      </c>
      <c r="AR45" s="115">
        <v>17</v>
      </c>
      <c r="AS45" s="115">
        <v>16</v>
      </c>
      <c r="AT45" s="115">
        <v>5</v>
      </c>
      <c r="AU45" s="115">
        <v>10</v>
      </c>
      <c r="AV45" s="115">
        <v>2</v>
      </c>
      <c r="AW45" s="115">
        <v>4</v>
      </c>
      <c r="AX45" s="115">
        <v>10</v>
      </c>
      <c r="AY45" s="115">
        <v>5</v>
      </c>
      <c r="AZ45" s="115">
        <v>12</v>
      </c>
      <c r="BA45" s="115">
        <v>2</v>
      </c>
      <c r="BB45" s="115">
        <v>0</v>
      </c>
      <c r="BC45" s="115">
        <v>8</v>
      </c>
      <c r="BD45" s="115">
        <v>1</v>
      </c>
      <c r="BE45" s="115">
        <v>12</v>
      </c>
      <c r="BF45" s="111">
        <v>9</v>
      </c>
      <c r="BG45" s="118"/>
      <c r="BH45" s="116"/>
      <c r="BI45" s="116"/>
    </row>
    <row r="46" spans="1:61" x14ac:dyDescent="0.35">
      <c r="A46" s="95">
        <v>44329</v>
      </c>
      <c r="B46" s="97">
        <v>30</v>
      </c>
      <c r="C46" s="97">
        <v>6</v>
      </c>
      <c r="D46" s="97">
        <v>40</v>
      </c>
      <c r="E46" s="97">
        <v>31</v>
      </c>
      <c r="F46" s="97">
        <v>7</v>
      </c>
      <c r="G46" s="97">
        <v>0</v>
      </c>
      <c r="H46" s="93">
        <v>27</v>
      </c>
      <c r="I46" s="93">
        <v>3</v>
      </c>
      <c r="J46" s="93">
        <v>21</v>
      </c>
      <c r="K46" s="93">
        <v>15</v>
      </c>
      <c r="L46" s="93">
        <v>15</v>
      </c>
      <c r="M46" s="93">
        <v>19</v>
      </c>
      <c r="N46" s="93">
        <v>1</v>
      </c>
      <c r="O46" s="93">
        <v>13</v>
      </c>
      <c r="P46" s="94">
        <v>3</v>
      </c>
      <c r="Q46" s="94">
        <v>2</v>
      </c>
      <c r="R46" s="94">
        <v>0</v>
      </c>
      <c r="S46" s="94">
        <v>2</v>
      </c>
      <c r="T46" s="94">
        <v>6</v>
      </c>
      <c r="U46" s="94">
        <v>1</v>
      </c>
      <c r="V46" s="94">
        <v>5</v>
      </c>
      <c r="W46" s="94">
        <v>0</v>
      </c>
      <c r="X46" s="94">
        <v>7</v>
      </c>
      <c r="Y46" s="94">
        <v>4</v>
      </c>
      <c r="Z46" s="94">
        <v>5</v>
      </c>
      <c r="AA46" s="94">
        <v>4</v>
      </c>
      <c r="AB46" s="94">
        <v>1</v>
      </c>
      <c r="AC46" s="94">
        <v>8</v>
      </c>
      <c r="AD46" s="94">
        <v>1</v>
      </c>
      <c r="AE46" s="94">
        <v>3</v>
      </c>
      <c r="AF46" s="94">
        <v>4</v>
      </c>
      <c r="AG46" s="94">
        <v>4</v>
      </c>
      <c r="AH46" s="94">
        <v>3</v>
      </c>
      <c r="AI46" s="94">
        <v>6</v>
      </c>
      <c r="AJ46" s="94">
        <v>14</v>
      </c>
      <c r="AK46" s="94">
        <v>6</v>
      </c>
      <c r="AL46" s="94">
        <v>46</v>
      </c>
      <c r="AM46" s="94">
        <v>7</v>
      </c>
      <c r="AN46" s="94">
        <v>40</v>
      </c>
      <c r="AO46" s="94">
        <v>17</v>
      </c>
      <c r="AP46" s="100">
        <v>44329</v>
      </c>
      <c r="AQ46" s="115">
        <v>32</v>
      </c>
      <c r="AR46" s="115">
        <v>16</v>
      </c>
      <c r="AS46" s="115">
        <v>1</v>
      </c>
      <c r="AT46" s="115">
        <v>9</v>
      </c>
      <c r="AU46" s="115">
        <v>9</v>
      </c>
      <c r="AV46" s="115">
        <v>11</v>
      </c>
      <c r="AW46" s="115">
        <v>9</v>
      </c>
      <c r="AX46" s="115">
        <v>14</v>
      </c>
      <c r="AY46" s="115">
        <v>7</v>
      </c>
      <c r="AZ46" s="115">
        <v>5</v>
      </c>
      <c r="BA46" s="115">
        <v>6</v>
      </c>
      <c r="BB46" s="115">
        <v>8</v>
      </c>
      <c r="BC46" s="115">
        <v>10</v>
      </c>
      <c r="BD46" s="115">
        <v>0</v>
      </c>
      <c r="BE46" s="115">
        <v>7</v>
      </c>
      <c r="BF46" s="111">
        <v>5</v>
      </c>
      <c r="BG46" s="118"/>
      <c r="BH46" s="116"/>
      <c r="BI46" s="116"/>
    </row>
    <row r="47" spans="1:61" x14ac:dyDescent="0.35">
      <c r="A47" s="95">
        <v>44330</v>
      </c>
      <c r="B47" s="97">
        <v>8</v>
      </c>
      <c r="C47" s="97">
        <v>3</v>
      </c>
      <c r="D47" s="97">
        <v>9</v>
      </c>
      <c r="E47" s="97">
        <v>6</v>
      </c>
      <c r="F47" s="97">
        <v>1</v>
      </c>
      <c r="G47" s="97">
        <v>7</v>
      </c>
      <c r="H47" s="93">
        <v>36</v>
      </c>
      <c r="I47" s="93">
        <v>17</v>
      </c>
      <c r="J47" s="93">
        <v>2</v>
      </c>
      <c r="K47" s="93">
        <v>9</v>
      </c>
      <c r="L47" s="93">
        <v>19</v>
      </c>
      <c r="M47" s="93">
        <v>24</v>
      </c>
      <c r="N47" s="93">
        <v>18</v>
      </c>
      <c r="O47" s="93">
        <v>7</v>
      </c>
      <c r="P47" s="94">
        <v>2</v>
      </c>
      <c r="Q47" s="94">
        <v>5</v>
      </c>
      <c r="R47" s="94">
        <v>2</v>
      </c>
      <c r="S47" s="94">
        <v>5</v>
      </c>
      <c r="T47" s="94">
        <v>6</v>
      </c>
      <c r="U47" s="94">
        <v>5</v>
      </c>
      <c r="V47" s="94">
        <v>1</v>
      </c>
      <c r="W47" s="94">
        <v>2</v>
      </c>
      <c r="X47" s="94">
        <v>10</v>
      </c>
      <c r="Y47" s="94">
        <v>6</v>
      </c>
      <c r="Z47" s="94">
        <v>0</v>
      </c>
      <c r="AA47" s="94">
        <v>4</v>
      </c>
      <c r="AB47" s="94">
        <v>5</v>
      </c>
      <c r="AC47" s="94">
        <v>7</v>
      </c>
      <c r="AD47" s="94">
        <v>1</v>
      </c>
      <c r="AE47" s="94">
        <v>3</v>
      </c>
      <c r="AF47" s="94">
        <v>7</v>
      </c>
      <c r="AG47" s="94">
        <v>3</v>
      </c>
      <c r="AH47" s="94">
        <v>0</v>
      </c>
      <c r="AI47" s="94">
        <v>7</v>
      </c>
      <c r="AJ47" s="94">
        <v>5</v>
      </c>
      <c r="AK47" s="94">
        <v>0</v>
      </c>
      <c r="AL47" s="94">
        <v>55</v>
      </c>
      <c r="AM47" s="94">
        <v>40</v>
      </c>
      <c r="AN47" s="94">
        <v>33</v>
      </c>
      <c r="AO47" s="94">
        <v>28</v>
      </c>
      <c r="AP47" s="100">
        <v>44330</v>
      </c>
      <c r="AQ47" s="115">
        <v>23</v>
      </c>
      <c r="AR47" s="115">
        <v>22</v>
      </c>
      <c r="AS47" s="115">
        <v>13</v>
      </c>
      <c r="AT47" s="115">
        <v>11</v>
      </c>
      <c r="AU47" s="115">
        <v>2</v>
      </c>
      <c r="AV47" s="115">
        <v>1</v>
      </c>
      <c r="AW47" s="115">
        <v>1</v>
      </c>
      <c r="AX47" s="115">
        <v>6</v>
      </c>
      <c r="AY47" s="115">
        <v>9</v>
      </c>
      <c r="AZ47" s="115">
        <v>7</v>
      </c>
      <c r="BA47" s="115">
        <v>2</v>
      </c>
      <c r="BB47" s="115">
        <v>9</v>
      </c>
      <c r="BC47" s="115">
        <v>1</v>
      </c>
      <c r="BD47" s="115">
        <v>3</v>
      </c>
      <c r="BE47" s="115">
        <v>5</v>
      </c>
      <c r="BF47" s="111">
        <v>12</v>
      </c>
      <c r="BG47" s="118"/>
      <c r="BH47" s="116"/>
      <c r="BI47" s="116"/>
    </row>
    <row r="48" spans="1:61" x14ac:dyDescent="0.35">
      <c r="A48" s="95">
        <v>44331</v>
      </c>
      <c r="B48" s="97">
        <v>10</v>
      </c>
      <c r="C48" s="97">
        <v>5</v>
      </c>
      <c r="D48" s="97">
        <v>10</v>
      </c>
      <c r="E48" s="97">
        <v>38</v>
      </c>
      <c r="F48" s="97">
        <v>12</v>
      </c>
      <c r="G48" s="97">
        <v>2</v>
      </c>
      <c r="H48" s="93">
        <v>30</v>
      </c>
      <c r="I48" s="93">
        <v>12</v>
      </c>
      <c r="J48" s="93">
        <v>18</v>
      </c>
      <c r="K48" s="93">
        <v>10</v>
      </c>
      <c r="L48" s="93">
        <v>3</v>
      </c>
      <c r="M48" s="93">
        <v>25</v>
      </c>
      <c r="N48" s="93">
        <v>5</v>
      </c>
      <c r="O48" s="93">
        <v>15</v>
      </c>
      <c r="P48" s="94">
        <v>3</v>
      </c>
      <c r="Q48" s="94">
        <v>7</v>
      </c>
      <c r="R48" s="94">
        <v>1</v>
      </c>
      <c r="S48" s="94">
        <v>0</v>
      </c>
      <c r="T48" s="94">
        <v>3</v>
      </c>
      <c r="U48" s="94">
        <v>4</v>
      </c>
      <c r="V48" s="94">
        <v>5</v>
      </c>
      <c r="W48" s="94">
        <v>0</v>
      </c>
      <c r="X48" s="94">
        <v>0</v>
      </c>
      <c r="Y48" s="94">
        <v>7</v>
      </c>
      <c r="Z48" s="94">
        <v>7</v>
      </c>
      <c r="AA48" s="94">
        <v>3</v>
      </c>
      <c r="AB48" s="94">
        <v>4</v>
      </c>
      <c r="AC48" s="94">
        <v>7</v>
      </c>
      <c r="AD48" s="94">
        <v>6</v>
      </c>
      <c r="AE48" s="94">
        <v>7</v>
      </c>
      <c r="AF48" s="94">
        <v>2</v>
      </c>
      <c r="AG48" s="94">
        <v>0</v>
      </c>
      <c r="AH48" s="94">
        <v>1</v>
      </c>
      <c r="AI48" s="94">
        <v>10</v>
      </c>
      <c r="AJ48" s="94">
        <v>13</v>
      </c>
      <c r="AK48" s="94">
        <v>4</v>
      </c>
      <c r="AL48" s="94">
        <v>35</v>
      </c>
      <c r="AM48" s="94">
        <v>45</v>
      </c>
      <c r="AN48" s="94">
        <v>67</v>
      </c>
      <c r="AO48" s="94">
        <v>19</v>
      </c>
      <c r="AP48" s="100">
        <v>44331</v>
      </c>
      <c r="AQ48" s="115">
        <v>13</v>
      </c>
      <c r="AR48" s="115">
        <v>23</v>
      </c>
      <c r="AS48" s="115">
        <v>1</v>
      </c>
      <c r="AT48" s="115">
        <v>8</v>
      </c>
      <c r="AU48" s="115">
        <v>1</v>
      </c>
      <c r="AV48" s="115">
        <v>7</v>
      </c>
      <c r="AW48" s="115">
        <v>1</v>
      </c>
      <c r="AX48" s="115">
        <v>11</v>
      </c>
      <c r="AY48" s="115">
        <v>3</v>
      </c>
      <c r="AZ48" s="115">
        <v>5</v>
      </c>
      <c r="BA48" s="115">
        <v>0</v>
      </c>
      <c r="BB48" s="115">
        <v>5</v>
      </c>
      <c r="BC48" s="115">
        <v>0</v>
      </c>
      <c r="BD48" s="115">
        <v>9</v>
      </c>
      <c r="BE48" s="115">
        <v>11</v>
      </c>
      <c r="BF48" s="111">
        <v>14</v>
      </c>
      <c r="BG48" s="118"/>
      <c r="BH48" s="116"/>
      <c r="BI48" s="116"/>
    </row>
    <row r="49" spans="1:61" x14ac:dyDescent="0.35">
      <c r="A49" s="95">
        <v>44332</v>
      </c>
      <c r="B49" s="97">
        <v>14</v>
      </c>
      <c r="C49" s="97">
        <v>14</v>
      </c>
      <c r="D49" s="97">
        <v>13</v>
      </c>
      <c r="E49" s="97">
        <v>31</v>
      </c>
      <c r="F49" s="97">
        <v>9</v>
      </c>
      <c r="G49" s="97">
        <v>3</v>
      </c>
      <c r="H49" s="93">
        <v>40</v>
      </c>
      <c r="I49" s="93">
        <v>17</v>
      </c>
      <c r="J49" s="93">
        <v>25</v>
      </c>
      <c r="K49" s="93">
        <v>6</v>
      </c>
      <c r="L49" s="93">
        <v>4</v>
      </c>
      <c r="M49" s="93">
        <v>7</v>
      </c>
      <c r="N49" s="93">
        <v>7</v>
      </c>
      <c r="O49" s="93">
        <v>7</v>
      </c>
      <c r="P49" s="94">
        <v>1</v>
      </c>
      <c r="Q49" s="94">
        <v>2</v>
      </c>
      <c r="R49" s="94">
        <v>1</v>
      </c>
      <c r="S49" s="94">
        <v>1</v>
      </c>
      <c r="T49" s="94">
        <v>3</v>
      </c>
      <c r="U49" s="94">
        <v>4</v>
      </c>
      <c r="V49" s="94">
        <v>4</v>
      </c>
      <c r="W49" s="94">
        <v>2</v>
      </c>
      <c r="X49" s="94">
        <v>8</v>
      </c>
      <c r="Y49" s="94">
        <v>6</v>
      </c>
      <c r="Z49" s="94">
        <v>0</v>
      </c>
      <c r="AA49" s="94">
        <v>1</v>
      </c>
      <c r="AB49" s="94">
        <v>4</v>
      </c>
      <c r="AC49" s="94">
        <v>2</v>
      </c>
      <c r="AD49" s="94">
        <v>3</v>
      </c>
      <c r="AE49" s="94">
        <v>4</v>
      </c>
      <c r="AF49" s="94">
        <v>6</v>
      </c>
      <c r="AG49" s="94">
        <v>7</v>
      </c>
      <c r="AH49" s="94">
        <v>7</v>
      </c>
      <c r="AI49" s="94">
        <v>6</v>
      </c>
      <c r="AJ49" s="94">
        <v>1</v>
      </c>
      <c r="AK49" s="94">
        <v>4</v>
      </c>
      <c r="AL49" s="94">
        <v>13</v>
      </c>
      <c r="AM49" s="94">
        <v>17</v>
      </c>
      <c r="AN49" s="94">
        <v>73</v>
      </c>
      <c r="AO49" s="94">
        <v>27</v>
      </c>
      <c r="AP49" s="100">
        <v>44332</v>
      </c>
      <c r="AQ49" s="115">
        <v>34</v>
      </c>
      <c r="AR49" s="115">
        <v>4</v>
      </c>
      <c r="AS49" s="115">
        <v>4</v>
      </c>
      <c r="AT49" s="115">
        <v>3</v>
      </c>
      <c r="AU49" s="115">
        <v>2</v>
      </c>
      <c r="AV49" s="115">
        <v>13</v>
      </c>
      <c r="AW49" s="115">
        <v>7</v>
      </c>
      <c r="AX49" s="115">
        <v>7</v>
      </c>
      <c r="AY49" s="115">
        <v>13</v>
      </c>
      <c r="AZ49" s="115">
        <v>11</v>
      </c>
      <c r="BA49" s="115">
        <v>0</v>
      </c>
      <c r="BB49" s="115">
        <v>3</v>
      </c>
      <c r="BC49" s="115">
        <v>3</v>
      </c>
      <c r="BD49" s="115">
        <v>9</v>
      </c>
      <c r="BE49" s="115">
        <v>8</v>
      </c>
      <c r="BF49" s="111">
        <v>2</v>
      </c>
      <c r="BG49" s="118"/>
      <c r="BH49" s="116"/>
      <c r="BI49" s="116"/>
    </row>
    <row r="50" spans="1:61" x14ac:dyDescent="0.35">
      <c r="A50" s="95">
        <v>44333</v>
      </c>
      <c r="B50" s="97">
        <v>17</v>
      </c>
      <c r="C50" s="97">
        <v>10</v>
      </c>
      <c r="D50" s="97">
        <v>3</v>
      </c>
      <c r="E50" s="97">
        <v>39</v>
      </c>
      <c r="F50" s="97">
        <v>2</v>
      </c>
      <c r="G50" s="97">
        <v>5</v>
      </c>
      <c r="H50" s="93">
        <v>25</v>
      </c>
      <c r="I50" s="93">
        <v>10</v>
      </c>
      <c r="J50" s="93">
        <v>29</v>
      </c>
      <c r="K50" s="93">
        <v>20</v>
      </c>
      <c r="L50" s="93">
        <v>14</v>
      </c>
      <c r="M50" s="93">
        <v>5</v>
      </c>
      <c r="N50" s="93">
        <v>11</v>
      </c>
      <c r="O50" s="93">
        <v>3</v>
      </c>
      <c r="P50" s="94">
        <v>5</v>
      </c>
      <c r="Q50" s="94">
        <v>5</v>
      </c>
      <c r="R50" s="94">
        <v>2</v>
      </c>
      <c r="S50" s="94">
        <v>3</v>
      </c>
      <c r="T50" s="94">
        <v>0</v>
      </c>
      <c r="U50" s="94">
        <v>0</v>
      </c>
      <c r="V50" s="94">
        <v>0</v>
      </c>
      <c r="W50" s="94">
        <v>2</v>
      </c>
      <c r="X50" s="94">
        <v>2</v>
      </c>
      <c r="Y50" s="94">
        <v>0</v>
      </c>
      <c r="Z50" s="94">
        <v>0</v>
      </c>
      <c r="AA50" s="94">
        <v>4</v>
      </c>
      <c r="AB50" s="94">
        <v>2</v>
      </c>
      <c r="AC50" s="94">
        <v>0</v>
      </c>
      <c r="AD50" s="94">
        <v>3</v>
      </c>
      <c r="AE50" s="94">
        <v>4</v>
      </c>
      <c r="AF50" s="94">
        <v>3</v>
      </c>
      <c r="AG50" s="94">
        <v>6</v>
      </c>
      <c r="AH50" s="94">
        <v>0</v>
      </c>
      <c r="AI50" s="94">
        <v>2</v>
      </c>
      <c r="AJ50" s="94">
        <v>1</v>
      </c>
      <c r="AK50" s="94">
        <v>0</v>
      </c>
      <c r="AL50" s="94">
        <v>12</v>
      </c>
      <c r="AM50" s="94">
        <v>46</v>
      </c>
      <c r="AN50" s="94">
        <v>57</v>
      </c>
      <c r="AO50" s="94">
        <v>1</v>
      </c>
      <c r="AP50" s="100">
        <v>44333</v>
      </c>
      <c r="AQ50" s="115">
        <v>39</v>
      </c>
      <c r="AR50" s="115">
        <v>10</v>
      </c>
      <c r="AS50" s="115">
        <v>20</v>
      </c>
      <c r="AT50" s="115">
        <v>5</v>
      </c>
      <c r="AU50" s="115">
        <v>9</v>
      </c>
      <c r="AV50" s="115">
        <v>0</v>
      </c>
      <c r="AW50" s="115">
        <v>0</v>
      </c>
      <c r="AX50" s="115">
        <v>12</v>
      </c>
      <c r="AY50" s="115">
        <v>5</v>
      </c>
      <c r="AZ50" s="115">
        <v>2</v>
      </c>
      <c r="BA50" s="115">
        <v>2</v>
      </c>
      <c r="BB50" s="115">
        <v>3</v>
      </c>
      <c r="BC50" s="115">
        <v>5</v>
      </c>
      <c r="BD50" s="115">
        <v>9</v>
      </c>
      <c r="BE50" s="115">
        <v>9</v>
      </c>
      <c r="BF50" s="111">
        <v>0</v>
      </c>
      <c r="BG50" s="118"/>
      <c r="BH50" s="116"/>
      <c r="BI50" s="116"/>
    </row>
    <row r="51" spans="1:61" x14ac:dyDescent="0.35">
      <c r="A51" s="95">
        <v>44334</v>
      </c>
      <c r="B51" s="97">
        <v>0</v>
      </c>
      <c r="C51" s="97">
        <v>4</v>
      </c>
      <c r="D51" s="97">
        <v>3</v>
      </c>
      <c r="E51" s="97">
        <v>15</v>
      </c>
      <c r="F51" s="97">
        <v>12</v>
      </c>
      <c r="G51" s="97">
        <v>7</v>
      </c>
      <c r="H51" s="93">
        <v>23</v>
      </c>
      <c r="I51" s="93">
        <v>19</v>
      </c>
      <c r="J51" s="93">
        <v>11</v>
      </c>
      <c r="K51" s="93">
        <v>19</v>
      </c>
      <c r="L51" s="93">
        <v>10</v>
      </c>
      <c r="M51" s="93">
        <v>17</v>
      </c>
      <c r="N51" s="93">
        <v>1</v>
      </c>
      <c r="O51" s="93">
        <v>11</v>
      </c>
      <c r="P51" s="94">
        <v>0</v>
      </c>
      <c r="Q51" s="94">
        <v>1</v>
      </c>
      <c r="R51" s="94">
        <v>6</v>
      </c>
      <c r="S51" s="94">
        <v>3</v>
      </c>
      <c r="T51" s="94">
        <v>8</v>
      </c>
      <c r="U51" s="94">
        <v>2</v>
      </c>
      <c r="V51" s="94">
        <v>4</v>
      </c>
      <c r="W51" s="94">
        <v>0</v>
      </c>
      <c r="X51" s="94">
        <v>1</v>
      </c>
      <c r="Y51" s="94">
        <v>3</v>
      </c>
      <c r="Z51" s="94">
        <v>4</v>
      </c>
      <c r="AA51" s="94">
        <v>4</v>
      </c>
      <c r="AB51" s="94">
        <v>1</v>
      </c>
      <c r="AC51" s="94">
        <v>0</v>
      </c>
      <c r="AD51" s="94">
        <v>0</v>
      </c>
      <c r="AE51" s="94">
        <v>4</v>
      </c>
      <c r="AF51" s="94">
        <v>3</v>
      </c>
      <c r="AG51" s="94">
        <v>2</v>
      </c>
      <c r="AH51" s="94">
        <v>1</v>
      </c>
      <c r="AI51" s="94">
        <v>6</v>
      </c>
      <c r="AJ51" s="94">
        <v>4</v>
      </c>
      <c r="AK51" s="94">
        <v>6</v>
      </c>
      <c r="AL51" s="94">
        <v>47</v>
      </c>
      <c r="AM51" s="94">
        <v>42</v>
      </c>
      <c r="AN51" s="94">
        <v>26</v>
      </c>
      <c r="AO51" s="94">
        <v>25</v>
      </c>
      <c r="AP51" s="100">
        <v>44334</v>
      </c>
      <c r="AQ51" s="115">
        <v>24</v>
      </c>
      <c r="AR51" s="115">
        <v>13</v>
      </c>
      <c r="AS51" s="115">
        <v>1</v>
      </c>
      <c r="AT51" s="115">
        <v>13</v>
      </c>
      <c r="AU51" s="115">
        <v>2</v>
      </c>
      <c r="AV51" s="115">
        <v>7</v>
      </c>
      <c r="AW51" s="115">
        <v>7</v>
      </c>
      <c r="AX51" s="115">
        <v>11</v>
      </c>
      <c r="AY51" s="115">
        <v>14</v>
      </c>
      <c r="AZ51" s="115">
        <v>0</v>
      </c>
      <c r="BA51" s="115">
        <v>15</v>
      </c>
      <c r="BB51" s="115">
        <v>8</v>
      </c>
      <c r="BC51" s="115">
        <v>2</v>
      </c>
      <c r="BD51" s="115">
        <v>3</v>
      </c>
      <c r="BE51" s="115">
        <v>4</v>
      </c>
      <c r="BF51" s="111">
        <v>1</v>
      </c>
      <c r="BG51" s="118"/>
      <c r="BH51" s="116"/>
      <c r="BI51" s="116"/>
    </row>
    <row r="52" spans="1:61" x14ac:dyDescent="0.35">
      <c r="A52" s="95">
        <v>44335</v>
      </c>
      <c r="B52" s="97">
        <v>21</v>
      </c>
      <c r="C52" s="97">
        <v>7</v>
      </c>
      <c r="D52" s="97">
        <v>17</v>
      </c>
      <c r="E52" s="97">
        <v>40</v>
      </c>
      <c r="F52" s="97">
        <v>7</v>
      </c>
      <c r="G52" s="97">
        <v>10</v>
      </c>
      <c r="H52" s="93">
        <v>48</v>
      </c>
      <c r="I52" s="93">
        <v>9</v>
      </c>
      <c r="J52" s="93">
        <v>6</v>
      </c>
      <c r="K52" s="93">
        <v>24</v>
      </c>
      <c r="L52" s="93">
        <v>14</v>
      </c>
      <c r="M52" s="93">
        <v>16</v>
      </c>
      <c r="N52" s="93">
        <v>5</v>
      </c>
      <c r="O52" s="93">
        <v>15</v>
      </c>
      <c r="P52" s="94">
        <v>4</v>
      </c>
      <c r="Q52" s="94">
        <v>3</v>
      </c>
      <c r="R52" s="94">
        <v>6</v>
      </c>
      <c r="S52" s="94">
        <v>5</v>
      </c>
      <c r="T52" s="94">
        <v>5</v>
      </c>
      <c r="U52" s="94">
        <v>1</v>
      </c>
      <c r="V52" s="94">
        <v>2</v>
      </c>
      <c r="W52" s="94">
        <v>1</v>
      </c>
      <c r="X52" s="94">
        <v>1</v>
      </c>
      <c r="Y52" s="94">
        <v>0</v>
      </c>
      <c r="Z52" s="94">
        <v>2</v>
      </c>
      <c r="AA52" s="94">
        <v>1</v>
      </c>
      <c r="AB52" s="94">
        <v>4</v>
      </c>
      <c r="AC52" s="94">
        <v>1</v>
      </c>
      <c r="AD52" s="94">
        <v>5</v>
      </c>
      <c r="AE52" s="94">
        <v>4</v>
      </c>
      <c r="AF52" s="94">
        <v>7</v>
      </c>
      <c r="AG52" s="94">
        <v>9</v>
      </c>
      <c r="AH52" s="94">
        <v>4</v>
      </c>
      <c r="AI52" s="94">
        <v>10</v>
      </c>
      <c r="AJ52" s="94">
        <v>5</v>
      </c>
      <c r="AK52" s="94">
        <v>0</v>
      </c>
      <c r="AL52" s="94">
        <v>41</v>
      </c>
      <c r="AM52" s="94">
        <v>15</v>
      </c>
      <c r="AN52" s="94">
        <v>75</v>
      </c>
      <c r="AO52" s="94">
        <v>32</v>
      </c>
      <c r="AP52" s="100">
        <v>44335</v>
      </c>
      <c r="AQ52" s="115">
        <v>25</v>
      </c>
      <c r="AR52" s="115">
        <v>13</v>
      </c>
      <c r="AS52" s="115">
        <v>1</v>
      </c>
      <c r="AT52" s="115">
        <v>17</v>
      </c>
      <c r="AU52" s="115">
        <v>4</v>
      </c>
      <c r="AV52" s="115">
        <v>13</v>
      </c>
      <c r="AW52" s="115">
        <v>6</v>
      </c>
      <c r="AX52" s="115">
        <v>4</v>
      </c>
      <c r="AY52" s="115">
        <v>11</v>
      </c>
      <c r="AZ52" s="115">
        <v>9</v>
      </c>
      <c r="BA52" s="115">
        <v>12</v>
      </c>
      <c r="BB52" s="115">
        <v>10</v>
      </c>
      <c r="BC52" s="115">
        <v>4</v>
      </c>
      <c r="BD52" s="115">
        <v>4</v>
      </c>
      <c r="BE52" s="115">
        <v>12</v>
      </c>
      <c r="BF52" s="111">
        <v>8</v>
      </c>
      <c r="BG52" s="118"/>
      <c r="BH52" s="116"/>
      <c r="BI52" s="116"/>
    </row>
    <row r="53" spans="1:61" x14ac:dyDescent="0.35">
      <c r="A53" s="95">
        <v>44336</v>
      </c>
      <c r="B53" s="97">
        <v>20</v>
      </c>
      <c r="C53" s="97">
        <v>4</v>
      </c>
      <c r="D53" s="97">
        <v>11</v>
      </c>
      <c r="E53" s="97">
        <v>19</v>
      </c>
      <c r="F53" s="97">
        <v>12</v>
      </c>
      <c r="G53" s="97">
        <v>13</v>
      </c>
      <c r="H53" s="93">
        <v>40</v>
      </c>
      <c r="I53" s="93">
        <v>22</v>
      </c>
      <c r="J53" s="93">
        <v>27</v>
      </c>
      <c r="K53" s="93">
        <v>10</v>
      </c>
      <c r="L53" s="93">
        <v>19</v>
      </c>
      <c r="M53" s="93">
        <v>5</v>
      </c>
      <c r="N53" s="93">
        <v>4</v>
      </c>
      <c r="O53" s="93">
        <v>4</v>
      </c>
      <c r="P53" s="94">
        <v>1</v>
      </c>
      <c r="Q53" s="94">
        <v>4</v>
      </c>
      <c r="R53" s="94">
        <v>6</v>
      </c>
      <c r="S53" s="94">
        <v>3</v>
      </c>
      <c r="T53" s="94">
        <v>7</v>
      </c>
      <c r="U53" s="94">
        <v>2</v>
      </c>
      <c r="V53" s="94">
        <v>3</v>
      </c>
      <c r="W53" s="94">
        <v>3</v>
      </c>
      <c r="X53" s="94">
        <v>1</v>
      </c>
      <c r="Y53" s="94">
        <v>1</v>
      </c>
      <c r="Z53" s="94">
        <v>6</v>
      </c>
      <c r="AA53" s="94">
        <v>0</v>
      </c>
      <c r="AB53" s="94">
        <v>5</v>
      </c>
      <c r="AC53" s="94">
        <v>3</v>
      </c>
      <c r="AD53" s="94">
        <v>5</v>
      </c>
      <c r="AE53" s="94">
        <v>8</v>
      </c>
      <c r="AF53" s="94">
        <v>6</v>
      </c>
      <c r="AG53" s="94">
        <v>5</v>
      </c>
      <c r="AH53" s="94">
        <v>5</v>
      </c>
      <c r="AI53" s="94">
        <v>5</v>
      </c>
      <c r="AJ53" s="94">
        <v>8</v>
      </c>
      <c r="AK53" s="94">
        <v>5</v>
      </c>
      <c r="AL53" s="94">
        <v>15</v>
      </c>
      <c r="AM53" s="94">
        <v>26</v>
      </c>
      <c r="AN53" s="94">
        <v>40</v>
      </c>
      <c r="AO53" s="94">
        <v>14</v>
      </c>
      <c r="AP53" s="100">
        <v>44336</v>
      </c>
      <c r="AQ53" s="115">
        <v>11</v>
      </c>
      <c r="AR53" s="115">
        <v>20</v>
      </c>
      <c r="AS53" s="115">
        <v>6</v>
      </c>
      <c r="AT53" s="115">
        <v>5</v>
      </c>
      <c r="AU53" s="115">
        <v>6</v>
      </c>
      <c r="AV53" s="115">
        <v>15</v>
      </c>
      <c r="AW53" s="115">
        <v>0</v>
      </c>
      <c r="AX53" s="115">
        <v>9</v>
      </c>
      <c r="AY53" s="115">
        <v>1</v>
      </c>
      <c r="AZ53" s="115">
        <v>9</v>
      </c>
      <c r="BA53" s="115">
        <v>5</v>
      </c>
      <c r="BB53" s="115">
        <v>7</v>
      </c>
      <c r="BC53" s="115">
        <v>4</v>
      </c>
      <c r="BD53" s="115">
        <v>2</v>
      </c>
      <c r="BE53" s="115">
        <v>1</v>
      </c>
      <c r="BF53" s="111">
        <v>13</v>
      </c>
      <c r="BG53" s="118"/>
      <c r="BH53" s="116"/>
      <c r="BI53" s="116"/>
    </row>
    <row r="54" spans="1:61" x14ac:dyDescent="0.35">
      <c r="A54" s="95">
        <v>44337</v>
      </c>
      <c r="B54" s="97">
        <v>21</v>
      </c>
      <c r="C54" s="97">
        <v>6</v>
      </c>
      <c r="D54" s="97">
        <v>9</v>
      </c>
      <c r="E54" s="97">
        <v>32</v>
      </c>
      <c r="F54" s="97">
        <v>5</v>
      </c>
      <c r="G54" s="97">
        <v>12</v>
      </c>
      <c r="H54" s="93">
        <v>12</v>
      </c>
      <c r="I54" s="93">
        <v>14</v>
      </c>
      <c r="J54" s="93">
        <v>15</v>
      </c>
      <c r="K54" s="93">
        <v>8</v>
      </c>
      <c r="L54" s="93">
        <v>14</v>
      </c>
      <c r="M54" s="93">
        <v>23</v>
      </c>
      <c r="N54" s="93">
        <v>4</v>
      </c>
      <c r="O54" s="93">
        <v>4</v>
      </c>
      <c r="P54" s="94">
        <v>2</v>
      </c>
      <c r="Q54" s="94">
        <v>2</v>
      </c>
      <c r="R54" s="94">
        <v>6</v>
      </c>
      <c r="S54" s="94">
        <v>1</v>
      </c>
      <c r="T54" s="94">
        <v>4</v>
      </c>
      <c r="U54" s="94">
        <v>1</v>
      </c>
      <c r="V54" s="94">
        <v>0</v>
      </c>
      <c r="W54" s="94">
        <v>2</v>
      </c>
      <c r="X54" s="94">
        <v>9</v>
      </c>
      <c r="Y54" s="94">
        <v>1</v>
      </c>
      <c r="Z54" s="94">
        <v>3</v>
      </c>
      <c r="AA54" s="94">
        <v>1</v>
      </c>
      <c r="AB54" s="94">
        <v>4</v>
      </c>
      <c r="AC54" s="94">
        <v>2</v>
      </c>
      <c r="AD54" s="94">
        <v>5</v>
      </c>
      <c r="AE54" s="94">
        <v>7</v>
      </c>
      <c r="AF54" s="94">
        <v>0</v>
      </c>
      <c r="AG54" s="94">
        <v>0</v>
      </c>
      <c r="AH54" s="94">
        <v>8</v>
      </c>
      <c r="AI54" s="94">
        <v>3</v>
      </c>
      <c r="AJ54" s="94">
        <v>0</v>
      </c>
      <c r="AK54" s="94">
        <v>4</v>
      </c>
      <c r="AL54" s="94">
        <v>56</v>
      </c>
      <c r="AM54" s="94">
        <v>47</v>
      </c>
      <c r="AN54" s="94">
        <v>57</v>
      </c>
      <c r="AO54" s="94">
        <v>15</v>
      </c>
      <c r="AP54" s="100">
        <v>44337</v>
      </c>
      <c r="AQ54" s="115">
        <v>13</v>
      </c>
      <c r="AR54" s="115">
        <v>1</v>
      </c>
      <c r="AS54" s="115">
        <v>12</v>
      </c>
      <c r="AT54" s="115">
        <v>17</v>
      </c>
      <c r="AU54" s="115">
        <v>2</v>
      </c>
      <c r="AV54" s="115">
        <v>4</v>
      </c>
      <c r="AW54" s="115">
        <v>4</v>
      </c>
      <c r="AX54" s="115">
        <v>10</v>
      </c>
      <c r="AY54" s="115">
        <v>7</v>
      </c>
      <c r="AZ54" s="115">
        <v>13</v>
      </c>
      <c r="BA54" s="115">
        <v>8</v>
      </c>
      <c r="BB54" s="115">
        <v>11</v>
      </c>
      <c r="BC54" s="115">
        <v>6</v>
      </c>
      <c r="BD54" s="115">
        <v>1</v>
      </c>
      <c r="BE54" s="115">
        <v>5</v>
      </c>
      <c r="BF54" s="111">
        <v>10</v>
      </c>
      <c r="BG54" s="118"/>
      <c r="BH54" s="116"/>
      <c r="BI54" s="116"/>
    </row>
    <row r="55" spans="1:61" x14ac:dyDescent="0.35">
      <c r="A55" s="95">
        <v>44338</v>
      </c>
      <c r="B55" s="97">
        <v>1</v>
      </c>
      <c r="C55" s="97">
        <v>10</v>
      </c>
      <c r="D55" s="97">
        <v>34</v>
      </c>
      <c r="E55" s="97">
        <v>20</v>
      </c>
      <c r="F55" s="97">
        <v>8</v>
      </c>
      <c r="G55" s="97">
        <v>10</v>
      </c>
      <c r="H55" s="93">
        <v>7</v>
      </c>
      <c r="I55" s="93">
        <v>30</v>
      </c>
      <c r="J55" s="93">
        <v>6</v>
      </c>
      <c r="K55" s="93">
        <v>10</v>
      </c>
      <c r="L55" s="93">
        <v>2</v>
      </c>
      <c r="M55" s="93">
        <v>8</v>
      </c>
      <c r="N55" s="93">
        <v>10</v>
      </c>
      <c r="O55" s="93">
        <v>2</v>
      </c>
      <c r="P55" s="94">
        <v>0</v>
      </c>
      <c r="Q55" s="94">
        <v>0</v>
      </c>
      <c r="R55" s="94">
        <v>5</v>
      </c>
      <c r="S55" s="94">
        <v>4</v>
      </c>
      <c r="T55" s="94">
        <v>1</v>
      </c>
      <c r="U55" s="94">
        <v>3</v>
      </c>
      <c r="V55" s="94">
        <v>0</v>
      </c>
      <c r="W55" s="94">
        <v>2</v>
      </c>
      <c r="X55" s="94">
        <v>9</v>
      </c>
      <c r="Y55" s="94">
        <v>4</v>
      </c>
      <c r="Z55" s="94">
        <v>6</v>
      </c>
      <c r="AA55" s="94">
        <v>3</v>
      </c>
      <c r="AB55" s="94">
        <v>2</v>
      </c>
      <c r="AC55" s="94">
        <v>6</v>
      </c>
      <c r="AD55" s="94">
        <v>4</v>
      </c>
      <c r="AE55" s="94">
        <v>3</v>
      </c>
      <c r="AF55" s="94">
        <v>3</v>
      </c>
      <c r="AG55" s="94">
        <v>4</v>
      </c>
      <c r="AH55" s="94">
        <v>8</v>
      </c>
      <c r="AI55" s="94">
        <v>3</v>
      </c>
      <c r="AJ55" s="94">
        <v>7</v>
      </c>
      <c r="AK55" s="94">
        <v>0</v>
      </c>
      <c r="AL55" s="94">
        <v>38</v>
      </c>
      <c r="AM55" s="94">
        <v>11</v>
      </c>
      <c r="AN55" s="94">
        <v>38</v>
      </c>
      <c r="AO55" s="94">
        <v>25</v>
      </c>
      <c r="AP55" s="100">
        <v>44338</v>
      </c>
      <c r="AQ55" s="115">
        <v>37</v>
      </c>
      <c r="AR55" s="115">
        <v>10</v>
      </c>
      <c r="AS55" s="115">
        <v>8</v>
      </c>
      <c r="AT55" s="115">
        <v>10</v>
      </c>
      <c r="AU55" s="115">
        <v>10</v>
      </c>
      <c r="AV55" s="115">
        <v>9</v>
      </c>
      <c r="AW55" s="115">
        <v>6</v>
      </c>
      <c r="AX55" s="115">
        <v>11</v>
      </c>
      <c r="AY55" s="115">
        <v>12</v>
      </c>
      <c r="AZ55" s="115">
        <v>2</v>
      </c>
      <c r="BA55" s="115">
        <v>1</v>
      </c>
      <c r="BB55" s="115">
        <v>9</v>
      </c>
      <c r="BC55" s="115">
        <v>1</v>
      </c>
      <c r="BD55" s="115">
        <v>9</v>
      </c>
      <c r="BE55" s="115">
        <v>10</v>
      </c>
      <c r="BF55" s="111">
        <v>3</v>
      </c>
      <c r="BG55" s="118"/>
      <c r="BH55" s="116"/>
      <c r="BI55" s="116"/>
    </row>
    <row r="56" spans="1:61" x14ac:dyDescent="0.35">
      <c r="A56" s="95">
        <v>44339</v>
      </c>
      <c r="B56" s="97">
        <v>30</v>
      </c>
      <c r="C56" s="97">
        <v>3</v>
      </c>
      <c r="D56" s="97">
        <v>29</v>
      </c>
      <c r="E56" s="97">
        <v>18</v>
      </c>
      <c r="F56" s="97">
        <v>8</v>
      </c>
      <c r="G56" s="97">
        <v>0</v>
      </c>
      <c r="H56" s="93">
        <v>38</v>
      </c>
      <c r="I56" s="93">
        <v>11</v>
      </c>
      <c r="J56" s="93">
        <v>10</v>
      </c>
      <c r="K56" s="93">
        <v>9</v>
      </c>
      <c r="L56" s="93">
        <v>7</v>
      </c>
      <c r="M56" s="93">
        <v>5</v>
      </c>
      <c r="N56" s="93">
        <v>16</v>
      </c>
      <c r="O56" s="93">
        <v>6</v>
      </c>
      <c r="P56" s="94">
        <v>5</v>
      </c>
      <c r="Q56" s="94">
        <v>6</v>
      </c>
      <c r="R56" s="94">
        <v>6</v>
      </c>
      <c r="S56" s="94">
        <v>4</v>
      </c>
      <c r="T56" s="94">
        <v>0</v>
      </c>
      <c r="U56" s="94">
        <v>0</v>
      </c>
      <c r="V56" s="94">
        <v>2</v>
      </c>
      <c r="W56" s="94">
        <v>2</v>
      </c>
      <c r="X56" s="94">
        <v>8</v>
      </c>
      <c r="Y56" s="94">
        <v>0</v>
      </c>
      <c r="Z56" s="94">
        <v>2</v>
      </c>
      <c r="AA56" s="94">
        <v>3</v>
      </c>
      <c r="AB56" s="94">
        <v>3</v>
      </c>
      <c r="AC56" s="94">
        <v>2</v>
      </c>
      <c r="AD56" s="94">
        <v>5</v>
      </c>
      <c r="AE56" s="94">
        <v>9</v>
      </c>
      <c r="AF56" s="94">
        <v>0</v>
      </c>
      <c r="AG56" s="94">
        <v>3</v>
      </c>
      <c r="AH56" s="94">
        <v>7</v>
      </c>
      <c r="AI56" s="94">
        <v>8</v>
      </c>
      <c r="AJ56" s="94">
        <v>8</v>
      </c>
      <c r="AK56" s="94">
        <v>1</v>
      </c>
      <c r="AL56" s="94">
        <v>43</v>
      </c>
      <c r="AM56" s="94">
        <v>50</v>
      </c>
      <c r="AN56" s="94">
        <v>23</v>
      </c>
      <c r="AO56" s="94">
        <v>11</v>
      </c>
      <c r="AP56" s="100">
        <v>44339</v>
      </c>
      <c r="AQ56" s="115">
        <v>21</v>
      </c>
      <c r="AR56" s="115">
        <v>22</v>
      </c>
      <c r="AS56" s="115">
        <v>5</v>
      </c>
      <c r="AT56" s="115">
        <v>15</v>
      </c>
      <c r="AU56" s="115">
        <v>9</v>
      </c>
      <c r="AV56" s="115">
        <v>1</v>
      </c>
      <c r="AW56" s="115">
        <v>2</v>
      </c>
      <c r="AX56" s="115">
        <v>11</v>
      </c>
      <c r="AY56" s="115">
        <v>0</v>
      </c>
      <c r="AZ56" s="115">
        <v>3</v>
      </c>
      <c r="BA56" s="115">
        <v>14</v>
      </c>
      <c r="BB56" s="115">
        <v>1</v>
      </c>
      <c r="BC56" s="115">
        <v>2</v>
      </c>
      <c r="BD56" s="115">
        <v>14</v>
      </c>
      <c r="BE56" s="115">
        <v>0</v>
      </c>
      <c r="BF56" s="111">
        <v>13</v>
      </c>
      <c r="BG56" s="118"/>
      <c r="BH56" s="116"/>
      <c r="BI56" s="116"/>
    </row>
    <row r="57" spans="1:61" x14ac:dyDescent="0.35">
      <c r="A57" s="95">
        <v>44340</v>
      </c>
      <c r="B57" s="97">
        <v>6</v>
      </c>
      <c r="C57" s="97">
        <v>9</v>
      </c>
      <c r="D57" s="97">
        <v>2</v>
      </c>
      <c r="E57" s="97">
        <v>22</v>
      </c>
      <c r="F57" s="97">
        <v>1</v>
      </c>
      <c r="G57" s="97">
        <v>15</v>
      </c>
      <c r="H57" s="93">
        <v>0</v>
      </c>
      <c r="I57" s="93">
        <v>8</v>
      </c>
      <c r="J57" s="93">
        <v>5</v>
      </c>
      <c r="K57" s="93">
        <v>21</v>
      </c>
      <c r="L57" s="93">
        <v>9</v>
      </c>
      <c r="M57" s="93">
        <v>2</v>
      </c>
      <c r="N57" s="93">
        <v>8</v>
      </c>
      <c r="O57" s="93">
        <v>1</v>
      </c>
      <c r="P57" s="94">
        <v>3</v>
      </c>
      <c r="Q57" s="94">
        <v>7</v>
      </c>
      <c r="R57" s="94">
        <v>5</v>
      </c>
      <c r="S57" s="94">
        <v>0</v>
      </c>
      <c r="T57" s="94">
        <v>2</v>
      </c>
      <c r="U57" s="94">
        <v>4</v>
      </c>
      <c r="V57" s="94">
        <v>5</v>
      </c>
      <c r="W57" s="94">
        <v>0</v>
      </c>
      <c r="X57" s="94">
        <v>5</v>
      </c>
      <c r="Y57" s="94">
        <v>3</v>
      </c>
      <c r="Z57" s="94">
        <v>1</v>
      </c>
      <c r="AA57" s="94">
        <v>4</v>
      </c>
      <c r="AB57" s="94">
        <v>2</v>
      </c>
      <c r="AC57" s="94">
        <v>0</v>
      </c>
      <c r="AD57" s="94">
        <v>5</v>
      </c>
      <c r="AE57" s="94">
        <v>4</v>
      </c>
      <c r="AF57" s="94">
        <v>6</v>
      </c>
      <c r="AG57" s="94">
        <v>5</v>
      </c>
      <c r="AH57" s="94">
        <v>5</v>
      </c>
      <c r="AI57" s="94">
        <v>0</v>
      </c>
      <c r="AJ57" s="94">
        <v>4</v>
      </c>
      <c r="AK57" s="94">
        <v>4</v>
      </c>
      <c r="AL57" s="94">
        <v>18</v>
      </c>
      <c r="AM57" s="94">
        <v>39</v>
      </c>
      <c r="AN57" s="94">
        <v>80</v>
      </c>
      <c r="AO57" s="94">
        <v>3</v>
      </c>
      <c r="AP57" s="100">
        <v>44340</v>
      </c>
      <c r="AQ57" s="115">
        <v>17</v>
      </c>
      <c r="AR57" s="115">
        <v>4</v>
      </c>
      <c r="AS57" s="115">
        <v>14</v>
      </c>
      <c r="AT57" s="115">
        <v>5</v>
      </c>
      <c r="AU57" s="115">
        <v>6</v>
      </c>
      <c r="AV57" s="115">
        <v>13</v>
      </c>
      <c r="AW57" s="115">
        <v>9</v>
      </c>
      <c r="AX57" s="115">
        <v>10</v>
      </c>
      <c r="AY57" s="115">
        <v>12</v>
      </c>
      <c r="AZ57" s="115">
        <v>12</v>
      </c>
      <c r="BA57" s="115">
        <v>10</v>
      </c>
      <c r="BB57" s="115">
        <v>11</v>
      </c>
      <c r="BC57" s="115">
        <v>6</v>
      </c>
      <c r="BD57" s="115">
        <v>13</v>
      </c>
      <c r="BE57" s="115">
        <v>11</v>
      </c>
      <c r="BF57" s="111">
        <v>15</v>
      </c>
      <c r="BG57" s="118"/>
      <c r="BH57" s="116"/>
      <c r="BI57" s="116"/>
    </row>
    <row r="58" spans="1:61" x14ac:dyDescent="0.35">
      <c r="A58" s="95">
        <v>44341</v>
      </c>
      <c r="B58" s="97">
        <v>9</v>
      </c>
      <c r="C58" s="97">
        <v>6</v>
      </c>
      <c r="D58" s="97">
        <v>34</v>
      </c>
      <c r="E58" s="97">
        <v>32</v>
      </c>
      <c r="F58" s="97">
        <v>10</v>
      </c>
      <c r="G58" s="97">
        <v>3</v>
      </c>
      <c r="H58" s="93">
        <v>30</v>
      </c>
      <c r="I58" s="93">
        <v>14</v>
      </c>
      <c r="J58" s="93">
        <v>25</v>
      </c>
      <c r="K58" s="93">
        <v>5</v>
      </c>
      <c r="L58" s="93">
        <v>10</v>
      </c>
      <c r="M58" s="93">
        <v>1</v>
      </c>
      <c r="N58" s="93">
        <v>12</v>
      </c>
      <c r="O58" s="93">
        <v>7</v>
      </c>
      <c r="P58" s="94">
        <v>4</v>
      </c>
      <c r="Q58" s="94">
        <v>7</v>
      </c>
      <c r="R58" s="94">
        <v>6</v>
      </c>
      <c r="S58" s="94">
        <v>4</v>
      </c>
      <c r="T58" s="94">
        <v>3</v>
      </c>
      <c r="U58" s="94">
        <v>3</v>
      </c>
      <c r="V58" s="94">
        <v>4</v>
      </c>
      <c r="W58" s="94">
        <v>3</v>
      </c>
      <c r="X58" s="94">
        <v>9</v>
      </c>
      <c r="Y58" s="94">
        <v>0</v>
      </c>
      <c r="Z58" s="94">
        <v>9</v>
      </c>
      <c r="AA58" s="94">
        <v>4</v>
      </c>
      <c r="AB58" s="94">
        <v>4</v>
      </c>
      <c r="AC58" s="94">
        <v>3</v>
      </c>
      <c r="AD58" s="94">
        <v>2</v>
      </c>
      <c r="AE58" s="94">
        <v>9</v>
      </c>
      <c r="AF58" s="94">
        <v>0</v>
      </c>
      <c r="AG58" s="94">
        <v>8</v>
      </c>
      <c r="AH58" s="94">
        <v>0</v>
      </c>
      <c r="AI58" s="94">
        <v>2</v>
      </c>
      <c r="AJ58" s="94">
        <v>7</v>
      </c>
      <c r="AK58" s="94">
        <v>1</v>
      </c>
      <c r="AL58" s="94">
        <v>26</v>
      </c>
      <c r="AM58" s="94">
        <v>46</v>
      </c>
      <c r="AN58" s="94">
        <v>70</v>
      </c>
      <c r="AO58" s="94">
        <v>14</v>
      </c>
      <c r="AP58" s="100">
        <v>44341</v>
      </c>
      <c r="AQ58" s="115">
        <v>16</v>
      </c>
      <c r="AR58" s="115">
        <v>17</v>
      </c>
      <c r="AS58" s="115">
        <v>3</v>
      </c>
      <c r="AT58" s="115">
        <v>18</v>
      </c>
      <c r="AU58" s="115">
        <v>7</v>
      </c>
      <c r="AV58" s="115">
        <v>4</v>
      </c>
      <c r="AW58" s="115">
        <v>0</v>
      </c>
      <c r="AX58" s="115">
        <v>13</v>
      </c>
      <c r="AY58" s="115">
        <v>1</v>
      </c>
      <c r="AZ58" s="115">
        <v>2</v>
      </c>
      <c r="BA58" s="115">
        <v>3</v>
      </c>
      <c r="BB58" s="115">
        <v>6</v>
      </c>
      <c r="BC58" s="115">
        <v>4</v>
      </c>
      <c r="BD58" s="115">
        <v>0</v>
      </c>
      <c r="BE58" s="115">
        <v>6</v>
      </c>
      <c r="BF58" s="111">
        <v>1</v>
      </c>
      <c r="BG58" s="118"/>
      <c r="BH58" s="116"/>
      <c r="BI58" s="116"/>
    </row>
    <row r="59" spans="1:61" x14ac:dyDescent="0.35">
      <c r="A59" s="95">
        <v>44342</v>
      </c>
      <c r="B59" s="97">
        <v>13</v>
      </c>
      <c r="C59" s="97">
        <v>12</v>
      </c>
      <c r="D59" s="97">
        <v>12</v>
      </c>
      <c r="E59" s="97">
        <v>23</v>
      </c>
      <c r="F59" s="97">
        <v>7</v>
      </c>
      <c r="G59" s="97">
        <v>8</v>
      </c>
      <c r="H59" s="93">
        <v>37</v>
      </c>
      <c r="I59" s="93">
        <v>21</v>
      </c>
      <c r="J59" s="93">
        <v>30</v>
      </c>
      <c r="K59" s="93">
        <v>23</v>
      </c>
      <c r="L59" s="93">
        <v>16</v>
      </c>
      <c r="M59" s="93">
        <v>25</v>
      </c>
      <c r="N59" s="93">
        <v>6</v>
      </c>
      <c r="O59" s="93">
        <v>6</v>
      </c>
      <c r="P59" s="94">
        <v>3</v>
      </c>
      <c r="Q59" s="94">
        <v>6</v>
      </c>
      <c r="R59" s="94">
        <v>1</v>
      </c>
      <c r="S59" s="94">
        <v>1</v>
      </c>
      <c r="T59" s="94">
        <v>2</v>
      </c>
      <c r="U59" s="94">
        <v>5</v>
      </c>
      <c r="V59" s="94">
        <v>0</v>
      </c>
      <c r="W59" s="94">
        <v>2</v>
      </c>
      <c r="X59" s="94">
        <v>2</v>
      </c>
      <c r="Y59" s="94">
        <v>1</v>
      </c>
      <c r="Z59" s="94">
        <v>5</v>
      </c>
      <c r="AA59" s="94">
        <v>4</v>
      </c>
      <c r="AB59" s="94">
        <v>0</v>
      </c>
      <c r="AC59" s="94">
        <v>8</v>
      </c>
      <c r="AD59" s="94">
        <v>6</v>
      </c>
      <c r="AE59" s="94">
        <v>1</v>
      </c>
      <c r="AF59" s="94">
        <v>7</v>
      </c>
      <c r="AG59" s="94">
        <v>3</v>
      </c>
      <c r="AH59" s="94">
        <v>0</v>
      </c>
      <c r="AI59" s="94">
        <v>9</v>
      </c>
      <c r="AJ59" s="94">
        <v>7</v>
      </c>
      <c r="AK59" s="94">
        <v>3</v>
      </c>
      <c r="AL59" s="94">
        <v>29</v>
      </c>
      <c r="AM59" s="94">
        <v>15</v>
      </c>
      <c r="AN59" s="94">
        <v>32</v>
      </c>
      <c r="AO59" s="94">
        <v>8</v>
      </c>
      <c r="AP59" s="100">
        <v>44342</v>
      </c>
      <c r="AQ59" s="115">
        <v>18</v>
      </c>
      <c r="AR59" s="115">
        <v>4</v>
      </c>
      <c r="AS59" s="115">
        <v>6</v>
      </c>
      <c r="AT59" s="115">
        <v>8</v>
      </c>
      <c r="AU59" s="115">
        <v>3</v>
      </c>
      <c r="AV59" s="115">
        <v>6</v>
      </c>
      <c r="AW59" s="115">
        <v>9</v>
      </c>
      <c r="AX59" s="115">
        <v>2</v>
      </c>
      <c r="AY59" s="115">
        <v>2</v>
      </c>
      <c r="AZ59" s="115">
        <v>13</v>
      </c>
      <c r="BA59" s="115">
        <v>3</v>
      </c>
      <c r="BB59" s="115">
        <v>4</v>
      </c>
      <c r="BC59" s="115">
        <v>8</v>
      </c>
      <c r="BD59" s="115">
        <v>2</v>
      </c>
      <c r="BE59" s="115">
        <v>14</v>
      </c>
      <c r="BF59" s="111">
        <v>0</v>
      </c>
      <c r="BG59" s="118"/>
      <c r="BH59" s="116"/>
      <c r="BI59" s="116"/>
    </row>
    <row r="60" spans="1:61" x14ac:dyDescent="0.35">
      <c r="A60" s="95">
        <v>44343</v>
      </c>
      <c r="B60" s="97">
        <v>1</v>
      </c>
      <c r="C60" s="97">
        <v>5</v>
      </c>
      <c r="D60" s="97">
        <v>37</v>
      </c>
      <c r="E60" s="97">
        <v>16</v>
      </c>
      <c r="F60" s="97">
        <v>4</v>
      </c>
      <c r="G60" s="97">
        <v>11</v>
      </c>
      <c r="H60" s="93">
        <v>21</v>
      </c>
      <c r="I60" s="93">
        <v>16</v>
      </c>
      <c r="J60" s="93">
        <v>20</v>
      </c>
      <c r="K60" s="93">
        <v>14</v>
      </c>
      <c r="L60" s="93">
        <v>20</v>
      </c>
      <c r="M60" s="93">
        <v>5</v>
      </c>
      <c r="N60" s="93">
        <v>13</v>
      </c>
      <c r="O60" s="93">
        <v>13</v>
      </c>
      <c r="P60" s="94">
        <v>1</v>
      </c>
      <c r="Q60" s="94">
        <v>1</v>
      </c>
      <c r="R60" s="94">
        <v>5</v>
      </c>
      <c r="S60" s="94">
        <v>5</v>
      </c>
      <c r="T60" s="94">
        <v>3</v>
      </c>
      <c r="U60" s="94">
        <v>2</v>
      </c>
      <c r="V60" s="94">
        <v>0</v>
      </c>
      <c r="W60" s="94">
        <v>3</v>
      </c>
      <c r="X60" s="94">
        <v>10</v>
      </c>
      <c r="Y60" s="94">
        <v>1</v>
      </c>
      <c r="Z60" s="94">
        <v>5</v>
      </c>
      <c r="AA60" s="94">
        <v>1</v>
      </c>
      <c r="AB60" s="94">
        <v>4</v>
      </c>
      <c r="AC60" s="94">
        <v>5</v>
      </c>
      <c r="AD60" s="94">
        <v>6</v>
      </c>
      <c r="AE60" s="94">
        <v>4</v>
      </c>
      <c r="AF60" s="94">
        <v>1</v>
      </c>
      <c r="AG60" s="94">
        <v>4</v>
      </c>
      <c r="AH60" s="94">
        <v>8</v>
      </c>
      <c r="AI60" s="94">
        <v>7</v>
      </c>
      <c r="AJ60" s="94">
        <v>6</v>
      </c>
      <c r="AK60" s="94">
        <v>3</v>
      </c>
      <c r="AL60" s="94">
        <v>35</v>
      </c>
      <c r="AM60" s="94">
        <v>27</v>
      </c>
      <c r="AN60" s="94">
        <v>17</v>
      </c>
      <c r="AO60" s="94">
        <v>22</v>
      </c>
      <c r="AP60" s="100">
        <v>44343</v>
      </c>
      <c r="AQ60" s="115">
        <v>18</v>
      </c>
      <c r="AR60" s="115">
        <v>16</v>
      </c>
      <c r="AS60" s="115">
        <v>2</v>
      </c>
      <c r="AT60" s="115">
        <v>10</v>
      </c>
      <c r="AU60" s="115">
        <v>3</v>
      </c>
      <c r="AV60" s="115">
        <v>15</v>
      </c>
      <c r="AW60" s="115">
        <v>8</v>
      </c>
      <c r="AX60" s="115">
        <v>7</v>
      </c>
      <c r="AY60" s="115">
        <v>10</v>
      </c>
      <c r="AZ60" s="115">
        <v>11</v>
      </c>
      <c r="BA60" s="115">
        <v>14</v>
      </c>
      <c r="BB60" s="115">
        <v>5</v>
      </c>
      <c r="BC60" s="115">
        <v>10</v>
      </c>
      <c r="BD60" s="115">
        <v>1</v>
      </c>
      <c r="BE60" s="115">
        <v>3</v>
      </c>
      <c r="BF60" s="111">
        <v>3</v>
      </c>
      <c r="BG60" s="118"/>
      <c r="BH60" s="116"/>
      <c r="BI60" s="116"/>
    </row>
    <row r="61" spans="1:61" x14ac:dyDescent="0.35">
      <c r="A61" s="95">
        <v>44344</v>
      </c>
      <c r="B61" s="97">
        <v>18</v>
      </c>
      <c r="C61" s="97">
        <v>10</v>
      </c>
      <c r="D61" s="97">
        <v>4</v>
      </c>
      <c r="E61" s="97">
        <v>8</v>
      </c>
      <c r="F61" s="97">
        <v>0</v>
      </c>
      <c r="G61" s="97">
        <v>9</v>
      </c>
      <c r="H61" s="93">
        <v>44</v>
      </c>
      <c r="I61" s="93">
        <v>16</v>
      </c>
      <c r="J61" s="93">
        <v>28</v>
      </c>
      <c r="K61" s="93">
        <v>6</v>
      </c>
      <c r="L61" s="93">
        <v>6</v>
      </c>
      <c r="M61" s="93">
        <v>16</v>
      </c>
      <c r="N61" s="93">
        <v>0</v>
      </c>
      <c r="O61" s="93">
        <v>7</v>
      </c>
      <c r="P61" s="94">
        <v>0</v>
      </c>
      <c r="Q61" s="94">
        <v>0</v>
      </c>
      <c r="R61" s="94">
        <v>0</v>
      </c>
      <c r="S61" s="94">
        <v>5</v>
      </c>
      <c r="T61" s="94">
        <v>3</v>
      </c>
      <c r="U61" s="94">
        <v>3</v>
      </c>
      <c r="V61" s="94">
        <v>5</v>
      </c>
      <c r="W61" s="94">
        <v>2</v>
      </c>
      <c r="X61" s="94">
        <v>5</v>
      </c>
      <c r="Y61" s="94">
        <v>1</v>
      </c>
      <c r="Z61" s="94">
        <v>1</v>
      </c>
      <c r="AA61" s="94">
        <v>0</v>
      </c>
      <c r="AB61" s="94">
        <v>3</v>
      </c>
      <c r="AC61" s="94">
        <v>7</v>
      </c>
      <c r="AD61" s="94">
        <v>2</v>
      </c>
      <c r="AE61" s="94">
        <v>0</v>
      </c>
      <c r="AF61" s="94">
        <v>5</v>
      </c>
      <c r="AG61" s="94">
        <v>0</v>
      </c>
      <c r="AH61" s="94">
        <v>1</v>
      </c>
      <c r="AI61" s="94">
        <v>0</v>
      </c>
      <c r="AJ61" s="94">
        <v>8</v>
      </c>
      <c r="AK61" s="94">
        <v>6</v>
      </c>
      <c r="AL61" s="94">
        <v>51</v>
      </c>
      <c r="AM61" s="94">
        <v>37</v>
      </c>
      <c r="AN61" s="94">
        <v>31</v>
      </c>
      <c r="AO61" s="94">
        <v>9</v>
      </c>
      <c r="AP61" s="100">
        <v>44344</v>
      </c>
      <c r="AQ61" s="115">
        <v>46</v>
      </c>
      <c r="AR61" s="115">
        <v>27</v>
      </c>
      <c r="AS61" s="115">
        <v>1</v>
      </c>
      <c r="AT61" s="115">
        <v>13</v>
      </c>
      <c r="AU61" s="115">
        <v>2</v>
      </c>
      <c r="AV61" s="115">
        <v>7</v>
      </c>
      <c r="AW61" s="115">
        <v>0</v>
      </c>
      <c r="AX61" s="115">
        <v>1</v>
      </c>
      <c r="AY61" s="115">
        <v>13</v>
      </c>
      <c r="AZ61" s="115">
        <v>3</v>
      </c>
      <c r="BA61" s="115">
        <v>7</v>
      </c>
      <c r="BB61" s="115">
        <v>2</v>
      </c>
      <c r="BC61" s="115">
        <v>7</v>
      </c>
      <c r="BD61" s="115">
        <v>13</v>
      </c>
      <c r="BE61" s="115">
        <v>9</v>
      </c>
      <c r="BF61" s="111">
        <v>8</v>
      </c>
      <c r="BG61" s="118"/>
      <c r="BH61" s="116"/>
      <c r="BI61" s="116"/>
    </row>
    <row r="62" spans="1:61" x14ac:dyDescent="0.35">
      <c r="A62" s="95">
        <v>44345</v>
      </c>
      <c r="B62" s="97">
        <v>11</v>
      </c>
      <c r="C62" s="97">
        <v>5</v>
      </c>
      <c r="D62" s="97">
        <v>26</v>
      </c>
      <c r="E62" s="97">
        <v>10</v>
      </c>
      <c r="F62" s="97">
        <v>11</v>
      </c>
      <c r="G62" s="97">
        <v>4</v>
      </c>
      <c r="H62" s="93">
        <v>2</v>
      </c>
      <c r="I62" s="93">
        <v>23</v>
      </c>
      <c r="J62" s="93">
        <v>3</v>
      </c>
      <c r="K62" s="93">
        <v>18</v>
      </c>
      <c r="L62" s="93">
        <v>25</v>
      </c>
      <c r="M62" s="93">
        <v>13</v>
      </c>
      <c r="N62" s="93">
        <v>17</v>
      </c>
      <c r="O62" s="93">
        <v>14</v>
      </c>
      <c r="P62" s="94">
        <v>1</v>
      </c>
      <c r="Q62" s="94">
        <v>2</v>
      </c>
      <c r="R62" s="94">
        <v>0</v>
      </c>
      <c r="S62" s="94">
        <v>3</v>
      </c>
      <c r="T62" s="94">
        <v>2</v>
      </c>
      <c r="U62" s="94">
        <v>3</v>
      </c>
      <c r="V62" s="94">
        <v>2</v>
      </c>
      <c r="W62" s="94">
        <v>2</v>
      </c>
      <c r="X62" s="94">
        <v>7</v>
      </c>
      <c r="Y62" s="94">
        <v>7</v>
      </c>
      <c r="Z62" s="94">
        <v>4</v>
      </c>
      <c r="AA62" s="94">
        <v>0</v>
      </c>
      <c r="AB62" s="94">
        <v>0</v>
      </c>
      <c r="AC62" s="94">
        <v>2</v>
      </c>
      <c r="AD62" s="94">
        <v>1</v>
      </c>
      <c r="AE62" s="94">
        <v>7</v>
      </c>
      <c r="AF62" s="94">
        <v>3</v>
      </c>
      <c r="AG62" s="94">
        <v>2</v>
      </c>
      <c r="AH62" s="94">
        <v>4</v>
      </c>
      <c r="AI62" s="94">
        <v>2</v>
      </c>
      <c r="AJ62" s="94">
        <v>8</v>
      </c>
      <c r="AK62" s="94">
        <v>0</v>
      </c>
      <c r="AL62" s="94">
        <v>60</v>
      </c>
      <c r="AM62" s="94">
        <v>41</v>
      </c>
      <c r="AN62" s="94">
        <v>52</v>
      </c>
      <c r="AO62" s="94">
        <v>25</v>
      </c>
      <c r="AP62" s="100">
        <v>44345</v>
      </c>
      <c r="AQ62" s="115">
        <v>18</v>
      </c>
      <c r="AR62" s="115">
        <v>26</v>
      </c>
      <c r="AS62" s="115">
        <v>9</v>
      </c>
      <c r="AT62" s="115">
        <v>15</v>
      </c>
      <c r="AU62" s="115">
        <v>3</v>
      </c>
      <c r="AV62" s="115">
        <v>3</v>
      </c>
      <c r="AW62" s="115">
        <v>6</v>
      </c>
      <c r="AX62" s="115">
        <v>2</v>
      </c>
      <c r="AY62" s="115">
        <v>5</v>
      </c>
      <c r="AZ62" s="115">
        <v>12</v>
      </c>
      <c r="BA62" s="115">
        <v>7</v>
      </c>
      <c r="BB62" s="115">
        <v>5</v>
      </c>
      <c r="BC62" s="115">
        <v>12</v>
      </c>
      <c r="BD62" s="115">
        <v>11</v>
      </c>
      <c r="BE62" s="115">
        <v>4</v>
      </c>
      <c r="BF62" s="111">
        <v>14</v>
      </c>
      <c r="BG62" s="118"/>
      <c r="BH62" s="116"/>
      <c r="BI62" s="116"/>
    </row>
    <row r="63" spans="1:61" x14ac:dyDescent="0.35">
      <c r="A63" s="95">
        <v>44346</v>
      </c>
      <c r="B63" s="97">
        <v>29</v>
      </c>
      <c r="C63" s="97">
        <v>1</v>
      </c>
      <c r="D63" s="97">
        <v>34</v>
      </c>
      <c r="E63" s="97">
        <v>14</v>
      </c>
      <c r="F63" s="97">
        <v>4</v>
      </c>
      <c r="G63" s="97">
        <v>14</v>
      </c>
      <c r="H63" s="93">
        <v>3</v>
      </c>
      <c r="I63" s="93">
        <v>15</v>
      </c>
      <c r="J63" s="93">
        <v>25</v>
      </c>
      <c r="K63" s="93">
        <v>23</v>
      </c>
      <c r="L63" s="93">
        <v>12</v>
      </c>
      <c r="M63" s="93">
        <v>19</v>
      </c>
      <c r="N63" s="93">
        <v>10</v>
      </c>
      <c r="O63" s="93">
        <v>6</v>
      </c>
      <c r="P63" s="94">
        <v>3</v>
      </c>
      <c r="Q63" s="94">
        <v>1</v>
      </c>
      <c r="R63" s="94">
        <v>3</v>
      </c>
      <c r="S63" s="94">
        <v>5</v>
      </c>
      <c r="T63" s="94">
        <v>0</v>
      </c>
      <c r="U63" s="94">
        <v>0</v>
      </c>
      <c r="V63" s="94">
        <v>5</v>
      </c>
      <c r="W63" s="94">
        <v>2</v>
      </c>
      <c r="X63" s="94">
        <v>0</v>
      </c>
      <c r="Y63" s="94">
        <v>7</v>
      </c>
      <c r="Z63" s="94">
        <v>3</v>
      </c>
      <c r="AA63" s="94">
        <v>1</v>
      </c>
      <c r="AB63" s="94">
        <v>2</v>
      </c>
      <c r="AC63" s="94">
        <v>5</v>
      </c>
      <c r="AD63" s="94">
        <v>3</v>
      </c>
      <c r="AE63" s="94">
        <v>9</v>
      </c>
      <c r="AF63" s="94">
        <v>2</v>
      </c>
      <c r="AG63" s="94">
        <v>1</v>
      </c>
      <c r="AH63" s="94">
        <v>2</v>
      </c>
      <c r="AI63" s="94">
        <v>1</v>
      </c>
      <c r="AJ63" s="94">
        <v>0</v>
      </c>
      <c r="AK63" s="94">
        <v>2</v>
      </c>
      <c r="AL63" s="94">
        <v>40</v>
      </c>
      <c r="AM63" s="94">
        <v>34</v>
      </c>
      <c r="AN63" s="94">
        <v>71</v>
      </c>
      <c r="AO63" s="94">
        <v>11</v>
      </c>
      <c r="AP63" s="100">
        <v>44346</v>
      </c>
      <c r="AQ63" s="115">
        <v>44</v>
      </c>
      <c r="AR63" s="115">
        <v>29</v>
      </c>
      <c r="AS63" s="115">
        <v>0</v>
      </c>
      <c r="AT63" s="115">
        <v>15</v>
      </c>
      <c r="AU63" s="115">
        <v>2</v>
      </c>
      <c r="AV63" s="115">
        <v>11</v>
      </c>
      <c r="AW63" s="115">
        <v>7</v>
      </c>
      <c r="AX63" s="115">
        <v>0</v>
      </c>
      <c r="AY63" s="115">
        <v>4</v>
      </c>
      <c r="AZ63" s="115">
        <v>12</v>
      </c>
      <c r="BA63" s="115">
        <v>12</v>
      </c>
      <c r="BB63" s="115">
        <v>8</v>
      </c>
      <c r="BC63" s="115">
        <v>7</v>
      </c>
      <c r="BD63" s="115">
        <v>12</v>
      </c>
      <c r="BE63" s="115">
        <v>10</v>
      </c>
      <c r="BF63" s="111">
        <v>12</v>
      </c>
      <c r="BG63" s="118"/>
      <c r="BH63" s="116"/>
      <c r="BI63" s="116"/>
    </row>
    <row r="64" spans="1:61" x14ac:dyDescent="0.35">
      <c r="A64" s="95">
        <v>44347</v>
      </c>
      <c r="B64" s="97">
        <v>20</v>
      </c>
      <c r="C64" s="97">
        <v>6</v>
      </c>
      <c r="D64" s="97">
        <v>36</v>
      </c>
      <c r="E64" s="97">
        <v>30</v>
      </c>
      <c r="F64" s="97">
        <v>2</v>
      </c>
      <c r="G64" s="97">
        <v>9</v>
      </c>
      <c r="H64" s="93">
        <v>10</v>
      </c>
      <c r="I64" s="93">
        <v>14</v>
      </c>
      <c r="J64" s="93">
        <v>17</v>
      </c>
      <c r="K64" s="93">
        <v>5</v>
      </c>
      <c r="L64" s="93">
        <v>25</v>
      </c>
      <c r="M64" s="93">
        <v>18</v>
      </c>
      <c r="N64" s="93">
        <v>20</v>
      </c>
      <c r="O64" s="93">
        <v>14</v>
      </c>
      <c r="P64" s="94">
        <v>5</v>
      </c>
      <c r="Q64" s="94">
        <v>3</v>
      </c>
      <c r="R64" s="94">
        <v>5</v>
      </c>
      <c r="S64" s="94">
        <v>2</v>
      </c>
      <c r="T64" s="94">
        <v>2</v>
      </c>
      <c r="U64" s="94">
        <v>5</v>
      </c>
      <c r="V64" s="94">
        <v>4</v>
      </c>
      <c r="W64" s="94">
        <v>2</v>
      </c>
      <c r="X64" s="94">
        <v>7</v>
      </c>
      <c r="Y64" s="94">
        <v>1</v>
      </c>
      <c r="Z64" s="94">
        <v>6</v>
      </c>
      <c r="AA64" s="94">
        <v>0</v>
      </c>
      <c r="AB64" s="94">
        <v>1</v>
      </c>
      <c r="AC64" s="94">
        <v>2</v>
      </c>
      <c r="AD64" s="94">
        <v>6</v>
      </c>
      <c r="AE64" s="94">
        <v>7</v>
      </c>
      <c r="AF64" s="94">
        <v>1</v>
      </c>
      <c r="AG64" s="94">
        <v>4</v>
      </c>
      <c r="AH64" s="94">
        <v>5</v>
      </c>
      <c r="AI64" s="94">
        <v>9</v>
      </c>
      <c r="AJ64" s="94">
        <v>5</v>
      </c>
      <c r="AK64" s="94">
        <v>4</v>
      </c>
      <c r="AL64" s="94">
        <v>40</v>
      </c>
      <c r="AM64" s="94">
        <v>12</v>
      </c>
      <c r="AN64" s="94">
        <v>18</v>
      </c>
      <c r="AO64" s="94">
        <v>14</v>
      </c>
      <c r="AP64" s="100">
        <v>44347</v>
      </c>
      <c r="AQ64" s="115">
        <v>2</v>
      </c>
      <c r="AR64" s="115">
        <v>2</v>
      </c>
      <c r="AS64" s="115">
        <v>0</v>
      </c>
      <c r="AT64" s="115">
        <v>6</v>
      </c>
      <c r="AU64" s="115">
        <v>6</v>
      </c>
      <c r="AV64" s="115">
        <v>9</v>
      </c>
      <c r="AW64" s="115">
        <v>10</v>
      </c>
      <c r="AX64" s="115">
        <v>12</v>
      </c>
      <c r="AY64" s="115">
        <v>10</v>
      </c>
      <c r="AZ64" s="115">
        <v>8</v>
      </c>
      <c r="BA64" s="115">
        <v>1</v>
      </c>
      <c r="BB64" s="115">
        <v>10</v>
      </c>
      <c r="BC64" s="115">
        <v>3</v>
      </c>
      <c r="BD64" s="115">
        <v>10</v>
      </c>
      <c r="BE64" s="115">
        <v>14</v>
      </c>
      <c r="BF64" s="111">
        <v>15</v>
      </c>
      <c r="BG64" s="118"/>
      <c r="BH64" s="116"/>
      <c r="BI64" s="116"/>
    </row>
    <row r="65" spans="1:63" s="117" customFormat="1" x14ac:dyDescent="0.35">
      <c r="A65" s="109" t="s">
        <v>176</v>
      </c>
      <c r="B65" s="107">
        <f t="shared" ref="B65:AO65" si="0">SUM(B4:B64)</f>
        <v>847</v>
      </c>
      <c r="C65" s="107">
        <f t="shared" si="0"/>
        <v>419</v>
      </c>
      <c r="D65" s="107">
        <f t="shared" si="0"/>
        <v>1200</v>
      </c>
      <c r="E65" s="107">
        <f t="shared" si="0"/>
        <v>1341</v>
      </c>
      <c r="F65" s="107">
        <f t="shared" si="0"/>
        <v>356</v>
      </c>
      <c r="G65" s="107">
        <f t="shared" si="0"/>
        <v>471</v>
      </c>
      <c r="H65" s="108">
        <f t="shared" si="0"/>
        <v>1521</v>
      </c>
      <c r="I65" s="108">
        <f t="shared" si="0"/>
        <v>914</v>
      </c>
      <c r="J65" s="108">
        <f t="shared" si="0"/>
        <v>958</v>
      </c>
      <c r="K65" s="108">
        <f t="shared" si="0"/>
        <v>860</v>
      </c>
      <c r="L65" s="108">
        <f t="shared" si="0"/>
        <v>813</v>
      </c>
      <c r="M65" s="108">
        <f t="shared" si="0"/>
        <v>747</v>
      </c>
      <c r="N65" s="108">
        <f t="shared" si="0"/>
        <v>595</v>
      </c>
      <c r="O65" s="108">
        <f t="shared" si="0"/>
        <v>478</v>
      </c>
      <c r="P65" s="108">
        <f t="shared" si="0"/>
        <v>150</v>
      </c>
      <c r="Q65" s="108">
        <f t="shared" si="0"/>
        <v>223</v>
      </c>
      <c r="R65" s="108">
        <f t="shared" si="0"/>
        <v>200</v>
      </c>
      <c r="S65" s="108">
        <f t="shared" si="0"/>
        <v>157</v>
      </c>
      <c r="T65" s="108">
        <f t="shared" si="0"/>
        <v>250</v>
      </c>
      <c r="U65" s="108">
        <f t="shared" si="0"/>
        <v>150</v>
      </c>
      <c r="V65" s="108">
        <f t="shared" si="0"/>
        <v>164</v>
      </c>
      <c r="W65" s="108">
        <f t="shared" si="0"/>
        <v>100</v>
      </c>
      <c r="X65" s="108">
        <f t="shared" si="0"/>
        <v>330</v>
      </c>
      <c r="Y65" s="108">
        <f t="shared" si="0"/>
        <v>200</v>
      </c>
      <c r="Z65" s="108">
        <f t="shared" si="0"/>
        <v>250</v>
      </c>
      <c r="AA65" s="108">
        <f t="shared" si="0"/>
        <v>150</v>
      </c>
      <c r="AB65" s="108">
        <f t="shared" si="0"/>
        <v>150</v>
      </c>
      <c r="AC65" s="108">
        <f t="shared" si="0"/>
        <v>300</v>
      </c>
      <c r="AD65" s="108">
        <f t="shared" si="0"/>
        <v>200</v>
      </c>
      <c r="AE65" s="108">
        <f t="shared" si="0"/>
        <v>306</v>
      </c>
      <c r="AF65" s="108">
        <f t="shared" si="0"/>
        <v>200</v>
      </c>
      <c r="AG65" s="108">
        <f t="shared" si="0"/>
        <v>300</v>
      </c>
      <c r="AH65" s="108">
        <f t="shared" si="0"/>
        <v>244</v>
      </c>
      <c r="AI65" s="108">
        <f t="shared" si="0"/>
        <v>300</v>
      </c>
      <c r="AJ65" s="108">
        <f t="shared" si="0"/>
        <v>500</v>
      </c>
      <c r="AK65" s="108">
        <f t="shared" si="0"/>
        <v>200</v>
      </c>
      <c r="AL65" s="108">
        <f t="shared" si="0"/>
        <v>2268</v>
      </c>
      <c r="AM65" s="108">
        <f t="shared" si="0"/>
        <v>1740</v>
      </c>
      <c r="AN65" s="108">
        <f t="shared" si="0"/>
        <v>2644</v>
      </c>
      <c r="AO65" s="108">
        <f t="shared" si="0"/>
        <v>1109</v>
      </c>
      <c r="AP65" s="100"/>
      <c r="AQ65" s="108">
        <f t="shared" ref="AQ65:BF65" si="1">SUM(AQ4:AQ64)</f>
        <v>1498</v>
      </c>
      <c r="AR65" s="108">
        <f t="shared" si="1"/>
        <v>1010</v>
      </c>
      <c r="AS65" s="108">
        <f t="shared" si="1"/>
        <v>472</v>
      </c>
      <c r="AT65" s="108">
        <f t="shared" si="1"/>
        <v>640</v>
      </c>
      <c r="AU65" s="108">
        <f t="shared" si="1"/>
        <v>350</v>
      </c>
      <c r="AV65" s="108">
        <f t="shared" si="1"/>
        <v>425</v>
      </c>
      <c r="AW65" s="108">
        <f t="shared" si="1"/>
        <v>346</v>
      </c>
      <c r="AX65" s="108">
        <f t="shared" si="1"/>
        <v>441</v>
      </c>
      <c r="AY65" s="108">
        <f t="shared" si="1"/>
        <v>400</v>
      </c>
      <c r="AZ65" s="108">
        <f t="shared" si="1"/>
        <v>436</v>
      </c>
      <c r="BA65" s="108">
        <f t="shared" si="1"/>
        <v>445</v>
      </c>
      <c r="BB65" s="108">
        <f t="shared" si="1"/>
        <v>414</v>
      </c>
      <c r="BC65" s="108">
        <f t="shared" si="1"/>
        <v>400</v>
      </c>
      <c r="BD65" s="108">
        <f t="shared" si="1"/>
        <v>400</v>
      </c>
      <c r="BE65" s="108">
        <f t="shared" si="1"/>
        <v>450</v>
      </c>
      <c r="BF65" s="108">
        <f t="shared" si="1"/>
        <v>495</v>
      </c>
      <c r="BG65" s="108"/>
      <c r="BH65" s="110"/>
      <c r="BI65" s="110"/>
    </row>
    <row r="66" spans="1:63" s="106" customFormat="1" ht="28" customHeight="1" x14ac:dyDescent="0.35">
      <c r="A66" s="109" t="s">
        <v>183</v>
      </c>
      <c r="B66" s="107">
        <f>AVERAGE(B4:B64)</f>
        <v>13.885245901639344</v>
      </c>
      <c r="C66" s="107">
        <f t="shared" ref="C66:AO66" si="2">AVERAGE(C4:C64)</f>
        <v>6.8688524590163933</v>
      </c>
      <c r="D66" s="107">
        <f t="shared" si="2"/>
        <v>19.672131147540984</v>
      </c>
      <c r="E66" s="107">
        <f t="shared" si="2"/>
        <v>21.983606557377048</v>
      </c>
      <c r="F66" s="107">
        <f t="shared" si="2"/>
        <v>5.8360655737704921</v>
      </c>
      <c r="G66" s="107">
        <f t="shared" si="2"/>
        <v>7.721311475409836</v>
      </c>
      <c r="H66" s="107">
        <f t="shared" si="2"/>
        <v>24.934426229508198</v>
      </c>
      <c r="I66" s="107">
        <f t="shared" si="2"/>
        <v>14.983606557377049</v>
      </c>
      <c r="J66" s="107">
        <f t="shared" si="2"/>
        <v>15.704918032786885</v>
      </c>
      <c r="K66" s="107">
        <f t="shared" si="2"/>
        <v>14.098360655737705</v>
      </c>
      <c r="L66" s="107">
        <f t="shared" si="2"/>
        <v>13.327868852459016</v>
      </c>
      <c r="M66" s="107">
        <f t="shared" si="2"/>
        <v>12.245901639344263</v>
      </c>
      <c r="N66" s="107">
        <f t="shared" si="2"/>
        <v>9.7540983606557372</v>
      </c>
      <c r="O66" s="107">
        <f t="shared" si="2"/>
        <v>7.8360655737704921</v>
      </c>
      <c r="P66" s="107">
        <f t="shared" si="2"/>
        <v>2.459016393442623</v>
      </c>
      <c r="Q66" s="107">
        <f t="shared" si="2"/>
        <v>3.6557377049180326</v>
      </c>
      <c r="R66" s="107">
        <f t="shared" si="2"/>
        <v>3.278688524590164</v>
      </c>
      <c r="S66" s="107">
        <f t="shared" si="2"/>
        <v>2.5737704918032787</v>
      </c>
      <c r="T66" s="107">
        <f t="shared" si="2"/>
        <v>4.0983606557377046</v>
      </c>
      <c r="U66" s="107">
        <f t="shared" si="2"/>
        <v>2.459016393442623</v>
      </c>
      <c r="V66" s="107">
        <f t="shared" si="2"/>
        <v>2.6885245901639343</v>
      </c>
      <c r="W66" s="107">
        <f t="shared" si="2"/>
        <v>1.639344262295082</v>
      </c>
      <c r="X66" s="107">
        <f t="shared" si="2"/>
        <v>5.4098360655737707</v>
      </c>
      <c r="Y66" s="107">
        <f t="shared" si="2"/>
        <v>3.278688524590164</v>
      </c>
      <c r="Z66" s="107">
        <f t="shared" si="2"/>
        <v>4.0983606557377046</v>
      </c>
      <c r="AA66" s="107">
        <f t="shared" si="2"/>
        <v>2.459016393442623</v>
      </c>
      <c r="AB66" s="107">
        <f t="shared" si="2"/>
        <v>2.459016393442623</v>
      </c>
      <c r="AC66" s="107">
        <f t="shared" si="2"/>
        <v>4.918032786885246</v>
      </c>
      <c r="AD66" s="107">
        <f t="shared" si="2"/>
        <v>3.278688524590164</v>
      </c>
      <c r="AE66" s="107">
        <f t="shared" si="2"/>
        <v>5.0163934426229506</v>
      </c>
      <c r="AF66" s="107">
        <f t="shared" si="2"/>
        <v>3.278688524590164</v>
      </c>
      <c r="AG66" s="107">
        <f t="shared" si="2"/>
        <v>4.918032786885246</v>
      </c>
      <c r="AH66" s="107">
        <f t="shared" si="2"/>
        <v>4</v>
      </c>
      <c r="AI66" s="107">
        <f t="shared" si="2"/>
        <v>4.918032786885246</v>
      </c>
      <c r="AJ66" s="107">
        <f t="shared" si="2"/>
        <v>8.1967213114754092</v>
      </c>
      <c r="AK66" s="107">
        <f t="shared" si="2"/>
        <v>3.278688524590164</v>
      </c>
      <c r="AL66" s="107">
        <f t="shared" si="2"/>
        <v>37.180327868852459</v>
      </c>
      <c r="AM66" s="107">
        <f t="shared" si="2"/>
        <v>28.524590163934427</v>
      </c>
      <c r="AN66" s="107">
        <f t="shared" si="2"/>
        <v>43.344262295081968</v>
      </c>
      <c r="AO66" s="107">
        <f t="shared" si="2"/>
        <v>18.180327868852459</v>
      </c>
      <c r="AP66" s="100"/>
      <c r="AQ66" s="118">
        <f>AVERAGE(AQ4:AQ64)</f>
        <v>24.557377049180328</v>
      </c>
      <c r="AR66" s="118">
        <f t="shared" ref="AR66:BF66" si="3">AVERAGE(AR4:AR64)</f>
        <v>16.557377049180328</v>
      </c>
      <c r="AS66" s="118">
        <f t="shared" si="3"/>
        <v>7.7377049180327866</v>
      </c>
      <c r="AT66" s="118">
        <f t="shared" si="3"/>
        <v>10.491803278688524</v>
      </c>
      <c r="AU66" s="118">
        <f t="shared" si="3"/>
        <v>5.7377049180327866</v>
      </c>
      <c r="AV66" s="118">
        <f t="shared" si="3"/>
        <v>6.9672131147540988</v>
      </c>
      <c r="AW66" s="118">
        <f t="shared" si="3"/>
        <v>5.6721311475409832</v>
      </c>
      <c r="AX66" s="118">
        <f t="shared" si="3"/>
        <v>7.2295081967213113</v>
      </c>
      <c r="AY66" s="118">
        <f t="shared" si="3"/>
        <v>6.557377049180328</v>
      </c>
      <c r="AZ66" s="118">
        <f t="shared" si="3"/>
        <v>7.1475409836065573</v>
      </c>
      <c r="BA66" s="118">
        <f t="shared" si="3"/>
        <v>7.2950819672131146</v>
      </c>
      <c r="BB66" s="118">
        <f t="shared" si="3"/>
        <v>6.7868852459016393</v>
      </c>
      <c r="BC66" s="118">
        <f t="shared" si="3"/>
        <v>6.557377049180328</v>
      </c>
      <c r="BD66" s="118">
        <f t="shared" si="3"/>
        <v>6.557377049180328</v>
      </c>
      <c r="BE66" s="118">
        <f t="shared" si="3"/>
        <v>7.3770491803278686</v>
      </c>
      <c r="BF66" s="118">
        <f t="shared" si="3"/>
        <v>8.1147540983606561</v>
      </c>
      <c r="BG66" s="118"/>
      <c r="BH66" s="203"/>
      <c r="BI66" s="203"/>
    </row>
    <row r="67" spans="1:63" x14ac:dyDescent="0.35">
      <c r="A67" s="109" t="s">
        <v>260</v>
      </c>
      <c r="B67" s="107">
        <v>100</v>
      </c>
      <c r="C67" s="107">
        <v>40</v>
      </c>
      <c r="D67" s="107">
        <v>50</v>
      </c>
      <c r="E67" s="107">
        <v>100</v>
      </c>
      <c r="F67" s="107">
        <v>30</v>
      </c>
      <c r="G67" s="107">
        <v>100</v>
      </c>
      <c r="H67" s="107">
        <v>75</v>
      </c>
      <c r="I67" s="107">
        <v>50</v>
      </c>
      <c r="J67" s="107">
        <v>80</v>
      </c>
      <c r="K67" s="107">
        <v>80</v>
      </c>
      <c r="L67" s="107">
        <v>150</v>
      </c>
      <c r="M67" s="107">
        <v>160</v>
      </c>
      <c r="N67" s="107">
        <v>80</v>
      </c>
      <c r="O67" s="107">
        <v>60</v>
      </c>
      <c r="P67" s="217">
        <v>70</v>
      </c>
      <c r="Q67" s="217">
        <v>30</v>
      </c>
      <c r="R67" s="217">
        <v>50</v>
      </c>
      <c r="S67" s="217">
        <v>20</v>
      </c>
      <c r="T67" s="217">
        <v>100</v>
      </c>
      <c r="U67" s="217">
        <v>90</v>
      </c>
      <c r="V67" s="217">
        <v>80</v>
      </c>
      <c r="W67" s="217">
        <v>80</v>
      </c>
      <c r="X67" s="217">
        <v>100</v>
      </c>
      <c r="Y67" s="217">
        <v>30</v>
      </c>
      <c r="Z67" s="217">
        <v>50</v>
      </c>
      <c r="AA67" s="217">
        <v>30</v>
      </c>
      <c r="AB67" s="217">
        <v>45</v>
      </c>
      <c r="AC67" s="217">
        <v>100</v>
      </c>
      <c r="AD67" s="217">
        <v>90</v>
      </c>
      <c r="AE67" s="217">
        <v>50</v>
      </c>
      <c r="AF67" s="217">
        <v>50</v>
      </c>
      <c r="AG67" s="217">
        <v>40</v>
      </c>
      <c r="AH67" s="217">
        <v>50</v>
      </c>
      <c r="AI67" s="217">
        <v>100</v>
      </c>
      <c r="AJ67" s="217">
        <v>120</v>
      </c>
      <c r="AK67" s="217">
        <v>40</v>
      </c>
      <c r="AL67" s="217">
        <v>20</v>
      </c>
      <c r="AM67" s="217">
        <v>30</v>
      </c>
      <c r="AN67" s="217">
        <v>33</v>
      </c>
      <c r="AO67" s="217">
        <v>10</v>
      </c>
      <c r="AP67" s="100"/>
      <c r="AQ67" s="73">
        <v>20</v>
      </c>
      <c r="AR67" s="73">
        <v>25</v>
      </c>
      <c r="AS67" s="73">
        <v>30</v>
      </c>
      <c r="AT67" s="73">
        <v>25</v>
      </c>
      <c r="AU67" s="73">
        <v>20</v>
      </c>
      <c r="AV67" s="73">
        <v>25</v>
      </c>
      <c r="AW67" s="73">
        <v>30</v>
      </c>
      <c r="AX67" s="73">
        <v>30</v>
      </c>
      <c r="AY67" s="73">
        <v>35</v>
      </c>
      <c r="AZ67" s="73">
        <v>32</v>
      </c>
      <c r="BA67" s="73">
        <v>25</v>
      </c>
      <c r="BB67" s="73">
        <v>20</v>
      </c>
      <c r="BC67" s="73">
        <v>20</v>
      </c>
      <c r="BD67" s="73">
        <v>20</v>
      </c>
      <c r="BE67" s="73">
        <v>30</v>
      </c>
      <c r="BF67" s="73">
        <v>30</v>
      </c>
      <c r="BG67" s="118"/>
      <c r="BH67" s="203"/>
      <c r="BI67" s="116"/>
    </row>
    <row r="68" spans="1:63" x14ac:dyDescent="0.35">
      <c r="A68" s="109" t="s">
        <v>232</v>
      </c>
      <c r="B68" s="107">
        <f>B65*B67</f>
        <v>84700</v>
      </c>
      <c r="C68" s="107">
        <f t="shared" ref="C68:AO68" si="4">C65*C67</f>
        <v>16760</v>
      </c>
      <c r="D68" s="107">
        <f t="shared" si="4"/>
        <v>60000</v>
      </c>
      <c r="E68" s="107">
        <f t="shared" si="4"/>
        <v>134100</v>
      </c>
      <c r="F68" s="107">
        <f t="shared" si="4"/>
        <v>10680</v>
      </c>
      <c r="G68" s="107">
        <f t="shared" si="4"/>
        <v>47100</v>
      </c>
      <c r="H68" s="107">
        <f t="shared" si="4"/>
        <v>114075</v>
      </c>
      <c r="I68" s="107">
        <f t="shared" si="4"/>
        <v>45700</v>
      </c>
      <c r="J68" s="107">
        <f t="shared" si="4"/>
        <v>76640</v>
      </c>
      <c r="K68" s="107">
        <f t="shared" si="4"/>
        <v>68800</v>
      </c>
      <c r="L68" s="107">
        <f t="shared" si="4"/>
        <v>121950</v>
      </c>
      <c r="M68" s="107">
        <f t="shared" si="4"/>
        <v>119520</v>
      </c>
      <c r="N68" s="107">
        <f t="shared" si="4"/>
        <v>47600</v>
      </c>
      <c r="O68" s="107">
        <f t="shared" si="4"/>
        <v>28680</v>
      </c>
      <c r="P68" s="107">
        <f t="shared" si="4"/>
        <v>10500</v>
      </c>
      <c r="Q68" s="107">
        <f t="shared" si="4"/>
        <v>6690</v>
      </c>
      <c r="R68" s="107">
        <f t="shared" si="4"/>
        <v>10000</v>
      </c>
      <c r="S68" s="107">
        <f t="shared" si="4"/>
        <v>3140</v>
      </c>
      <c r="T68" s="107">
        <f t="shared" si="4"/>
        <v>25000</v>
      </c>
      <c r="U68" s="107">
        <f t="shared" si="4"/>
        <v>13500</v>
      </c>
      <c r="V68" s="107">
        <f t="shared" si="4"/>
        <v>13120</v>
      </c>
      <c r="W68" s="107">
        <f t="shared" si="4"/>
        <v>8000</v>
      </c>
      <c r="X68" s="107">
        <f t="shared" si="4"/>
        <v>33000</v>
      </c>
      <c r="Y68" s="107">
        <f t="shared" si="4"/>
        <v>6000</v>
      </c>
      <c r="Z68" s="107">
        <f t="shared" si="4"/>
        <v>12500</v>
      </c>
      <c r="AA68" s="107">
        <f t="shared" si="4"/>
        <v>4500</v>
      </c>
      <c r="AB68" s="107">
        <f t="shared" si="4"/>
        <v>6750</v>
      </c>
      <c r="AC68" s="107">
        <f t="shared" si="4"/>
        <v>30000</v>
      </c>
      <c r="AD68" s="107">
        <f t="shared" si="4"/>
        <v>18000</v>
      </c>
      <c r="AE68" s="107">
        <f t="shared" si="4"/>
        <v>15300</v>
      </c>
      <c r="AF68" s="107">
        <f t="shared" si="4"/>
        <v>10000</v>
      </c>
      <c r="AG68" s="107">
        <f t="shared" si="4"/>
        <v>12000</v>
      </c>
      <c r="AH68" s="107">
        <f t="shared" si="4"/>
        <v>12200</v>
      </c>
      <c r="AI68" s="107">
        <f t="shared" si="4"/>
        <v>30000</v>
      </c>
      <c r="AJ68" s="107">
        <f t="shared" si="4"/>
        <v>60000</v>
      </c>
      <c r="AK68" s="107">
        <f t="shared" si="4"/>
        <v>8000</v>
      </c>
      <c r="AL68" s="107">
        <f t="shared" si="4"/>
        <v>45360</v>
      </c>
      <c r="AM68" s="107">
        <f t="shared" si="4"/>
        <v>52200</v>
      </c>
      <c r="AN68" s="107">
        <f t="shared" si="4"/>
        <v>87252</v>
      </c>
      <c r="AO68" s="107">
        <f t="shared" si="4"/>
        <v>11090</v>
      </c>
      <c r="AP68" s="100"/>
      <c r="AQ68" s="118">
        <f>AQ65*AQ67</f>
        <v>29960</v>
      </c>
      <c r="AR68" s="118">
        <f t="shared" ref="AR68:BF68" si="5">AR65*AR67</f>
        <v>25250</v>
      </c>
      <c r="AS68" s="118">
        <f t="shared" si="5"/>
        <v>14160</v>
      </c>
      <c r="AT68" s="118">
        <f t="shared" si="5"/>
        <v>16000</v>
      </c>
      <c r="AU68" s="118">
        <f t="shared" si="5"/>
        <v>7000</v>
      </c>
      <c r="AV68" s="118">
        <f t="shared" si="5"/>
        <v>10625</v>
      </c>
      <c r="AW68" s="118">
        <f t="shared" si="5"/>
        <v>10380</v>
      </c>
      <c r="AX68" s="118">
        <f t="shared" si="5"/>
        <v>13230</v>
      </c>
      <c r="AY68" s="118">
        <f t="shared" si="5"/>
        <v>14000</v>
      </c>
      <c r="AZ68" s="118">
        <f t="shared" si="5"/>
        <v>13952</v>
      </c>
      <c r="BA68" s="118">
        <f t="shared" si="5"/>
        <v>11125</v>
      </c>
      <c r="BB68" s="118">
        <f t="shared" si="5"/>
        <v>8280</v>
      </c>
      <c r="BC68" s="118">
        <f t="shared" si="5"/>
        <v>8000</v>
      </c>
      <c r="BD68" s="118">
        <f t="shared" si="5"/>
        <v>8000</v>
      </c>
      <c r="BE68" s="118">
        <f t="shared" si="5"/>
        <v>13500</v>
      </c>
      <c r="BF68" s="118">
        <f t="shared" si="5"/>
        <v>14850</v>
      </c>
      <c r="BG68" s="118">
        <f>SUM(Table5[[#This Row],[Column1]:[Column16]])</f>
        <v>218312</v>
      </c>
      <c r="BH68" s="203">
        <v>218312</v>
      </c>
      <c r="BI68" s="205" t="s">
        <v>261</v>
      </c>
      <c r="BK68" s="116">
        <f>SUM(Table5[[#This Row],[Column17]],BG69)</f>
        <v>1738719</v>
      </c>
    </row>
    <row r="69" spans="1:63" x14ac:dyDescent="0.35">
      <c r="A69" s="105" t="s">
        <v>180</v>
      </c>
      <c r="B69" s="101">
        <v>2</v>
      </c>
      <c r="C69" s="101">
        <v>7</v>
      </c>
      <c r="D69" s="101">
        <v>10</v>
      </c>
      <c r="E69" s="101">
        <v>33</v>
      </c>
      <c r="F69" s="101">
        <v>5</v>
      </c>
      <c r="G69" s="101">
        <v>4</v>
      </c>
      <c r="H69" s="102">
        <v>4</v>
      </c>
      <c r="I69" s="102">
        <v>9</v>
      </c>
      <c r="J69" s="102">
        <v>8</v>
      </c>
      <c r="K69" s="102">
        <v>5</v>
      </c>
      <c r="L69" s="102">
        <v>12</v>
      </c>
      <c r="M69" s="102">
        <v>2</v>
      </c>
      <c r="N69" s="102">
        <v>12</v>
      </c>
      <c r="O69" s="102">
        <v>1</v>
      </c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0">
        <v>44348</v>
      </c>
      <c r="AQ69" s="93">
        <v>41</v>
      </c>
      <c r="AR69" s="93">
        <v>30</v>
      </c>
      <c r="AS69" s="93">
        <v>10</v>
      </c>
      <c r="AT69" s="93">
        <v>15</v>
      </c>
      <c r="AU69" s="93">
        <v>5</v>
      </c>
      <c r="AV69" s="93">
        <v>8</v>
      </c>
      <c r="AW69" s="93">
        <v>0</v>
      </c>
      <c r="AX69" s="93">
        <v>2</v>
      </c>
      <c r="AY69" s="93">
        <v>1</v>
      </c>
      <c r="AZ69" s="93">
        <v>4</v>
      </c>
      <c r="BA69" s="93">
        <v>10</v>
      </c>
      <c r="BB69" s="93">
        <v>6</v>
      </c>
      <c r="BC69" s="93">
        <v>8</v>
      </c>
      <c r="BD69" s="93">
        <v>10</v>
      </c>
      <c r="BE69" s="93">
        <v>7</v>
      </c>
      <c r="BF69" s="93">
        <v>16</v>
      </c>
      <c r="BG69" s="118">
        <f>SUM(B68:AO68)</f>
        <v>1520407</v>
      </c>
      <c r="BH69" s="116">
        <v>1520407</v>
      </c>
      <c r="BI69" s="205" t="s">
        <v>262</v>
      </c>
      <c r="BK69" s="65">
        <f>BK68/2</f>
        <v>869359.5</v>
      </c>
    </row>
    <row r="70" spans="1:63" x14ac:dyDescent="0.35">
      <c r="A70" s="95">
        <v>44349</v>
      </c>
      <c r="B70" s="97">
        <v>9</v>
      </c>
      <c r="C70" s="97">
        <v>8</v>
      </c>
      <c r="D70" s="97">
        <v>17</v>
      </c>
      <c r="E70" s="97">
        <v>25</v>
      </c>
      <c r="F70" s="97">
        <v>8</v>
      </c>
      <c r="G70" s="97">
        <v>11</v>
      </c>
      <c r="H70" s="93">
        <v>46</v>
      </c>
      <c r="I70" s="93">
        <v>5</v>
      </c>
      <c r="J70" s="93">
        <v>0</v>
      </c>
      <c r="K70" s="93">
        <v>18</v>
      </c>
      <c r="L70" s="93">
        <v>2</v>
      </c>
      <c r="M70" s="93">
        <v>1</v>
      </c>
      <c r="N70" s="93">
        <v>12</v>
      </c>
      <c r="O70" s="93">
        <v>8</v>
      </c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100">
        <v>44349</v>
      </c>
      <c r="AQ70" s="93">
        <v>36</v>
      </c>
      <c r="AR70" s="93">
        <v>16</v>
      </c>
      <c r="AS70" s="93">
        <v>14</v>
      </c>
      <c r="AT70" s="93">
        <v>13</v>
      </c>
      <c r="AU70" s="93">
        <v>4</v>
      </c>
      <c r="AV70" s="93">
        <v>4</v>
      </c>
      <c r="AW70" s="93">
        <v>3</v>
      </c>
      <c r="AX70" s="93">
        <v>11</v>
      </c>
      <c r="AY70" s="93">
        <v>7</v>
      </c>
      <c r="AZ70" s="93">
        <v>7</v>
      </c>
      <c r="BA70" s="93">
        <v>10</v>
      </c>
      <c r="BB70" s="93">
        <v>0</v>
      </c>
      <c r="BC70" s="93">
        <v>4</v>
      </c>
      <c r="BD70" s="93">
        <v>3</v>
      </c>
      <c r="BE70" s="93">
        <v>4</v>
      </c>
      <c r="BF70" s="93">
        <v>15</v>
      </c>
      <c r="BG70" s="118">
        <f>BG69*95%</f>
        <v>1444386.65</v>
      </c>
      <c r="BH70" s="116">
        <v>1444386.65</v>
      </c>
      <c r="BI70" s="205" t="s">
        <v>263</v>
      </c>
      <c r="BK70" s="65">
        <v>869359.5</v>
      </c>
    </row>
    <row r="71" spans="1:63" x14ac:dyDescent="0.35">
      <c r="A71" s="95">
        <v>44350</v>
      </c>
      <c r="B71" s="97">
        <v>7</v>
      </c>
      <c r="C71" s="97">
        <v>3</v>
      </c>
      <c r="D71" s="97">
        <v>4</v>
      </c>
      <c r="E71" s="97">
        <v>12</v>
      </c>
      <c r="F71" s="97">
        <v>10</v>
      </c>
      <c r="G71" s="97">
        <v>8</v>
      </c>
      <c r="H71" s="93">
        <v>17</v>
      </c>
      <c r="I71" s="93">
        <v>10</v>
      </c>
      <c r="J71" s="93">
        <v>12</v>
      </c>
      <c r="K71" s="93">
        <v>17</v>
      </c>
      <c r="L71" s="93">
        <v>5</v>
      </c>
      <c r="M71" s="93">
        <v>11</v>
      </c>
      <c r="N71" s="93">
        <v>17</v>
      </c>
      <c r="O71" s="93">
        <v>6</v>
      </c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100">
        <v>44350</v>
      </c>
      <c r="AQ71" s="93">
        <v>1</v>
      </c>
      <c r="AR71" s="93">
        <v>0</v>
      </c>
      <c r="AS71" s="93">
        <v>9</v>
      </c>
      <c r="AT71" s="93">
        <v>4</v>
      </c>
      <c r="AU71" s="93">
        <v>4</v>
      </c>
      <c r="AV71" s="93">
        <v>15</v>
      </c>
      <c r="AW71" s="93">
        <v>3</v>
      </c>
      <c r="AX71" s="93">
        <v>2</v>
      </c>
      <c r="AY71" s="93">
        <v>10</v>
      </c>
      <c r="AZ71" s="93">
        <v>10</v>
      </c>
      <c r="BA71" s="93">
        <v>0</v>
      </c>
      <c r="BB71" s="93">
        <v>3</v>
      </c>
      <c r="BC71" s="93">
        <v>2</v>
      </c>
      <c r="BD71" s="93">
        <v>3</v>
      </c>
      <c r="BE71" s="93">
        <v>12</v>
      </c>
      <c r="BF71" s="93">
        <v>7</v>
      </c>
      <c r="BG71" s="118">
        <f>BG68*95%</f>
        <v>207396.4</v>
      </c>
      <c r="BH71" s="116">
        <v>207396.4</v>
      </c>
      <c r="BI71" s="205" t="s">
        <v>264</v>
      </c>
    </row>
    <row r="72" spans="1:63" x14ac:dyDescent="0.35">
      <c r="A72" s="95">
        <v>44351</v>
      </c>
      <c r="B72" s="97">
        <v>1</v>
      </c>
      <c r="C72" s="97">
        <v>9</v>
      </c>
      <c r="D72" s="97">
        <v>16</v>
      </c>
      <c r="E72" s="97">
        <v>30</v>
      </c>
      <c r="F72" s="97">
        <v>9</v>
      </c>
      <c r="G72" s="97">
        <v>10</v>
      </c>
      <c r="H72" s="93">
        <v>44</v>
      </c>
      <c r="I72" s="93">
        <v>12</v>
      </c>
      <c r="J72" s="93">
        <v>5</v>
      </c>
      <c r="K72" s="93">
        <v>4</v>
      </c>
      <c r="L72" s="93">
        <v>17</v>
      </c>
      <c r="M72" s="93">
        <v>15</v>
      </c>
      <c r="N72" s="93">
        <v>14</v>
      </c>
      <c r="O72" s="93">
        <v>10</v>
      </c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100">
        <v>44351</v>
      </c>
      <c r="AQ72" s="93">
        <v>3</v>
      </c>
      <c r="AR72" s="93">
        <v>22</v>
      </c>
      <c r="AS72" s="93">
        <v>6</v>
      </c>
      <c r="AT72" s="93">
        <v>12</v>
      </c>
      <c r="AU72" s="93">
        <v>0</v>
      </c>
      <c r="AV72" s="93">
        <v>12</v>
      </c>
      <c r="AW72" s="93">
        <v>3</v>
      </c>
      <c r="AX72" s="93">
        <v>12</v>
      </c>
      <c r="AY72" s="93">
        <v>3</v>
      </c>
      <c r="AZ72" s="93">
        <v>14</v>
      </c>
      <c r="BA72" s="93">
        <v>5</v>
      </c>
      <c r="BB72" s="93">
        <v>11</v>
      </c>
      <c r="BC72" s="93">
        <v>11</v>
      </c>
      <c r="BD72" s="93">
        <v>9</v>
      </c>
      <c r="BE72" s="93">
        <v>15</v>
      </c>
      <c r="BF72" s="93">
        <v>14</v>
      </c>
      <c r="BG72" s="118">
        <f>SUM(BG70,BG71)</f>
        <v>1651783.0499999998</v>
      </c>
      <c r="BH72" s="116">
        <v>1651783.0499999998</v>
      </c>
      <c r="BI72" s="205" t="s">
        <v>265</v>
      </c>
      <c r="BK72" s="65">
        <f>117633.33</f>
        <v>117633.33</v>
      </c>
    </row>
    <row r="73" spans="1:63" x14ac:dyDescent="0.35">
      <c r="A73" s="95">
        <v>44352</v>
      </c>
      <c r="B73" s="97">
        <v>7</v>
      </c>
      <c r="C73" s="97">
        <v>1</v>
      </c>
      <c r="D73" s="97">
        <v>2</v>
      </c>
      <c r="E73" s="97">
        <v>8</v>
      </c>
      <c r="F73" s="97">
        <v>6</v>
      </c>
      <c r="G73" s="97">
        <v>4</v>
      </c>
      <c r="H73" s="93">
        <v>46</v>
      </c>
      <c r="I73" s="93">
        <v>9</v>
      </c>
      <c r="J73" s="93">
        <v>8</v>
      </c>
      <c r="K73" s="93">
        <v>4</v>
      </c>
      <c r="L73" s="93">
        <v>8</v>
      </c>
      <c r="M73" s="93">
        <v>6</v>
      </c>
      <c r="N73" s="93">
        <v>15</v>
      </c>
      <c r="O73" s="93">
        <v>10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100">
        <v>44352</v>
      </c>
      <c r="AQ73" s="93">
        <v>7</v>
      </c>
      <c r="AR73" s="93">
        <v>1</v>
      </c>
      <c r="AS73" s="93">
        <v>4</v>
      </c>
      <c r="AT73" s="93">
        <v>1</v>
      </c>
      <c r="AU73" s="93">
        <v>2</v>
      </c>
      <c r="AV73" s="93">
        <v>5</v>
      </c>
      <c r="AW73" s="93">
        <v>2</v>
      </c>
      <c r="AX73" s="93">
        <v>6</v>
      </c>
      <c r="AY73" s="93">
        <v>7</v>
      </c>
      <c r="AZ73" s="93">
        <v>14</v>
      </c>
      <c r="BA73" s="93">
        <v>6</v>
      </c>
      <c r="BB73" s="93">
        <v>5</v>
      </c>
      <c r="BC73" s="93">
        <v>3</v>
      </c>
      <c r="BD73" s="93">
        <v>8</v>
      </c>
      <c r="BE73" s="93">
        <v>10</v>
      </c>
      <c r="BF73" s="93">
        <v>5</v>
      </c>
      <c r="BG73" s="118">
        <f>BG72*90%</f>
        <v>1486604.7449999999</v>
      </c>
      <c r="BH73" s="116">
        <v>1486604.7449999999</v>
      </c>
      <c r="BI73" s="205" t="s">
        <v>266</v>
      </c>
    </row>
    <row r="74" spans="1:63" x14ac:dyDescent="0.35">
      <c r="A74" s="95">
        <v>44353</v>
      </c>
      <c r="B74" s="97">
        <v>11</v>
      </c>
      <c r="C74" s="97">
        <v>1</v>
      </c>
      <c r="D74" s="97">
        <v>5</v>
      </c>
      <c r="E74" s="97">
        <v>37</v>
      </c>
      <c r="F74" s="97">
        <v>9</v>
      </c>
      <c r="G74" s="97">
        <v>12</v>
      </c>
      <c r="H74" s="93">
        <v>20</v>
      </c>
      <c r="I74" s="93">
        <v>18</v>
      </c>
      <c r="J74" s="93">
        <v>20</v>
      </c>
      <c r="K74" s="93">
        <v>8</v>
      </c>
      <c r="L74" s="93">
        <v>3</v>
      </c>
      <c r="M74" s="93">
        <v>1</v>
      </c>
      <c r="N74" s="93">
        <v>12</v>
      </c>
      <c r="O74" s="93">
        <v>9</v>
      </c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100">
        <v>44353</v>
      </c>
      <c r="AQ74" s="93">
        <v>14</v>
      </c>
      <c r="AR74" s="93">
        <v>16</v>
      </c>
      <c r="AS74" s="93">
        <v>14</v>
      </c>
      <c r="AT74" s="93">
        <v>13</v>
      </c>
      <c r="AU74" s="93">
        <v>2</v>
      </c>
      <c r="AV74" s="93">
        <v>4</v>
      </c>
      <c r="AW74" s="93">
        <v>7</v>
      </c>
      <c r="AX74" s="93">
        <v>15</v>
      </c>
      <c r="AY74" s="93">
        <v>1</v>
      </c>
      <c r="AZ74" s="93">
        <v>11</v>
      </c>
      <c r="BA74" s="93">
        <v>4</v>
      </c>
      <c r="BB74" s="93">
        <v>3</v>
      </c>
      <c r="BC74" s="93">
        <v>4</v>
      </c>
      <c r="BD74" s="93">
        <v>12</v>
      </c>
      <c r="BE74" s="93">
        <v>1</v>
      </c>
      <c r="BF74" s="93">
        <v>7</v>
      </c>
      <c r="BG74" s="118">
        <f>BG73/2</f>
        <v>743302.37249999994</v>
      </c>
      <c r="BH74" s="116">
        <v>743302.37249999994</v>
      </c>
      <c r="BI74" s="205" t="s">
        <v>267</v>
      </c>
    </row>
    <row r="75" spans="1:63" x14ac:dyDescent="0.35">
      <c r="A75" s="95">
        <v>44354</v>
      </c>
      <c r="B75" s="97">
        <v>12</v>
      </c>
      <c r="C75" s="97">
        <v>3</v>
      </c>
      <c r="D75" s="97">
        <v>7</v>
      </c>
      <c r="E75" s="97">
        <v>21</v>
      </c>
      <c r="F75" s="97">
        <v>1</v>
      </c>
      <c r="G75" s="97">
        <v>6</v>
      </c>
      <c r="H75" s="93">
        <v>34</v>
      </c>
      <c r="I75" s="93">
        <v>17</v>
      </c>
      <c r="J75" s="93">
        <v>1</v>
      </c>
      <c r="K75" s="93">
        <v>3</v>
      </c>
      <c r="L75" s="93">
        <v>6</v>
      </c>
      <c r="M75" s="93">
        <v>12</v>
      </c>
      <c r="N75" s="93">
        <v>16</v>
      </c>
      <c r="O75" s="93">
        <v>3</v>
      </c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100">
        <v>44354</v>
      </c>
      <c r="AQ75" s="93">
        <v>16</v>
      </c>
      <c r="AR75" s="93">
        <v>4</v>
      </c>
      <c r="AS75" s="93">
        <v>14</v>
      </c>
      <c r="AT75" s="93">
        <v>0</v>
      </c>
      <c r="AU75" s="93">
        <v>4</v>
      </c>
      <c r="AV75" s="93">
        <v>6</v>
      </c>
      <c r="AW75" s="93">
        <v>1</v>
      </c>
      <c r="AX75" s="93">
        <v>12</v>
      </c>
      <c r="AY75" s="93">
        <v>10</v>
      </c>
      <c r="AZ75" s="93">
        <v>2</v>
      </c>
      <c r="BA75" s="93">
        <v>15</v>
      </c>
      <c r="BB75" s="93">
        <v>2</v>
      </c>
      <c r="BC75" s="93">
        <v>7</v>
      </c>
      <c r="BD75" s="93">
        <v>2</v>
      </c>
      <c r="BE75" s="93">
        <v>10</v>
      </c>
      <c r="BF75" s="93">
        <v>6</v>
      </c>
      <c r="BG75" s="118"/>
      <c r="BH75" s="116"/>
      <c r="BI75" s="116"/>
    </row>
    <row r="76" spans="1:63" x14ac:dyDescent="0.35">
      <c r="A76" s="95">
        <v>44355</v>
      </c>
      <c r="B76" s="97">
        <v>3</v>
      </c>
      <c r="C76" s="97">
        <v>10</v>
      </c>
      <c r="D76" s="97">
        <v>15</v>
      </c>
      <c r="E76" s="97">
        <v>32</v>
      </c>
      <c r="F76" s="97">
        <v>7</v>
      </c>
      <c r="G76" s="97">
        <v>11</v>
      </c>
      <c r="H76" s="93">
        <v>8</v>
      </c>
      <c r="I76" s="93">
        <v>12</v>
      </c>
      <c r="J76" s="93">
        <v>5</v>
      </c>
      <c r="K76" s="93">
        <v>13</v>
      </c>
      <c r="L76" s="93">
        <v>14</v>
      </c>
      <c r="M76" s="93">
        <v>14</v>
      </c>
      <c r="N76" s="93">
        <v>13</v>
      </c>
      <c r="O76" s="93">
        <v>2</v>
      </c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100">
        <v>44355</v>
      </c>
      <c r="AQ76" s="93">
        <v>19</v>
      </c>
      <c r="AR76" s="93">
        <v>17</v>
      </c>
      <c r="AS76" s="93">
        <v>0</v>
      </c>
      <c r="AT76" s="93">
        <v>2</v>
      </c>
      <c r="AU76" s="93">
        <v>8</v>
      </c>
      <c r="AV76" s="93">
        <v>15</v>
      </c>
      <c r="AW76" s="93">
        <v>6</v>
      </c>
      <c r="AX76" s="93">
        <v>2</v>
      </c>
      <c r="AY76" s="93">
        <v>4</v>
      </c>
      <c r="AZ76" s="93">
        <v>8</v>
      </c>
      <c r="BA76" s="93">
        <v>0</v>
      </c>
      <c r="BB76" s="93">
        <v>2</v>
      </c>
      <c r="BC76" s="93">
        <v>0</v>
      </c>
      <c r="BD76" s="93">
        <v>12</v>
      </c>
      <c r="BE76" s="93">
        <v>8</v>
      </c>
      <c r="BF76" s="93">
        <v>9</v>
      </c>
      <c r="BG76" s="118"/>
      <c r="BH76" s="116"/>
      <c r="BI76" s="116"/>
    </row>
    <row r="77" spans="1:63" x14ac:dyDescent="0.35">
      <c r="A77" s="95">
        <v>44356</v>
      </c>
      <c r="B77" s="97">
        <v>4</v>
      </c>
      <c r="C77" s="97">
        <v>4</v>
      </c>
      <c r="D77" s="97">
        <v>15</v>
      </c>
      <c r="E77" s="97">
        <v>9</v>
      </c>
      <c r="F77" s="97">
        <v>6</v>
      </c>
      <c r="G77" s="97">
        <v>0</v>
      </c>
      <c r="H77" s="93">
        <v>4</v>
      </c>
      <c r="I77" s="93">
        <v>11</v>
      </c>
      <c r="J77" s="93">
        <v>19</v>
      </c>
      <c r="K77" s="93">
        <v>20</v>
      </c>
      <c r="L77" s="93">
        <v>3</v>
      </c>
      <c r="M77" s="93">
        <v>6</v>
      </c>
      <c r="N77" s="93">
        <v>10</v>
      </c>
      <c r="O77" s="93">
        <v>6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100">
        <v>44356</v>
      </c>
      <c r="AQ77" s="93">
        <v>18</v>
      </c>
      <c r="AR77" s="93">
        <v>21</v>
      </c>
      <c r="AS77" s="93">
        <v>8</v>
      </c>
      <c r="AT77" s="93">
        <v>0</v>
      </c>
      <c r="AU77" s="93">
        <v>4</v>
      </c>
      <c r="AV77" s="93">
        <v>13</v>
      </c>
      <c r="AW77" s="93">
        <v>8</v>
      </c>
      <c r="AX77" s="93">
        <v>4</v>
      </c>
      <c r="AY77" s="93">
        <v>7</v>
      </c>
      <c r="AZ77" s="93">
        <v>3</v>
      </c>
      <c r="BA77" s="93">
        <v>10</v>
      </c>
      <c r="BB77" s="93">
        <v>11</v>
      </c>
      <c r="BC77" s="93">
        <v>0</v>
      </c>
      <c r="BD77" s="93">
        <v>2</v>
      </c>
      <c r="BE77" s="93">
        <v>8</v>
      </c>
      <c r="BF77" s="93">
        <v>3</v>
      </c>
      <c r="BG77" s="118"/>
      <c r="BH77" s="116"/>
      <c r="BI77" s="116"/>
    </row>
    <row r="78" spans="1:63" x14ac:dyDescent="0.35">
      <c r="A78" s="95">
        <v>44357</v>
      </c>
      <c r="B78" s="97">
        <v>6</v>
      </c>
      <c r="C78" s="97">
        <v>3</v>
      </c>
      <c r="D78" s="97">
        <v>11</v>
      </c>
      <c r="E78" s="97">
        <v>3</v>
      </c>
      <c r="F78" s="97">
        <v>10</v>
      </c>
      <c r="G78" s="97">
        <v>0</v>
      </c>
      <c r="H78" s="93">
        <v>8</v>
      </c>
      <c r="I78" s="93">
        <v>10</v>
      </c>
      <c r="J78" s="93">
        <v>3</v>
      </c>
      <c r="K78" s="93">
        <v>10</v>
      </c>
      <c r="L78" s="93">
        <v>17</v>
      </c>
      <c r="M78" s="93">
        <v>12</v>
      </c>
      <c r="N78" s="93">
        <v>7</v>
      </c>
      <c r="O78" s="93">
        <v>5</v>
      </c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100">
        <v>44357</v>
      </c>
      <c r="AQ78" s="93">
        <v>21</v>
      </c>
      <c r="AR78" s="93">
        <v>15</v>
      </c>
      <c r="AS78" s="93">
        <v>14</v>
      </c>
      <c r="AT78" s="93">
        <v>12</v>
      </c>
      <c r="AU78" s="93">
        <v>8</v>
      </c>
      <c r="AV78" s="93">
        <v>13</v>
      </c>
      <c r="AW78" s="93">
        <v>9</v>
      </c>
      <c r="AX78" s="93">
        <v>14</v>
      </c>
      <c r="AY78" s="93">
        <v>5</v>
      </c>
      <c r="AZ78" s="93">
        <v>12</v>
      </c>
      <c r="BA78" s="93">
        <v>1</v>
      </c>
      <c r="BB78" s="93">
        <v>0</v>
      </c>
      <c r="BC78" s="93">
        <v>10</v>
      </c>
      <c r="BD78" s="93">
        <v>9</v>
      </c>
      <c r="BE78" s="93">
        <v>6</v>
      </c>
      <c r="BF78" s="93">
        <v>12</v>
      </c>
      <c r="BG78" s="118"/>
      <c r="BH78" s="116"/>
      <c r="BI78" s="116"/>
    </row>
    <row r="79" spans="1:63" x14ac:dyDescent="0.35">
      <c r="A79" s="95">
        <v>44358</v>
      </c>
      <c r="B79" s="97">
        <v>9</v>
      </c>
      <c r="C79" s="97">
        <v>5</v>
      </c>
      <c r="D79" s="97">
        <v>13</v>
      </c>
      <c r="E79" s="97">
        <v>3</v>
      </c>
      <c r="F79" s="97">
        <v>4</v>
      </c>
      <c r="G79" s="97">
        <v>9</v>
      </c>
      <c r="H79" s="93">
        <v>32</v>
      </c>
      <c r="I79" s="93">
        <v>5</v>
      </c>
      <c r="J79" s="93">
        <v>10</v>
      </c>
      <c r="K79" s="93">
        <v>7</v>
      </c>
      <c r="L79" s="93">
        <v>20</v>
      </c>
      <c r="M79" s="93">
        <v>11</v>
      </c>
      <c r="N79" s="93">
        <v>17</v>
      </c>
      <c r="O79" s="93">
        <v>2</v>
      </c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100">
        <v>44358</v>
      </c>
      <c r="AQ79" s="93">
        <v>12</v>
      </c>
      <c r="AR79" s="93">
        <v>2</v>
      </c>
      <c r="AS79" s="93">
        <v>1</v>
      </c>
      <c r="AT79" s="93">
        <v>15</v>
      </c>
      <c r="AU79" s="93">
        <v>10</v>
      </c>
      <c r="AV79" s="93">
        <v>10</v>
      </c>
      <c r="AW79" s="93">
        <v>0</v>
      </c>
      <c r="AX79" s="93">
        <v>3</v>
      </c>
      <c r="AY79" s="93">
        <v>4</v>
      </c>
      <c r="AZ79" s="93">
        <v>8</v>
      </c>
      <c r="BA79" s="93">
        <v>8</v>
      </c>
      <c r="BB79" s="93">
        <v>7</v>
      </c>
      <c r="BC79" s="93">
        <v>9</v>
      </c>
      <c r="BD79" s="93">
        <v>9</v>
      </c>
      <c r="BE79" s="93">
        <v>5</v>
      </c>
      <c r="BF79" s="93">
        <v>11</v>
      </c>
      <c r="BG79" s="118"/>
      <c r="BH79" s="116"/>
      <c r="BI79" s="116"/>
    </row>
    <row r="80" spans="1:63" x14ac:dyDescent="0.35">
      <c r="A80" s="95">
        <v>44359</v>
      </c>
      <c r="B80" s="97">
        <v>11</v>
      </c>
      <c r="C80" s="97">
        <v>1</v>
      </c>
      <c r="D80" s="97">
        <v>19</v>
      </c>
      <c r="E80" s="97">
        <v>31</v>
      </c>
      <c r="F80" s="97">
        <v>9</v>
      </c>
      <c r="G80" s="97">
        <v>12</v>
      </c>
      <c r="H80" s="93">
        <v>26</v>
      </c>
      <c r="I80" s="93">
        <v>0</v>
      </c>
      <c r="J80" s="93">
        <v>10</v>
      </c>
      <c r="K80" s="93">
        <v>9</v>
      </c>
      <c r="L80" s="93">
        <v>7</v>
      </c>
      <c r="M80" s="93">
        <v>3</v>
      </c>
      <c r="N80" s="93">
        <v>5</v>
      </c>
      <c r="O80" s="93">
        <v>1</v>
      </c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100">
        <v>44359</v>
      </c>
      <c r="AQ80" s="93">
        <v>19</v>
      </c>
      <c r="AR80" s="93">
        <v>8</v>
      </c>
      <c r="AS80" s="93">
        <v>3</v>
      </c>
      <c r="AT80" s="93">
        <v>8</v>
      </c>
      <c r="AU80" s="93">
        <v>8</v>
      </c>
      <c r="AV80" s="93">
        <v>6</v>
      </c>
      <c r="AW80" s="93">
        <v>6</v>
      </c>
      <c r="AX80" s="93">
        <v>8</v>
      </c>
      <c r="AY80" s="93">
        <v>10</v>
      </c>
      <c r="AZ80" s="93">
        <v>11</v>
      </c>
      <c r="BA80" s="93">
        <v>8</v>
      </c>
      <c r="BB80" s="93">
        <v>3</v>
      </c>
      <c r="BC80" s="93">
        <v>2</v>
      </c>
      <c r="BD80" s="93">
        <v>6</v>
      </c>
      <c r="BE80" s="93">
        <v>5</v>
      </c>
      <c r="BF80" s="93">
        <v>0</v>
      </c>
      <c r="BG80" s="118"/>
      <c r="BH80" s="116"/>
      <c r="BI80" s="116"/>
    </row>
    <row r="81" spans="1:61" x14ac:dyDescent="0.35">
      <c r="A81" s="95">
        <v>44360</v>
      </c>
      <c r="B81" s="97">
        <v>11</v>
      </c>
      <c r="C81" s="97">
        <v>3</v>
      </c>
      <c r="D81" s="97">
        <v>1</v>
      </c>
      <c r="E81" s="97">
        <v>39</v>
      </c>
      <c r="F81" s="97">
        <v>9</v>
      </c>
      <c r="G81" s="97">
        <v>4</v>
      </c>
      <c r="H81" s="93">
        <v>46</v>
      </c>
      <c r="I81" s="93">
        <v>13</v>
      </c>
      <c r="J81" s="93">
        <v>0</v>
      </c>
      <c r="K81" s="93">
        <v>4</v>
      </c>
      <c r="L81" s="93">
        <v>10</v>
      </c>
      <c r="M81" s="93">
        <v>4</v>
      </c>
      <c r="N81" s="93">
        <v>2</v>
      </c>
      <c r="O81" s="93">
        <v>4</v>
      </c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100">
        <v>44360</v>
      </c>
      <c r="AQ81" s="93">
        <v>34</v>
      </c>
      <c r="AR81" s="93">
        <v>16</v>
      </c>
      <c r="AS81" s="93">
        <v>6</v>
      </c>
      <c r="AT81" s="93">
        <v>14</v>
      </c>
      <c r="AU81" s="93">
        <v>4</v>
      </c>
      <c r="AV81" s="93">
        <v>11</v>
      </c>
      <c r="AW81" s="93">
        <v>8</v>
      </c>
      <c r="AX81" s="93">
        <v>7</v>
      </c>
      <c r="AY81" s="93">
        <v>10</v>
      </c>
      <c r="AZ81" s="93">
        <v>8</v>
      </c>
      <c r="BA81" s="93">
        <v>1</v>
      </c>
      <c r="BB81" s="93">
        <v>7</v>
      </c>
      <c r="BC81" s="93">
        <v>12</v>
      </c>
      <c r="BD81" s="93">
        <v>1</v>
      </c>
      <c r="BE81" s="93">
        <v>15</v>
      </c>
      <c r="BF81" s="93">
        <v>6</v>
      </c>
      <c r="BG81" s="118"/>
      <c r="BH81" s="116"/>
      <c r="BI81" s="116"/>
    </row>
    <row r="82" spans="1:61" x14ac:dyDescent="0.35">
      <c r="A82" s="95">
        <v>44361</v>
      </c>
      <c r="B82" s="97">
        <v>7</v>
      </c>
      <c r="C82" s="97">
        <v>8</v>
      </c>
      <c r="D82" s="97">
        <v>7</v>
      </c>
      <c r="E82" s="97">
        <v>29</v>
      </c>
      <c r="F82" s="97">
        <v>3</v>
      </c>
      <c r="G82" s="97">
        <v>2</v>
      </c>
      <c r="H82" s="93">
        <v>7</v>
      </c>
      <c r="I82" s="93">
        <v>14</v>
      </c>
      <c r="J82" s="93">
        <v>10</v>
      </c>
      <c r="K82" s="93">
        <v>3</v>
      </c>
      <c r="L82" s="93">
        <v>15</v>
      </c>
      <c r="M82" s="93">
        <v>14</v>
      </c>
      <c r="N82" s="93">
        <v>5</v>
      </c>
      <c r="O82" s="93">
        <v>8</v>
      </c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100">
        <v>44361</v>
      </c>
      <c r="AQ82" s="93">
        <v>4</v>
      </c>
      <c r="AR82" s="93">
        <v>26</v>
      </c>
      <c r="AS82" s="93">
        <v>0</v>
      </c>
      <c r="AT82" s="93">
        <v>12</v>
      </c>
      <c r="AU82" s="93">
        <v>7</v>
      </c>
      <c r="AV82" s="93">
        <v>0</v>
      </c>
      <c r="AW82" s="93">
        <v>2</v>
      </c>
      <c r="AX82" s="93">
        <v>9</v>
      </c>
      <c r="AY82" s="93">
        <v>2</v>
      </c>
      <c r="AZ82" s="93">
        <v>1</v>
      </c>
      <c r="BA82" s="93">
        <v>2</v>
      </c>
      <c r="BB82" s="93">
        <v>5</v>
      </c>
      <c r="BC82" s="93">
        <v>1</v>
      </c>
      <c r="BD82" s="93">
        <v>10</v>
      </c>
      <c r="BE82" s="93">
        <v>11</v>
      </c>
      <c r="BF82" s="93">
        <v>1</v>
      </c>
      <c r="BG82" s="118"/>
      <c r="BH82" s="116"/>
      <c r="BI82" s="116"/>
    </row>
    <row r="83" spans="1:61" x14ac:dyDescent="0.35">
      <c r="A83" s="95">
        <v>44362</v>
      </c>
      <c r="B83" s="97">
        <v>8</v>
      </c>
      <c r="C83" s="97">
        <v>2</v>
      </c>
      <c r="D83" s="97">
        <v>8</v>
      </c>
      <c r="E83" s="97">
        <v>24</v>
      </c>
      <c r="F83" s="97">
        <v>0</v>
      </c>
      <c r="G83" s="97">
        <v>0</v>
      </c>
      <c r="H83" s="93">
        <v>13</v>
      </c>
      <c r="I83" s="93">
        <v>9</v>
      </c>
      <c r="J83" s="93">
        <v>7</v>
      </c>
      <c r="K83" s="93">
        <v>18</v>
      </c>
      <c r="L83" s="93">
        <v>20</v>
      </c>
      <c r="M83" s="93">
        <v>11</v>
      </c>
      <c r="N83" s="93">
        <v>14</v>
      </c>
      <c r="O83" s="93">
        <v>3</v>
      </c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100">
        <v>44362</v>
      </c>
      <c r="AQ83" s="93">
        <v>43</v>
      </c>
      <c r="AR83" s="93">
        <v>9</v>
      </c>
      <c r="AS83" s="93">
        <v>6</v>
      </c>
      <c r="AT83" s="93">
        <v>3</v>
      </c>
      <c r="AU83" s="93">
        <v>2</v>
      </c>
      <c r="AV83" s="93">
        <v>12</v>
      </c>
      <c r="AW83" s="93">
        <v>2</v>
      </c>
      <c r="AX83" s="93">
        <v>1</v>
      </c>
      <c r="AY83" s="93">
        <v>3</v>
      </c>
      <c r="AZ83" s="93">
        <v>8</v>
      </c>
      <c r="BA83" s="93">
        <v>7</v>
      </c>
      <c r="BB83" s="93">
        <v>2</v>
      </c>
      <c r="BC83" s="93">
        <v>11</v>
      </c>
      <c r="BD83" s="93">
        <v>11</v>
      </c>
      <c r="BE83" s="93">
        <v>8</v>
      </c>
      <c r="BF83" s="93">
        <v>10</v>
      </c>
      <c r="BG83" s="118"/>
      <c r="BH83" s="116"/>
      <c r="BI83" s="116"/>
    </row>
    <row r="84" spans="1:61" x14ac:dyDescent="0.35">
      <c r="A84" s="95">
        <v>44363</v>
      </c>
      <c r="B84" s="97">
        <v>3</v>
      </c>
      <c r="C84" s="97">
        <v>10</v>
      </c>
      <c r="D84" s="97">
        <v>7</v>
      </c>
      <c r="E84" s="97">
        <v>13</v>
      </c>
      <c r="F84" s="97">
        <v>10</v>
      </c>
      <c r="G84" s="97">
        <v>10</v>
      </c>
      <c r="H84" s="93">
        <v>9</v>
      </c>
      <c r="I84" s="93">
        <v>10</v>
      </c>
      <c r="J84" s="93">
        <v>16</v>
      </c>
      <c r="K84" s="93">
        <v>0</v>
      </c>
      <c r="L84" s="93">
        <v>17</v>
      </c>
      <c r="M84" s="93">
        <v>5</v>
      </c>
      <c r="N84" s="93">
        <v>9</v>
      </c>
      <c r="O84" s="93">
        <v>4</v>
      </c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100">
        <v>44363</v>
      </c>
      <c r="AQ84" s="93">
        <v>26</v>
      </c>
      <c r="AR84" s="93">
        <v>5</v>
      </c>
      <c r="AS84" s="93">
        <v>13</v>
      </c>
      <c r="AT84" s="93">
        <v>5</v>
      </c>
      <c r="AU84" s="93">
        <v>9</v>
      </c>
      <c r="AV84" s="93">
        <v>10</v>
      </c>
      <c r="AW84" s="93">
        <v>13</v>
      </c>
      <c r="AX84" s="93">
        <v>11</v>
      </c>
      <c r="AY84" s="93">
        <v>12</v>
      </c>
      <c r="AZ84" s="93">
        <v>14</v>
      </c>
      <c r="BA84" s="93">
        <v>5</v>
      </c>
      <c r="BB84" s="93">
        <v>11</v>
      </c>
      <c r="BC84" s="93">
        <v>6</v>
      </c>
      <c r="BD84" s="93">
        <v>7</v>
      </c>
      <c r="BE84" s="93">
        <v>10</v>
      </c>
      <c r="BF84" s="93">
        <v>14</v>
      </c>
      <c r="BG84" s="118"/>
      <c r="BH84" s="116"/>
      <c r="BI84" s="116"/>
    </row>
    <row r="85" spans="1:61" x14ac:dyDescent="0.35">
      <c r="A85" s="95">
        <v>44364</v>
      </c>
      <c r="B85" s="97">
        <v>7</v>
      </c>
      <c r="C85" s="97">
        <v>10</v>
      </c>
      <c r="D85" s="97">
        <v>6</v>
      </c>
      <c r="E85" s="97">
        <v>3</v>
      </c>
      <c r="F85" s="97">
        <v>7</v>
      </c>
      <c r="G85" s="97">
        <v>2</v>
      </c>
      <c r="H85" s="93">
        <v>13</v>
      </c>
      <c r="I85" s="93">
        <v>18</v>
      </c>
      <c r="J85" s="93">
        <v>2</v>
      </c>
      <c r="K85" s="93">
        <v>18</v>
      </c>
      <c r="L85" s="93">
        <v>11</v>
      </c>
      <c r="M85" s="93">
        <v>13</v>
      </c>
      <c r="N85" s="93">
        <v>14</v>
      </c>
      <c r="O85" s="93">
        <v>9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100">
        <v>44364</v>
      </c>
      <c r="AQ85" s="93">
        <v>5</v>
      </c>
      <c r="AR85" s="93">
        <v>5</v>
      </c>
      <c r="AS85" s="93">
        <v>4</v>
      </c>
      <c r="AT85" s="93">
        <v>11</v>
      </c>
      <c r="AU85" s="93">
        <v>3</v>
      </c>
      <c r="AV85" s="93">
        <v>6</v>
      </c>
      <c r="AW85" s="93">
        <v>12</v>
      </c>
      <c r="AX85" s="93">
        <v>15</v>
      </c>
      <c r="AY85" s="93">
        <v>7</v>
      </c>
      <c r="AZ85" s="93">
        <v>7</v>
      </c>
      <c r="BA85" s="93">
        <v>9</v>
      </c>
      <c r="BB85" s="93">
        <v>2</v>
      </c>
      <c r="BC85" s="93">
        <v>6</v>
      </c>
      <c r="BD85" s="93">
        <v>1</v>
      </c>
      <c r="BE85" s="93">
        <v>1</v>
      </c>
      <c r="BF85" s="93">
        <v>6</v>
      </c>
      <c r="BG85" s="118"/>
      <c r="BH85" s="116"/>
      <c r="BI85" s="116"/>
    </row>
    <row r="86" spans="1:61" x14ac:dyDescent="0.35">
      <c r="A86" s="95">
        <v>44365</v>
      </c>
      <c r="B86" s="97">
        <v>13</v>
      </c>
      <c r="C86" s="97">
        <v>8</v>
      </c>
      <c r="D86" s="97">
        <v>0</v>
      </c>
      <c r="E86" s="97">
        <v>19</v>
      </c>
      <c r="F86" s="97">
        <v>0</v>
      </c>
      <c r="G86" s="97">
        <v>10</v>
      </c>
      <c r="H86" s="93">
        <v>49</v>
      </c>
      <c r="I86" s="93">
        <v>20</v>
      </c>
      <c r="J86" s="93">
        <v>10</v>
      </c>
      <c r="K86" s="93">
        <v>2</v>
      </c>
      <c r="L86" s="93">
        <v>2</v>
      </c>
      <c r="M86" s="93">
        <v>9</v>
      </c>
      <c r="N86" s="93">
        <v>2</v>
      </c>
      <c r="O86" s="93">
        <v>2</v>
      </c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100">
        <v>44365</v>
      </c>
      <c r="AQ86" s="93">
        <v>39</v>
      </c>
      <c r="AR86" s="93">
        <v>6</v>
      </c>
      <c r="AS86" s="93">
        <v>1</v>
      </c>
      <c r="AT86" s="93">
        <v>15</v>
      </c>
      <c r="AU86" s="93">
        <v>2</v>
      </c>
      <c r="AV86" s="93">
        <v>10</v>
      </c>
      <c r="AW86" s="93">
        <v>7</v>
      </c>
      <c r="AX86" s="93">
        <v>8</v>
      </c>
      <c r="AY86" s="93">
        <v>5</v>
      </c>
      <c r="AZ86" s="93">
        <v>7</v>
      </c>
      <c r="BA86" s="93">
        <v>7</v>
      </c>
      <c r="BB86" s="93">
        <v>12</v>
      </c>
      <c r="BC86" s="93">
        <v>0</v>
      </c>
      <c r="BD86" s="93">
        <v>1</v>
      </c>
      <c r="BE86" s="93">
        <v>6</v>
      </c>
      <c r="BF86" s="93">
        <v>7</v>
      </c>
      <c r="BG86" s="118"/>
      <c r="BH86" s="116"/>
      <c r="BI86" s="116"/>
    </row>
    <row r="87" spans="1:61" x14ac:dyDescent="0.35">
      <c r="A87" s="95">
        <v>44366</v>
      </c>
      <c r="B87" s="97">
        <v>12</v>
      </c>
      <c r="C87" s="97">
        <v>10</v>
      </c>
      <c r="D87" s="97">
        <v>15</v>
      </c>
      <c r="E87" s="97">
        <v>32</v>
      </c>
      <c r="F87" s="97">
        <v>2</v>
      </c>
      <c r="G87" s="97">
        <v>8</v>
      </c>
      <c r="H87" s="93">
        <v>10</v>
      </c>
      <c r="I87" s="93">
        <v>19</v>
      </c>
      <c r="J87" s="93">
        <v>15</v>
      </c>
      <c r="K87" s="93">
        <v>9</v>
      </c>
      <c r="L87" s="93">
        <v>1</v>
      </c>
      <c r="M87" s="93">
        <v>13</v>
      </c>
      <c r="N87" s="93">
        <v>15</v>
      </c>
      <c r="O87" s="93">
        <v>7</v>
      </c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100">
        <v>44366</v>
      </c>
      <c r="AQ87" s="93">
        <v>2</v>
      </c>
      <c r="AR87" s="93">
        <v>2</v>
      </c>
      <c r="AS87" s="93">
        <v>9</v>
      </c>
      <c r="AT87" s="93">
        <v>11</v>
      </c>
      <c r="AU87" s="93">
        <v>1</v>
      </c>
      <c r="AV87" s="93">
        <v>3</v>
      </c>
      <c r="AW87" s="93">
        <v>9</v>
      </c>
      <c r="AX87" s="93">
        <v>14</v>
      </c>
      <c r="AY87" s="93">
        <v>5</v>
      </c>
      <c r="AZ87" s="93">
        <v>7</v>
      </c>
      <c r="BA87" s="93">
        <v>16</v>
      </c>
      <c r="BB87" s="93">
        <v>12</v>
      </c>
      <c r="BC87" s="93">
        <v>12</v>
      </c>
      <c r="BD87" s="93">
        <v>10</v>
      </c>
      <c r="BE87" s="93">
        <v>14</v>
      </c>
      <c r="BF87" s="93">
        <v>3</v>
      </c>
      <c r="BG87" s="118"/>
      <c r="BH87" s="116"/>
      <c r="BI87" s="116"/>
    </row>
    <row r="88" spans="1:61" x14ac:dyDescent="0.35">
      <c r="A88" s="95">
        <v>44367</v>
      </c>
      <c r="B88" s="97">
        <v>13</v>
      </c>
      <c r="C88" s="97">
        <v>3</v>
      </c>
      <c r="D88" s="97">
        <v>18</v>
      </c>
      <c r="E88" s="97">
        <v>37</v>
      </c>
      <c r="F88" s="97">
        <v>5</v>
      </c>
      <c r="G88" s="97">
        <v>6</v>
      </c>
      <c r="H88" s="93">
        <v>11</v>
      </c>
      <c r="I88" s="93">
        <v>20</v>
      </c>
      <c r="J88" s="93">
        <v>7</v>
      </c>
      <c r="K88" s="93">
        <v>0</v>
      </c>
      <c r="L88" s="93">
        <v>7</v>
      </c>
      <c r="M88" s="93">
        <v>14</v>
      </c>
      <c r="N88" s="93">
        <v>1</v>
      </c>
      <c r="O88" s="93">
        <v>0</v>
      </c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100">
        <v>44367</v>
      </c>
      <c r="AQ88" s="93">
        <v>37</v>
      </c>
      <c r="AR88" s="93">
        <v>16</v>
      </c>
      <c r="AS88" s="93">
        <v>8</v>
      </c>
      <c r="AT88" s="93">
        <v>6</v>
      </c>
      <c r="AU88" s="93">
        <v>8</v>
      </c>
      <c r="AV88" s="93">
        <v>10</v>
      </c>
      <c r="AW88" s="93">
        <v>0</v>
      </c>
      <c r="AX88" s="93">
        <v>3</v>
      </c>
      <c r="AY88" s="93">
        <v>8</v>
      </c>
      <c r="AZ88" s="93">
        <v>14</v>
      </c>
      <c r="BA88" s="93">
        <v>9</v>
      </c>
      <c r="BB88" s="93">
        <v>2</v>
      </c>
      <c r="BC88" s="93">
        <v>10</v>
      </c>
      <c r="BD88" s="93">
        <v>9</v>
      </c>
      <c r="BE88" s="93">
        <v>0</v>
      </c>
      <c r="BF88" s="93">
        <v>16</v>
      </c>
      <c r="BG88" s="118"/>
      <c r="BH88" s="116"/>
      <c r="BI88" s="116"/>
    </row>
    <row r="89" spans="1:61" x14ac:dyDescent="0.35">
      <c r="A89" s="95">
        <v>44368</v>
      </c>
      <c r="B89" s="97">
        <v>1</v>
      </c>
      <c r="C89" s="97">
        <v>10</v>
      </c>
      <c r="D89" s="97">
        <v>13</v>
      </c>
      <c r="E89" s="97">
        <v>6</v>
      </c>
      <c r="F89" s="97">
        <v>8</v>
      </c>
      <c r="G89" s="97">
        <v>7</v>
      </c>
      <c r="H89" s="93">
        <v>15</v>
      </c>
      <c r="I89" s="93">
        <v>13</v>
      </c>
      <c r="J89" s="93">
        <v>13</v>
      </c>
      <c r="K89" s="93">
        <v>1</v>
      </c>
      <c r="L89" s="93">
        <v>18</v>
      </c>
      <c r="M89" s="93">
        <v>14</v>
      </c>
      <c r="N89" s="93">
        <v>5</v>
      </c>
      <c r="O89" s="93">
        <v>4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100">
        <v>44368</v>
      </c>
      <c r="AQ89" s="93">
        <v>4</v>
      </c>
      <c r="AR89" s="93">
        <v>20</v>
      </c>
      <c r="AS89" s="93">
        <v>3</v>
      </c>
      <c r="AT89" s="93">
        <v>2</v>
      </c>
      <c r="AU89" s="93">
        <v>9</v>
      </c>
      <c r="AV89" s="93">
        <v>14</v>
      </c>
      <c r="AW89" s="93">
        <v>4</v>
      </c>
      <c r="AX89" s="93">
        <v>14</v>
      </c>
      <c r="AY89" s="93">
        <v>0</v>
      </c>
      <c r="AZ89" s="93">
        <v>15</v>
      </c>
      <c r="BA89" s="93">
        <v>16</v>
      </c>
      <c r="BB89" s="93">
        <v>2</v>
      </c>
      <c r="BC89" s="93">
        <v>12</v>
      </c>
      <c r="BD89" s="93">
        <v>4</v>
      </c>
      <c r="BE89" s="93">
        <v>9</v>
      </c>
      <c r="BF89" s="93">
        <v>4</v>
      </c>
      <c r="BG89" s="118"/>
      <c r="BH89" s="116"/>
      <c r="BI89" s="116"/>
    </row>
    <row r="90" spans="1:61" x14ac:dyDescent="0.35">
      <c r="A90" s="95">
        <v>44369</v>
      </c>
      <c r="B90" s="97">
        <v>7</v>
      </c>
      <c r="C90" s="97">
        <v>6</v>
      </c>
      <c r="D90" s="97">
        <v>6</v>
      </c>
      <c r="E90" s="97">
        <v>12</v>
      </c>
      <c r="F90" s="97">
        <v>2</v>
      </c>
      <c r="G90" s="97">
        <v>7</v>
      </c>
      <c r="H90" s="93">
        <v>33</v>
      </c>
      <c r="I90" s="93">
        <v>14</v>
      </c>
      <c r="J90" s="93">
        <v>16</v>
      </c>
      <c r="K90" s="93">
        <v>15</v>
      </c>
      <c r="L90" s="93">
        <v>9</v>
      </c>
      <c r="M90" s="93">
        <v>0</v>
      </c>
      <c r="N90" s="93">
        <v>5</v>
      </c>
      <c r="O90" s="93">
        <v>9</v>
      </c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100">
        <v>44369</v>
      </c>
      <c r="AQ90" s="93">
        <v>27</v>
      </c>
      <c r="AR90" s="93">
        <v>14</v>
      </c>
      <c r="AS90" s="93">
        <v>6</v>
      </c>
      <c r="AT90" s="93">
        <v>15</v>
      </c>
      <c r="AU90" s="93">
        <v>10</v>
      </c>
      <c r="AV90" s="93">
        <v>13</v>
      </c>
      <c r="AW90" s="93">
        <v>7</v>
      </c>
      <c r="AX90" s="93">
        <v>13</v>
      </c>
      <c r="AY90" s="93">
        <v>4</v>
      </c>
      <c r="AZ90" s="93">
        <v>13</v>
      </c>
      <c r="BA90" s="93">
        <v>10</v>
      </c>
      <c r="BB90" s="93">
        <v>10</v>
      </c>
      <c r="BC90" s="93">
        <v>11</v>
      </c>
      <c r="BD90" s="93">
        <v>5</v>
      </c>
      <c r="BE90" s="93">
        <v>14</v>
      </c>
      <c r="BF90" s="93">
        <v>2</v>
      </c>
      <c r="BG90" s="118"/>
      <c r="BH90" s="116"/>
      <c r="BI90" s="116"/>
    </row>
    <row r="91" spans="1:61" x14ac:dyDescent="0.35">
      <c r="A91" s="95">
        <v>44370</v>
      </c>
      <c r="B91" s="97">
        <v>5</v>
      </c>
      <c r="C91" s="97">
        <v>7</v>
      </c>
      <c r="D91" s="97">
        <v>20</v>
      </c>
      <c r="E91" s="97">
        <v>7</v>
      </c>
      <c r="F91" s="97">
        <v>5</v>
      </c>
      <c r="G91" s="97">
        <v>5</v>
      </c>
      <c r="H91" s="93">
        <v>25</v>
      </c>
      <c r="I91" s="93">
        <v>14</v>
      </c>
      <c r="J91" s="93">
        <v>9</v>
      </c>
      <c r="K91" s="93">
        <v>18</v>
      </c>
      <c r="L91" s="93">
        <v>0</v>
      </c>
      <c r="M91" s="93">
        <v>5</v>
      </c>
      <c r="N91" s="93">
        <v>15</v>
      </c>
      <c r="O91" s="93">
        <v>10</v>
      </c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100">
        <v>44370</v>
      </c>
      <c r="AQ91" s="93">
        <v>48</v>
      </c>
      <c r="AR91" s="93">
        <v>9</v>
      </c>
      <c r="AS91" s="93">
        <v>14</v>
      </c>
      <c r="AT91" s="93">
        <v>4</v>
      </c>
      <c r="AU91" s="93">
        <v>2</v>
      </c>
      <c r="AV91" s="93">
        <v>1</v>
      </c>
      <c r="AW91" s="93">
        <v>12</v>
      </c>
      <c r="AX91" s="93">
        <v>14</v>
      </c>
      <c r="AY91" s="93">
        <v>4</v>
      </c>
      <c r="AZ91" s="93">
        <v>10</v>
      </c>
      <c r="BA91" s="93">
        <v>6</v>
      </c>
      <c r="BB91" s="93">
        <v>12</v>
      </c>
      <c r="BC91" s="93">
        <v>10</v>
      </c>
      <c r="BD91" s="93">
        <v>9</v>
      </c>
      <c r="BE91" s="93">
        <v>0</v>
      </c>
      <c r="BF91" s="93">
        <v>12</v>
      </c>
      <c r="BG91" s="118"/>
      <c r="BH91" s="116"/>
      <c r="BI91" s="116"/>
    </row>
    <row r="92" spans="1:61" x14ac:dyDescent="0.35">
      <c r="A92" s="95">
        <v>44371</v>
      </c>
      <c r="B92" s="97">
        <v>12</v>
      </c>
      <c r="C92" s="97">
        <v>6</v>
      </c>
      <c r="D92" s="97">
        <v>18</v>
      </c>
      <c r="E92" s="97">
        <v>37</v>
      </c>
      <c r="F92" s="97">
        <v>4</v>
      </c>
      <c r="G92" s="97">
        <v>6</v>
      </c>
      <c r="H92" s="93">
        <v>32</v>
      </c>
      <c r="I92" s="93">
        <v>6</v>
      </c>
      <c r="J92" s="93">
        <v>16</v>
      </c>
      <c r="K92" s="93">
        <v>12</v>
      </c>
      <c r="L92" s="93">
        <v>11</v>
      </c>
      <c r="M92" s="93">
        <v>5</v>
      </c>
      <c r="N92" s="93">
        <v>15</v>
      </c>
      <c r="O92" s="93">
        <v>10</v>
      </c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100">
        <v>44371</v>
      </c>
      <c r="AQ92" s="93">
        <v>17</v>
      </c>
      <c r="AR92" s="93">
        <v>13</v>
      </c>
      <c r="AS92" s="93">
        <v>15</v>
      </c>
      <c r="AT92" s="93">
        <v>12</v>
      </c>
      <c r="AU92" s="93">
        <v>10</v>
      </c>
      <c r="AV92" s="93">
        <v>9</v>
      </c>
      <c r="AW92" s="93">
        <v>4</v>
      </c>
      <c r="AX92" s="93">
        <v>4</v>
      </c>
      <c r="AY92" s="93">
        <v>10</v>
      </c>
      <c r="AZ92" s="93">
        <v>0</v>
      </c>
      <c r="BA92" s="93">
        <v>11</v>
      </c>
      <c r="BB92" s="93">
        <v>1</v>
      </c>
      <c r="BC92" s="93">
        <v>0</v>
      </c>
      <c r="BD92" s="93">
        <v>0</v>
      </c>
      <c r="BE92" s="93">
        <v>1</v>
      </c>
      <c r="BF92" s="93">
        <v>10</v>
      </c>
      <c r="BG92" s="118"/>
      <c r="BH92" s="116"/>
      <c r="BI92" s="116"/>
    </row>
    <row r="93" spans="1:61" x14ac:dyDescent="0.35">
      <c r="A93" s="95">
        <v>44372</v>
      </c>
      <c r="B93" s="97">
        <v>5</v>
      </c>
      <c r="C93" s="97">
        <v>6</v>
      </c>
      <c r="D93" s="97">
        <v>10</v>
      </c>
      <c r="E93" s="97">
        <v>23</v>
      </c>
      <c r="F93" s="97">
        <v>5</v>
      </c>
      <c r="G93" s="97">
        <v>10</v>
      </c>
      <c r="H93" s="93">
        <v>48</v>
      </c>
      <c r="I93" s="93">
        <v>13</v>
      </c>
      <c r="J93" s="93">
        <v>9</v>
      </c>
      <c r="K93" s="93">
        <v>8</v>
      </c>
      <c r="L93" s="93">
        <v>12</v>
      </c>
      <c r="M93" s="93">
        <v>13</v>
      </c>
      <c r="N93" s="93">
        <v>6</v>
      </c>
      <c r="O93" s="93">
        <v>6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100">
        <v>44372</v>
      </c>
      <c r="AQ93" s="93">
        <v>28</v>
      </c>
      <c r="AR93" s="93">
        <v>19</v>
      </c>
      <c r="AS93" s="93">
        <v>1</v>
      </c>
      <c r="AT93" s="93">
        <v>2</v>
      </c>
      <c r="AU93" s="93">
        <v>5</v>
      </c>
      <c r="AV93" s="93">
        <v>10</v>
      </c>
      <c r="AW93" s="93">
        <v>3</v>
      </c>
      <c r="AX93" s="93">
        <v>11</v>
      </c>
      <c r="AY93" s="93">
        <v>10</v>
      </c>
      <c r="AZ93" s="93">
        <v>3</v>
      </c>
      <c r="BA93" s="93">
        <v>6</v>
      </c>
      <c r="BB93" s="93">
        <v>5</v>
      </c>
      <c r="BC93" s="93">
        <v>4</v>
      </c>
      <c r="BD93" s="93">
        <v>6</v>
      </c>
      <c r="BE93" s="93">
        <v>14</v>
      </c>
      <c r="BF93" s="93">
        <v>13</v>
      </c>
      <c r="BG93" s="118"/>
      <c r="BH93" s="116"/>
      <c r="BI93" s="116"/>
    </row>
    <row r="94" spans="1:61" x14ac:dyDescent="0.35">
      <c r="A94" s="95">
        <v>44373</v>
      </c>
      <c r="B94" s="97">
        <v>7</v>
      </c>
      <c r="C94" s="97">
        <v>5</v>
      </c>
      <c r="D94" s="97">
        <v>12</v>
      </c>
      <c r="E94" s="97">
        <v>13</v>
      </c>
      <c r="F94" s="97">
        <v>7</v>
      </c>
      <c r="G94" s="97">
        <v>0</v>
      </c>
      <c r="H94" s="93">
        <v>38</v>
      </c>
      <c r="I94" s="93">
        <v>13</v>
      </c>
      <c r="J94" s="93">
        <v>15</v>
      </c>
      <c r="K94" s="93">
        <v>16</v>
      </c>
      <c r="L94" s="93">
        <v>19</v>
      </c>
      <c r="M94" s="93">
        <v>2</v>
      </c>
      <c r="N94" s="93">
        <v>14</v>
      </c>
      <c r="O94" s="93">
        <v>5</v>
      </c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100">
        <v>44373</v>
      </c>
      <c r="AQ94" s="93">
        <v>4</v>
      </c>
      <c r="AR94" s="93">
        <v>25</v>
      </c>
      <c r="AS94" s="93">
        <v>4</v>
      </c>
      <c r="AT94" s="93">
        <v>15</v>
      </c>
      <c r="AU94" s="93">
        <v>10</v>
      </c>
      <c r="AV94" s="93">
        <v>13</v>
      </c>
      <c r="AW94" s="93">
        <v>11</v>
      </c>
      <c r="AX94" s="93">
        <v>9</v>
      </c>
      <c r="AY94" s="93">
        <v>4</v>
      </c>
      <c r="AZ94" s="93">
        <v>4</v>
      </c>
      <c r="BA94" s="93">
        <v>8</v>
      </c>
      <c r="BB94" s="93">
        <v>1</v>
      </c>
      <c r="BC94" s="93">
        <v>6</v>
      </c>
      <c r="BD94" s="93">
        <v>5</v>
      </c>
      <c r="BE94" s="93">
        <v>12</v>
      </c>
      <c r="BF94" s="93">
        <v>12</v>
      </c>
      <c r="BG94" s="118"/>
      <c r="BH94" s="116"/>
      <c r="BI94" s="116"/>
    </row>
    <row r="95" spans="1:61" x14ac:dyDescent="0.35">
      <c r="A95" s="95">
        <v>44374</v>
      </c>
      <c r="B95" s="97">
        <v>6</v>
      </c>
      <c r="C95" s="97">
        <v>6</v>
      </c>
      <c r="D95" s="97">
        <v>14</v>
      </c>
      <c r="E95" s="97">
        <v>34</v>
      </c>
      <c r="F95" s="97">
        <v>4</v>
      </c>
      <c r="G95" s="97">
        <v>10</v>
      </c>
      <c r="H95" s="93">
        <v>1</v>
      </c>
      <c r="I95" s="93">
        <v>4</v>
      </c>
      <c r="J95" s="93">
        <v>19</v>
      </c>
      <c r="K95" s="93">
        <v>20</v>
      </c>
      <c r="L95" s="93">
        <v>3</v>
      </c>
      <c r="M95" s="93">
        <v>1</v>
      </c>
      <c r="N95" s="93">
        <v>4</v>
      </c>
      <c r="O95" s="93">
        <v>3</v>
      </c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100">
        <v>44374</v>
      </c>
      <c r="AQ95" s="93">
        <v>0</v>
      </c>
      <c r="AR95" s="93">
        <v>9</v>
      </c>
      <c r="AS95" s="93">
        <v>3</v>
      </c>
      <c r="AT95" s="93">
        <v>6</v>
      </c>
      <c r="AU95" s="93">
        <v>3</v>
      </c>
      <c r="AV95" s="93">
        <v>1</v>
      </c>
      <c r="AW95" s="93">
        <v>6</v>
      </c>
      <c r="AX95" s="93">
        <v>5</v>
      </c>
      <c r="AY95" s="93">
        <v>12</v>
      </c>
      <c r="AZ95" s="93">
        <v>10</v>
      </c>
      <c r="BA95" s="93">
        <v>14</v>
      </c>
      <c r="BB95" s="93">
        <v>0</v>
      </c>
      <c r="BC95" s="93">
        <v>4</v>
      </c>
      <c r="BD95" s="93">
        <v>0</v>
      </c>
      <c r="BE95" s="93">
        <v>10</v>
      </c>
      <c r="BF95" s="93">
        <v>4</v>
      </c>
      <c r="BG95" s="118"/>
      <c r="BH95" s="116"/>
      <c r="BI95" s="116"/>
    </row>
    <row r="96" spans="1:61" s="106" customFormat="1" ht="16.5" customHeight="1" x14ac:dyDescent="0.35">
      <c r="A96" s="95">
        <v>44375</v>
      </c>
      <c r="B96" s="97">
        <v>8</v>
      </c>
      <c r="C96" s="97">
        <v>10</v>
      </c>
      <c r="D96" s="97">
        <v>19</v>
      </c>
      <c r="E96" s="97">
        <v>25</v>
      </c>
      <c r="F96" s="97">
        <v>10</v>
      </c>
      <c r="G96" s="97">
        <v>3</v>
      </c>
      <c r="H96" s="93">
        <v>16</v>
      </c>
      <c r="I96" s="93">
        <v>18</v>
      </c>
      <c r="J96" s="93">
        <v>3</v>
      </c>
      <c r="K96" s="93">
        <v>10</v>
      </c>
      <c r="L96" s="93">
        <v>5</v>
      </c>
      <c r="M96" s="93">
        <v>1</v>
      </c>
      <c r="N96" s="93">
        <v>9</v>
      </c>
      <c r="O96" s="93">
        <v>5</v>
      </c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100">
        <v>44375</v>
      </c>
      <c r="AQ96" s="93">
        <v>27</v>
      </c>
      <c r="AR96" s="93">
        <v>24</v>
      </c>
      <c r="AS96" s="93">
        <v>5</v>
      </c>
      <c r="AT96" s="93">
        <v>8</v>
      </c>
      <c r="AU96" s="93">
        <v>4</v>
      </c>
      <c r="AV96" s="93">
        <v>9</v>
      </c>
      <c r="AW96" s="93">
        <v>0</v>
      </c>
      <c r="AX96" s="93">
        <v>9</v>
      </c>
      <c r="AY96" s="93">
        <v>10</v>
      </c>
      <c r="AZ96" s="93">
        <v>15</v>
      </c>
      <c r="BA96" s="93">
        <v>16</v>
      </c>
      <c r="BB96" s="93">
        <v>11</v>
      </c>
      <c r="BC96" s="93">
        <v>2</v>
      </c>
      <c r="BD96" s="93">
        <v>3</v>
      </c>
      <c r="BE96" s="93">
        <v>4</v>
      </c>
      <c r="BF96" s="93">
        <v>13</v>
      </c>
      <c r="BG96" s="118"/>
      <c r="BH96" s="116"/>
      <c r="BI96" s="203"/>
    </row>
    <row r="97" spans="1:61" x14ac:dyDescent="0.35">
      <c r="A97" s="95">
        <v>44376</v>
      </c>
      <c r="B97" s="97">
        <v>8</v>
      </c>
      <c r="C97" s="97">
        <v>10</v>
      </c>
      <c r="D97" s="97">
        <v>8</v>
      </c>
      <c r="E97" s="97">
        <v>19</v>
      </c>
      <c r="F97" s="97">
        <v>4</v>
      </c>
      <c r="G97" s="97">
        <v>11</v>
      </c>
      <c r="H97" s="93">
        <v>18</v>
      </c>
      <c r="I97" s="93">
        <v>6</v>
      </c>
      <c r="J97" s="93">
        <v>17</v>
      </c>
      <c r="K97" s="93">
        <v>5</v>
      </c>
      <c r="L97" s="93">
        <v>20</v>
      </c>
      <c r="M97" s="93">
        <v>3</v>
      </c>
      <c r="N97" s="93">
        <v>13</v>
      </c>
      <c r="O97" s="93">
        <v>1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100">
        <v>44376</v>
      </c>
      <c r="AQ97" s="93">
        <v>25</v>
      </c>
      <c r="AR97" s="93">
        <v>3</v>
      </c>
      <c r="AS97" s="93">
        <v>13</v>
      </c>
      <c r="AT97" s="93">
        <v>1</v>
      </c>
      <c r="AU97" s="93">
        <v>5</v>
      </c>
      <c r="AV97" s="93">
        <v>14</v>
      </c>
      <c r="AW97" s="93">
        <v>13</v>
      </c>
      <c r="AX97" s="93">
        <v>14</v>
      </c>
      <c r="AY97" s="93">
        <v>9</v>
      </c>
      <c r="AZ97" s="93">
        <v>13</v>
      </c>
      <c r="BA97" s="93">
        <v>11</v>
      </c>
      <c r="BB97" s="93">
        <v>0</v>
      </c>
      <c r="BC97" s="93">
        <v>2</v>
      </c>
      <c r="BD97" s="93">
        <v>10</v>
      </c>
      <c r="BE97" s="93">
        <v>0</v>
      </c>
      <c r="BF97" s="93">
        <v>17</v>
      </c>
      <c r="BG97" s="118"/>
      <c r="BH97" s="116"/>
      <c r="BI97" s="116"/>
    </row>
    <row r="98" spans="1:61" x14ac:dyDescent="0.35">
      <c r="A98" s="95">
        <v>44377</v>
      </c>
      <c r="B98" s="97">
        <v>1</v>
      </c>
      <c r="C98" s="97">
        <v>0</v>
      </c>
      <c r="D98" s="97">
        <v>19</v>
      </c>
      <c r="E98" s="97">
        <v>34</v>
      </c>
      <c r="F98" s="97">
        <v>6</v>
      </c>
      <c r="G98" s="97">
        <v>0</v>
      </c>
      <c r="H98" s="93">
        <v>19</v>
      </c>
      <c r="I98" s="93">
        <v>6</v>
      </c>
      <c r="J98" s="93">
        <v>1</v>
      </c>
      <c r="K98" s="93">
        <v>13</v>
      </c>
      <c r="L98" s="93">
        <v>9</v>
      </c>
      <c r="M98" s="93">
        <v>13</v>
      </c>
      <c r="N98" s="93">
        <v>0</v>
      </c>
      <c r="O98" s="93">
        <v>9</v>
      </c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100">
        <v>44377</v>
      </c>
      <c r="AQ98" s="93">
        <v>17</v>
      </c>
      <c r="AR98" s="93">
        <v>30</v>
      </c>
      <c r="AS98" s="93">
        <v>4</v>
      </c>
      <c r="AT98" s="93">
        <v>9</v>
      </c>
      <c r="AU98" s="93">
        <v>6</v>
      </c>
      <c r="AV98" s="93">
        <v>9</v>
      </c>
      <c r="AW98" s="93">
        <v>6</v>
      </c>
      <c r="AX98" s="93">
        <v>2</v>
      </c>
      <c r="AY98" s="93">
        <v>1</v>
      </c>
      <c r="AZ98" s="93">
        <v>2</v>
      </c>
      <c r="BA98" s="93">
        <v>3</v>
      </c>
      <c r="BB98" s="93">
        <v>11</v>
      </c>
      <c r="BC98" s="93">
        <v>0</v>
      </c>
      <c r="BD98" s="93">
        <v>10</v>
      </c>
      <c r="BE98" s="93">
        <v>13</v>
      </c>
      <c r="BF98" s="93">
        <v>4</v>
      </c>
      <c r="BG98" s="118"/>
      <c r="BH98" s="203"/>
      <c r="BI98" s="116"/>
    </row>
    <row r="99" spans="1:61" x14ac:dyDescent="0.35">
      <c r="A99" s="120" t="s">
        <v>184</v>
      </c>
      <c r="B99" s="97">
        <f>SUM(B69:B98)</f>
        <v>216</v>
      </c>
      <c r="C99" s="97">
        <f t="shared" ref="C99:H99" si="6">SUM(C69:C98)</f>
        <v>175</v>
      </c>
      <c r="D99" s="97">
        <f t="shared" si="6"/>
        <v>335</v>
      </c>
      <c r="E99" s="97">
        <f t="shared" si="6"/>
        <v>650</v>
      </c>
      <c r="F99" s="97">
        <f t="shared" si="6"/>
        <v>175</v>
      </c>
      <c r="G99" s="97">
        <f t="shared" si="6"/>
        <v>188</v>
      </c>
      <c r="H99" s="97">
        <f t="shared" si="6"/>
        <v>692</v>
      </c>
      <c r="I99" s="97">
        <f t="shared" ref="I99" si="7">SUM(I69:I98)</f>
        <v>348</v>
      </c>
      <c r="J99" s="97">
        <f t="shared" ref="J99" si="8">SUM(J69:J98)</f>
        <v>286</v>
      </c>
      <c r="K99" s="97">
        <f t="shared" ref="K99" si="9">SUM(K69:K98)</f>
        <v>290</v>
      </c>
      <c r="L99" s="97">
        <f t="shared" ref="L99" si="10">SUM(L69:L98)</f>
        <v>303</v>
      </c>
      <c r="M99" s="97">
        <f t="shared" ref="M99" si="11">SUM(M69:M98)</f>
        <v>234</v>
      </c>
      <c r="N99" s="97">
        <f t="shared" ref="N99" si="12">SUM(N69:N98)</f>
        <v>298</v>
      </c>
      <c r="O99" s="97">
        <f t="shared" ref="O99" si="13">SUM(O69:O98)</f>
        <v>162</v>
      </c>
      <c r="P99" s="97">
        <f t="shared" ref="P99" si="14">SUM(P69:P98)</f>
        <v>0</v>
      </c>
      <c r="Q99" s="97">
        <f t="shared" ref="Q99" si="15">SUM(Q69:Q98)</f>
        <v>0</v>
      </c>
      <c r="R99" s="97">
        <f t="shared" ref="R99" si="16">SUM(R69:R98)</f>
        <v>0</v>
      </c>
      <c r="S99" s="97">
        <f t="shared" ref="S99" si="17">SUM(S69:S98)</f>
        <v>0</v>
      </c>
      <c r="T99" s="97">
        <f t="shared" ref="T99" si="18">SUM(T69:T98)</f>
        <v>0</v>
      </c>
      <c r="U99" s="97">
        <f t="shared" ref="U99" si="19">SUM(U69:U98)</f>
        <v>0</v>
      </c>
      <c r="V99" s="97">
        <f t="shared" ref="V99" si="20">SUM(V69:V98)</f>
        <v>0</v>
      </c>
      <c r="W99" s="97">
        <f t="shared" ref="W99" si="21">SUM(W69:W98)</f>
        <v>0</v>
      </c>
      <c r="X99" s="97">
        <f t="shared" ref="X99" si="22">SUM(X69:X98)</f>
        <v>0</v>
      </c>
      <c r="Y99" s="97">
        <f t="shared" ref="Y99" si="23">SUM(Y69:Y98)</f>
        <v>0</v>
      </c>
      <c r="Z99" s="97">
        <f t="shared" ref="Z99" si="24">SUM(Z69:Z98)</f>
        <v>0</v>
      </c>
      <c r="AA99" s="97">
        <f t="shared" ref="AA99" si="25">SUM(AA69:AA98)</f>
        <v>0</v>
      </c>
      <c r="AB99" s="97">
        <f t="shared" ref="AB99" si="26">SUM(AB69:AB98)</f>
        <v>0</v>
      </c>
      <c r="AC99" s="97">
        <f t="shared" ref="AC99" si="27">SUM(AC69:AC98)</f>
        <v>0</v>
      </c>
      <c r="AD99" s="97">
        <f t="shared" ref="AD99" si="28">SUM(AD69:AD98)</f>
        <v>0</v>
      </c>
      <c r="AE99" s="97">
        <f t="shared" ref="AE99" si="29">SUM(AE69:AE98)</f>
        <v>0</v>
      </c>
      <c r="AF99" s="97">
        <f t="shared" ref="AF99" si="30">SUM(AF69:AF98)</f>
        <v>0</v>
      </c>
      <c r="AG99" s="97">
        <f t="shared" ref="AG99" si="31">SUM(AG69:AG98)</f>
        <v>0</v>
      </c>
      <c r="AH99" s="97">
        <f t="shared" ref="AH99" si="32">SUM(AH69:AH98)</f>
        <v>0</v>
      </c>
      <c r="AI99" s="97">
        <f t="shared" ref="AI99" si="33">SUM(AI69:AI98)</f>
        <v>0</v>
      </c>
      <c r="AJ99" s="97">
        <f t="shared" ref="AJ99" si="34">SUM(AJ69:AJ98)</f>
        <v>0</v>
      </c>
      <c r="AK99" s="97">
        <f t="shared" ref="AK99" si="35">SUM(AK69:AK98)</f>
        <v>0</v>
      </c>
      <c r="AL99" s="97">
        <f t="shared" ref="AL99" si="36">SUM(AL69:AL98)</f>
        <v>0</v>
      </c>
      <c r="AM99" s="97">
        <f t="shared" ref="AM99" si="37">SUM(AM69:AM98)</f>
        <v>0</v>
      </c>
      <c r="AN99" s="97">
        <f t="shared" ref="AN99" si="38">SUM(AN69:AN98)</f>
        <v>0</v>
      </c>
      <c r="AO99" s="97">
        <f t="shared" ref="AO99" si="39">SUM(AO69:AO98)</f>
        <v>0</v>
      </c>
      <c r="AP99" s="100"/>
      <c r="AQ99" s="123">
        <f>SUM(AQ69:AQ98)</f>
        <v>594</v>
      </c>
      <c r="AR99" s="123">
        <f t="shared" ref="AR99" si="40">SUM(AR69:AR98)</f>
        <v>403</v>
      </c>
      <c r="AS99" s="123">
        <f t="shared" ref="AS99" si="41">SUM(AS69:AS98)</f>
        <v>212</v>
      </c>
      <c r="AT99" s="123">
        <f t="shared" ref="AT99" si="42">SUM(AT69:AT98)</f>
        <v>246</v>
      </c>
      <c r="AU99" s="123">
        <f t="shared" ref="AU99" si="43">SUM(AU69:AU98)</f>
        <v>159</v>
      </c>
      <c r="AV99" s="123">
        <f t="shared" ref="AV99" si="44">SUM(AV69:AV98)</f>
        <v>266</v>
      </c>
      <c r="AW99" s="123">
        <f t="shared" ref="AW99" si="45">SUM(AW69:AW98)</f>
        <v>167</v>
      </c>
      <c r="AX99" s="123">
        <f t="shared" ref="AX99" si="46">SUM(AX69:AX98)</f>
        <v>254</v>
      </c>
      <c r="AY99" s="123">
        <f t="shared" ref="AY99" si="47">SUM(AY69:AY98)</f>
        <v>185</v>
      </c>
      <c r="AZ99" s="123">
        <f t="shared" ref="AZ99" si="48">SUM(AZ69:AZ98)</f>
        <v>255</v>
      </c>
      <c r="BA99" s="123">
        <f t="shared" ref="BA99" si="49">SUM(BA69:BA98)</f>
        <v>234</v>
      </c>
      <c r="BB99" s="123">
        <f t="shared" ref="BB99" si="50">SUM(BB69:BB98)</f>
        <v>159</v>
      </c>
      <c r="BC99" s="123">
        <f t="shared" ref="BC99" si="51">SUM(BC69:BC98)</f>
        <v>169</v>
      </c>
      <c r="BD99" s="123">
        <f t="shared" ref="BD99" si="52">SUM(BD69:BD98)</f>
        <v>187</v>
      </c>
      <c r="BE99" s="123">
        <f t="shared" ref="BE99" si="53">SUM(BE69:BE98)</f>
        <v>233</v>
      </c>
      <c r="BF99" s="123">
        <f t="shared" ref="BF99" si="54">SUM(BF69:BF98)</f>
        <v>259</v>
      </c>
      <c r="BG99" s="107"/>
      <c r="BH99" s="116"/>
      <c r="BI99" s="116"/>
    </row>
    <row r="100" spans="1:61" x14ac:dyDescent="0.35">
      <c r="A100" s="120" t="s">
        <v>233</v>
      </c>
      <c r="B100" s="80">
        <v>100</v>
      </c>
      <c r="C100" s="80">
        <v>40</v>
      </c>
      <c r="D100" s="80">
        <v>50</v>
      </c>
      <c r="E100" s="80">
        <v>100</v>
      </c>
      <c r="F100" s="80">
        <v>30</v>
      </c>
      <c r="G100" s="80">
        <v>100</v>
      </c>
      <c r="H100" s="80">
        <v>75</v>
      </c>
      <c r="I100" s="80">
        <v>50</v>
      </c>
      <c r="J100" s="80">
        <v>80</v>
      </c>
      <c r="K100" s="80">
        <v>80</v>
      </c>
      <c r="L100" s="80">
        <v>150</v>
      </c>
      <c r="M100" s="80">
        <v>160</v>
      </c>
      <c r="N100" s="80">
        <v>80</v>
      </c>
      <c r="O100" s="80">
        <v>60</v>
      </c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00"/>
      <c r="AQ100" s="27">
        <v>20</v>
      </c>
      <c r="AR100" s="27">
        <v>25</v>
      </c>
      <c r="AS100" s="27">
        <v>30</v>
      </c>
      <c r="AT100" s="27">
        <v>25</v>
      </c>
      <c r="AU100" s="27">
        <v>20</v>
      </c>
      <c r="AV100" s="27">
        <v>25</v>
      </c>
      <c r="AW100" s="27">
        <v>30</v>
      </c>
      <c r="AX100" s="27">
        <v>30</v>
      </c>
      <c r="AY100" s="27">
        <v>35</v>
      </c>
      <c r="AZ100" s="27">
        <v>32</v>
      </c>
      <c r="BA100" s="27">
        <v>25</v>
      </c>
      <c r="BB100" s="27">
        <v>20</v>
      </c>
      <c r="BC100" s="27">
        <v>20</v>
      </c>
      <c r="BD100" s="27">
        <v>20</v>
      </c>
      <c r="BE100" s="27">
        <v>30</v>
      </c>
      <c r="BF100" s="27">
        <v>30</v>
      </c>
      <c r="BG100" s="118"/>
      <c r="BH100" s="116"/>
      <c r="BI100" s="116"/>
    </row>
    <row r="101" spans="1:61" x14ac:dyDescent="0.35">
      <c r="A101" s="120" t="s">
        <v>236</v>
      </c>
      <c r="B101" s="97">
        <f>B99*B100</f>
        <v>21600</v>
      </c>
      <c r="C101" s="97">
        <f t="shared" ref="C101:O101" si="55">C99*C100</f>
        <v>7000</v>
      </c>
      <c r="D101" s="97">
        <f t="shared" si="55"/>
        <v>16750</v>
      </c>
      <c r="E101" s="97">
        <f t="shared" si="55"/>
        <v>65000</v>
      </c>
      <c r="F101" s="97">
        <f t="shared" si="55"/>
        <v>5250</v>
      </c>
      <c r="G101" s="97">
        <f t="shared" si="55"/>
        <v>18800</v>
      </c>
      <c r="H101" s="97">
        <f t="shared" si="55"/>
        <v>51900</v>
      </c>
      <c r="I101" s="97">
        <f t="shared" si="55"/>
        <v>17400</v>
      </c>
      <c r="J101" s="97">
        <f t="shared" si="55"/>
        <v>22880</v>
      </c>
      <c r="K101" s="97">
        <f t="shared" si="55"/>
        <v>23200</v>
      </c>
      <c r="L101" s="97">
        <f t="shared" si="55"/>
        <v>45450</v>
      </c>
      <c r="M101" s="97">
        <f t="shared" si="55"/>
        <v>37440</v>
      </c>
      <c r="N101" s="97">
        <f t="shared" si="55"/>
        <v>23840</v>
      </c>
      <c r="O101" s="97">
        <f t="shared" si="55"/>
        <v>9720</v>
      </c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00"/>
      <c r="AQ101" s="191">
        <f>AQ99*AQ100</f>
        <v>11880</v>
      </c>
      <c r="AR101" s="191">
        <f t="shared" ref="AR101:BF101" si="56">AR99*AR100</f>
        <v>10075</v>
      </c>
      <c r="AS101" s="191">
        <f t="shared" si="56"/>
        <v>6360</v>
      </c>
      <c r="AT101" s="191">
        <f t="shared" si="56"/>
        <v>6150</v>
      </c>
      <c r="AU101" s="191">
        <f t="shared" si="56"/>
        <v>3180</v>
      </c>
      <c r="AV101" s="191">
        <f t="shared" si="56"/>
        <v>6650</v>
      </c>
      <c r="AW101" s="191">
        <f t="shared" si="56"/>
        <v>5010</v>
      </c>
      <c r="AX101" s="191">
        <f t="shared" si="56"/>
        <v>7620</v>
      </c>
      <c r="AY101" s="191">
        <f t="shared" si="56"/>
        <v>6475</v>
      </c>
      <c r="AZ101" s="191">
        <f t="shared" si="56"/>
        <v>8160</v>
      </c>
      <c r="BA101" s="191">
        <f t="shared" si="56"/>
        <v>5850</v>
      </c>
      <c r="BB101" s="191">
        <f t="shared" si="56"/>
        <v>3180</v>
      </c>
      <c r="BC101" s="191">
        <f t="shared" si="56"/>
        <v>3380</v>
      </c>
      <c r="BD101" s="191">
        <f t="shared" si="56"/>
        <v>3740</v>
      </c>
      <c r="BE101" s="191">
        <f t="shared" si="56"/>
        <v>6990</v>
      </c>
      <c r="BF101" s="191">
        <f t="shared" si="56"/>
        <v>7770</v>
      </c>
      <c r="BG101" s="107"/>
      <c r="BH101" s="116"/>
      <c r="BI101" s="116"/>
    </row>
    <row r="102" spans="1:61" ht="29" x14ac:dyDescent="0.35">
      <c r="A102" s="198" t="s">
        <v>238</v>
      </c>
      <c r="B102" s="201">
        <f>SUM(B101:O101)</f>
        <v>366230</v>
      </c>
      <c r="C102" s="192">
        <f>Table3[[#This Row],[Column2]]*95%</f>
        <v>347918.5</v>
      </c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00"/>
      <c r="AQ102" s="190">
        <f>SUM(AQ101:BF101)</f>
        <v>102470</v>
      </c>
      <c r="AR102" s="190">
        <f>Table5[[#This Row],[Column1]]*95%</f>
        <v>97346.5</v>
      </c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3" t="s">
        <v>237</v>
      </c>
      <c r="BH102" s="116"/>
      <c r="BI102" s="116"/>
    </row>
    <row r="103" spans="1:61" ht="15.5" x14ac:dyDescent="0.35">
      <c r="A103" s="104" t="s">
        <v>179</v>
      </c>
      <c r="B103" s="101">
        <v>5</v>
      </c>
      <c r="C103" s="101">
        <v>8</v>
      </c>
      <c r="D103" s="101">
        <v>4</v>
      </c>
      <c r="E103" s="101">
        <v>6</v>
      </c>
      <c r="F103" s="101">
        <v>6</v>
      </c>
      <c r="G103" s="101">
        <v>4</v>
      </c>
      <c r="H103" s="102">
        <v>15</v>
      </c>
      <c r="I103" s="102">
        <v>12</v>
      </c>
      <c r="J103" s="102">
        <v>7</v>
      </c>
      <c r="K103" s="102">
        <v>2</v>
      </c>
      <c r="L103" s="102">
        <v>10</v>
      </c>
      <c r="M103" s="102">
        <v>3</v>
      </c>
      <c r="N103" s="102">
        <v>1</v>
      </c>
      <c r="O103" s="102">
        <v>1</v>
      </c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0">
        <v>44378</v>
      </c>
      <c r="AQ103" s="102">
        <v>20</v>
      </c>
      <c r="AR103" s="102">
        <v>5</v>
      </c>
      <c r="AS103" s="102">
        <v>0</v>
      </c>
      <c r="AT103" s="102">
        <v>2</v>
      </c>
      <c r="AU103" s="102">
        <v>5</v>
      </c>
      <c r="AV103" s="102">
        <v>0</v>
      </c>
      <c r="AW103" s="102">
        <v>2</v>
      </c>
      <c r="AX103" s="102">
        <v>3</v>
      </c>
      <c r="AY103" s="102">
        <v>3</v>
      </c>
      <c r="AZ103" s="102">
        <v>3</v>
      </c>
      <c r="BA103" s="102">
        <v>4</v>
      </c>
      <c r="BB103" s="102">
        <v>8</v>
      </c>
      <c r="BC103" s="102">
        <v>7</v>
      </c>
      <c r="BD103" s="102">
        <v>1</v>
      </c>
      <c r="BE103" s="102">
        <v>4</v>
      </c>
      <c r="BF103" s="102">
        <v>2</v>
      </c>
      <c r="BG103" s="197">
        <f>SUM(AQ102,B102)</f>
        <v>468700</v>
      </c>
      <c r="BH103" s="116">
        <f>Table5[[#This Row],[Column17]]+BK69</f>
        <v>1338059.5</v>
      </c>
      <c r="BI103" s="116"/>
    </row>
    <row r="104" spans="1:61" x14ac:dyDescent="0.35">
      <c r="A104" s="95">
        <v>44379</v>
      </c>
      <c r="B104" s="97">
        <v>5</v>
      </c>
      <c r="C104" s="97">
        <v>3</v>
      </c>
      <c r="D104" s="97">
        <v>10</v>
      </c>
      <c r="E104" s="97">
        <v>15</v>
      </c>
      <c r="F104" s="97">
        <v>6</v>
      </c>
      <c r="G104" s="97">
        <v>8</v>
      </c>
      <c r="H104" s="93">
        <v>20</v>
      </c>
      <c r="I104" s="93">
        <v>5</v>
      </c>
      <c r="J104" s="93">
        <v>1</v>
      </c>
      <c r="K104" s="93">
        <v>11</v>
      </c>
      <c r="L104" s="93">
        <v>0</v>
      </c>
      <c r="M104" s="93">
        <v>7</v>
      </c>
      <c r="N104" s="93">
        <v>7</v>
      </c>
      <c r="O104" s="93">
        <v>8</v>
      </c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100">
        <v>44379</v>
      </c>
      <c r="AQ104" s="121">
        <v>13</v>
      </c>
      <c r="AR104" s="93">
        <v>10</v>
      </c>
      <c r="AS104" s="93">
        <v>10</v>
      </c>
      <c r="AT104" s="93">
        <v>2</v>
      </c>
      <c r="AU104" s="93">
        <v>5</v>
      </c>
      <c r="AV104" s="93">
        <v>6</v>
      </c>
      <c r="AW104" s="93">
        <v>7</v>
      </c>
      <c r="AX104" s="93">
        <v>8</v>
      </c>
      <c r="AY104" s="93">
        <v>1</v>
      </c>
      <c r="AZ104" s="93">
        <v>9</v>
      </c>
      <c r="BA104" s="93">
        <v>0</v>
      </c>
      <c r="BB104" s="93">
        <v>5</v>
      </c>
      <c r="BC104" s="93">
        <v>3</v>
      </c>
      <c r="BD104" s="93">
        <v>8</v>
      </c>
      <c r="BE104" s="93">
        <v>10</v>
      </c>
      <c r="BF104" s="93">
        <v>4</v>
      </c>
      <c r="BG104" s="118">
        <f>SUM(AR102,C102)</f>
        <v>445265</v>
      </c>
      <c r="BH104" s="205" t="s">
        <v>251</v>
      </c>
      <c r="BI104" s="116"/>
    </row>
    <row r="105" spans="1:61" x14ac:dyDescent="0.35">
      <c r="A105" s="95">
        <v>44380</v>
      </c>
      <c r="B105" s="97">
        <v>3</v>
      </c>
      <c r="C105" s="97">
        <v>0</v>
      </c>
      <c r="D105" s="97">
        <v>2</v>
      </c>
      <c r="E105" s="97">
        <v>0</v>
      </c>
      <c r="F105" s="97">
        <v>10</v>
      </c>
      <c r="G105" s="97">
        <v>3</v>
      </c>
      <c r="H105" s="93">
        <v>9</v>
      </c>
      <c r="I105" s="93">
        <v>13</v>
      </c>
      <c r="J105" s="93">
        <v>2</v>
      </c>
      <c r="K105" s="93">
        <v>10</v>
      </c>
      <c r="L105" s="93">
        <v>13</v>
      </c>
      <c r="M105" s="93">
        <v>0</v>
      </c>
      <c r="N105" s="93">
        <v>3</v>
      </c>
      <c r="O105" s="93">
        <v>0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100">
        <v>44380</v>
      </c>
      <c r="AQ105" s="93">
        <v>13</v>
      </c>
      <c r="AR105" s="93">
        <v>1</v>
      </c>
      <c r="AS105" s="93">
        <v>0</v>
      </c>
      <c r="AT105" s="93">
        <v>3</v>
      </c>
      <c r="AU105" s="93">
        <v>3</v>
      </c>
      <c r="AV105" s="93">
        <v>5</v>
      </c>
      <c r="AW105" s="93">
        <v>2</v>
      </c>
      <c r="AX105" s="93">
        <v>9</v>
      </c>
      <c r="AY105" s="93">
        <v>0</v>
      </c>
      <c r="AZ105" s="93">
        <v>3</v>
      </c>
      <c r="BA105" s="93">
        <v>3</v>
      </c>
      <c r="BB105" s="93">
        <v>2</v>
      </c>
      <c r="BC105" s="93">
        <v>1</v>
      </c>
      <c r="BD105" s="93">
        <v>9</v>
      </c>
      <c r="BE105" s="93">
        <v>6</v>
      </c>
      <c r="BF105" s="93">
        <v>7</v>
      </c>
      <c r="BG105" s="118">
        <f>BG104*90%</f>
        <v>400738.5</v>
      </c>
      <c r="BH105" s="205" t="s">
        <v>252</v>
      </c>
      <c r="BI105" s="116"/>
    </row>
    <row r="106" spans="1:61" x14ac:dyDescent="0.35">
      <c r="A106" s="95">
        <v>44381</v>
      </c>
      <c r="B106" s="97">
        <v>10</v>
      </c>
      <c r="C106" s="97">
        <v>4</v>
      </c>
      <c r="D106" s="97">
        <v>2</v>
      </c>
      <c r="E106" s="97">
        <v>3</v>
      </c>
      <c r="F106" s="97">
        <v>1</v>
      </c>
      <c r="G106" s="97">
        <v>6</v>
      </c>
      <c r="H106" s="93">
        <v>0</v>
      </c>
      <c r="I106" s="93">
        <v>2</v>
      </c>
      <c r="J106" s="93">
        <v>2</v>
      </c>
      <c r="K106" s="93">
        <v>7</v>
      </c>
      <c r="L106" s="93">
        <v>11</v>
      </c>
      <c r="M106" s="93">
        <v>7</v>
      </c>
      <c r="N106" s="93">
        <v>9</v>
      </c>
      <c r="O106" s="93">
        <v>4</v>
      </c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100">
        <v>44381</v>
      </c>
      <c r="AQ106" s="93">
        <v>2</v>
      </c>
      <c r="AR106" s="93">
        <v>10</v>
      </c>
      <c r="AS106" s="93">
        <v>9</v>
      </c>
      <c r="AT106" s="93">
        <v>3</v>
      </c>
      <c r="AU106" s="93">
        <v>7</v>
      </c>
      <c r="AV106" s="93">
        <v>5</v>
      </c>
      <c r="AW106" s="93">
        <v>6</v>
      </c>
      <c r="AX106" s="93">
        <v>7</v>
      </c>
      <c r="AY106" s="93">
        <v>10</v>
      </c>
      <c r="AZ106" s="93">
        <v>3</v>
      </c>
      <c r="BA106" s="93">
        <v>2</v>
      </c>
      <c r="BB106" s="93">
        <v>2</v>
      </c>
      <c r="BC106" s="93">
        <v>6</v>
      </c>
      <c r="BD106" s="93">
        <v>5</v>
      </c>
      <c r="BE106" s="93">
        <v>4</v>
      </c>
      <c r="BF106" s="93">
        <v>0</v>
      </c>
      <c r="BG106" s="118"/>
      <c r="BH106" s="116"/>
      <c r="BI106" s="116"/>
    </row>
    <row r="107" spans="1:61" x14ac:dyDescent="0.35">
      <c r="A107" s="95">
        <v>44382</v>
      </c>
      <c r="B107" s="97">
        <v>6</v>
      </c>
      <c r="C107" s="97">
        <v>0</v>
      </c>
      <c r="D107" s="97">
        <v>6</v>
      </c>
      <c r="E107" s="97">
        <v>15</v>
      </c>
      <c r="F107" s="97">
        <v>5</v>
      </c>
      <c r="G107" s="97">
        <v>5</v>
      </c>
      <c r="H107" s="93">
        <v>7</v>
      </c>
      <c r="I107" s="93">
        <v>10</v>
      </c>
      <c r="J107" s="93">
        <v>9</v>
      </c>
      <c r="K107" s="93">
        <v>12</v>
      </c>
      <c r="L107" s="93">
        <v>6</v>
      </c>
      <c r="M107" s="93">
        <v>0</v>
      </c>
      <c r="N107" s="93">
        <v>14</v>
      </c>
      <c r="O107" s="93">
        <v>7</v>
      </c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100">
        <v>44382</v>
      </c>
      <c r="AQ107" s="93">
        <v>17</v>
      </c>
      <c r="AR107" s="93">
        <v>5</v>
      </c>
      <c r="AS107" s="93">
        <v>9</v>
      </c>
      <c r="AT107" s="93">
        <v>7</v>
      </c>
      <c r="AU107" s="93">
        <v>4</v>
      </c>
      <c r="AV107" s="93">
        <v>3</v>
      </c>
      <c r="AW107" s="93">
        <v>7</v>
      </c>
      <c r="AX107" s="93">
        <v>6</v>
      </c>
      <c r="AY107" s="93">
        <v>10</v>
      </c>
      <c r="AZ107" s="93">
        <v>8</v>
      </c>
      <c r="BA107" s="93">
        <v>1</v>
      </c>
      <c r="BB107" s="93">
        <v>0</v>
      </c>
      <c r="BC107" s="93">
        <v>7</v>
      </c>
      <c r="BD107" s="93">
        <v>4</v>
      </c>
      <c r="BE107" s="93">
        <v>7</v>
      </c>
      <c r="BF107" s="93">
        <v>10</v>
      </c>
      <c r="BG107" s="118"/>
      <c r="BH107" s="116"/>
      <c r="BI107" s="116"/>
    </row>
    <row r="108" spans="1:61" x14ac:dyDescent="0.35">
      <c r="A108" s="95">
        <v>44383</v>
      </c>
      <c r="B108" s="97">
        <v>7</v>
      </c>
      <c r="C108" s="97">
        <v>8</v>
      </c>
      <c r="D108" s="97">
        <v>0</v>
      </c>
      <c r="E108" s="97">
        <v>14</v>
      </c>
      <c r="F108" s="97">
        <v>4</v>
      </c>
      <c r="G108" s="97">
        <v>5</v>
      </c>
      <c r="H108" s="93">
        <v>20</v>
      </c>
      <c r="I108" s="93">
        <v>0</v>
      </c>
      <c r="J108" s="93">
        <v>9</v>
      </c>
      <c r="K108" s="93">
        <v>8</v>
      </c>
      <c r="L108" s="93">
        <v>14</v>
      </c>
      <c r="M108" s="93">
        <v>2</v>
      </c>
      <c r="N108" s="93">
        <v>4</v>
      </c>
      <c r="O108" s="93">
        <v>4</v>
      </c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100">
        <v>44383</v>
      </c>
      <c r="AQ108" s="93">
        <v>3</v>
      </c>
      <c r="AR108" s="93">
        <v>5</v>
      </c>
      <c r="AS108" s="93">
        <v>4</v>
      </c>
      <c r="AT108" s="93">
        <v>10</v>
      </c>
      <c r="AU108" s="93">
        <v>3</v>
      </c>
      <c r="AV108" s="93">
        <v>7</v>
      </c>
      <c r="AW108" s="93">
        <v>2</v>
      </c>
      <c r="AX108" s="93">
        <v>0</v>
      </c>
      <c r="AY108" s="93">
        <v>3</v>
      </c>
      <c r="AZ108" s="93">
        <v>12</v>
      </c>
      <c r="BA108" s="93">
        <v>2</v>
      </c>
      <c r="BB108" s="93">
        <v>4</v>
      </c>
      <c r="BC108" s="93">
        <v>3</v>
      </c>
      <c r="BD108" s="93">
        <v>7</v>
      </c>
      <c r="BE108" s="93">
        <v>0</v>
      </c>
      <c r="BF108" s="93">
        <v>2</v>
      </c>
      <c r="BG108" s="118"/>
      <c r="BH108" s="116"/>
      <c r="BI108" s="116"/>
    </row>
    <row r="109" spans="1:61" x14ac:dyDescent="0.35">
      <c r="A109" s="95">
        <v>44384</v>
      </c>
      <c r="B109" s="97">
        <v>6</v>
      </c>
      <c r="C109" s="97">
        <v>0</v>
      </c>
      <c r="D109" s="97">
        <v>8</v>
      </c>
      <c r="E109" s="97">
        <v>10</v>
      </c>
      <c r="F109" s="97">
        <v>7</v>
      </c>
      <c r="G109" s="97">
        <v>10</v>
      </c>
      <c r="H109" s="93">
        <v>20</v>
      </c>
      <c r="I109" s="93">
        <v>8</v>
      </c>
      <c r="J109" s="93">
        <v>12</v>
      </c>
      <c r="K109" s="93">
        <v>8</v>
      </c>
      <c r="L109" s="93">
        <v>3</v>
      </c>
      <c r="M109" s="93">
        <v>10</v>
      </c>
      <c r="N109" s="93">
        <v>10</v>
      </c>
      <c r="O109" s="93">
        <v>3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100">
        <v>44384</v>
      </c>
      <c r="AQ109" s="93">
        <v>10</v>
      </c>
      <c r="AR109" s="93">
        <v>1</v>
      </c>
      <c r="AS109" s="93">
        <v>0</v>
      </c>
      <c r="AT109" s="93">
        <v>2</v>
      </c>
      <c r="AU109" s="93">
        <v>2</v>
      </c>
      <c r="AV109" s="93">
        <v>4</v>
      </c>
      <c r="AW109" s="93">
        <v>6</v>
      </c>
      <c r="AX109" s="93">
        <v>5</v>
      </c>
      <c r="AY109" s="93">
        <v>8</v>
      </c>
      <c r="AZ109" s="93">
        <v>6</v>
      </c>
      <c r="BA109" s="93">
        <v>8</v>
      </c>
      <c r="BB109" s="93">
        <v>8</v>
      </c>
      <c r="BC109" s="93">
        <v>7</v>
      </c>
      <c r="BD109" s="93">
        <v>0</v>
      </c>
      <c r="BE109" s="93">
        <v>7</v>
      </c>
      <c r="BF109" s="93">
        <v>8</v>
      </c>
      <c r="BG109" s="118"/>
      <c r="BH109" s="116"/>
      <c r="BI109" s="116"/>
    </row>
    <row r="110" spans="1:61" x14ac:dyDescent="0.35">
      <c r="A110" s="95">
        <v>44385</v>
      </c>
      <c r="B110" s="97">
        <v>0</v>
      </c>
      <c r="C110" s="97">
        <v>6</v>
      </c>
      <c r="D110" s="97">
        <v>3</v>
      </c>
      <c r="E110" s="97">
        <v>5</v>
      </c>
      <c r="F110" s="97">
        <v>3</v>
      </c>
      <c r="G110" s="97">
        <v>7</v>
      </c>
      <c r="H110" s="93">
        <v>19</v>
      </c>
      <c r="I110" s="93">
        <v>12</v>
      </c>
      <c r="J110" s="93">
        <v>5</v>
      </c>
      <c r="K110" s="93">
        <v>10</v>
      </c>
      <c r="L110" s="93">
        <v>7</v>
      </c>
      <c r="M110" s="93">
        <v>3</v>
      </c>
      <c r="N110" s="93">
        <v>8</v>
      </c>
      <c r="O110" s="93">
        <v>8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100">
        <v>44385</v>
      </c>
      <c r="AQ110" s="93">
        <v>20</v>
      </c>
      <c r="AR110" s="93">
        <v>0</v>
      </c>
      <c r="AS110" s="93">
        <v>3</v>
      </c>
      <c r="AT110" s="93">
        <v>9</v>
      </c>
      <c r="AU110" s="93">
        <v>6</v>
      </c>
      <c r="AV110" s="93">
        <v>3</v>
      </c>
      <c r="AW110" s="93">
        <v>7</v>
      </c>
      <c r="AX110" s="93">
        <v>3</v>
      </c>
      <c r="AY110" s="93">
        <v>1</v>
      </c>
      <c r="AZ110" s="93">
        <v>4</v>
      </c>
      <c r="BA110" s="93">
        <v>10</v>
      </c>
      <c r="BB110" s="93">
        <v>1</v>
      </c>
      <c r="BC110" s="93">
        <v>2</v>
      </c>
      <c r="BD110" s="93">
        <v>5</v>
      </c>
      <c r="BE110" s="93">
        <v>2</v>
      </c>
      <c r="BF110" s="93">
        <v>3</v>
      </c>
      <c r="BG110" s="118"/>
      <c r="BH110" s="116"/>
      <c r="BI110" s="116"/>
    </row>
    <row r="111" spans="1:61" x14ac:dyDescent="0.35">
      <c r="A111" s="95">
        <v>44386</v>
      </c>
      <c r="B111" s="97">
        <v>3</v>
      </c>
      <c r="C111" s="97">
        <v>3</v>
      </c>
      <c r="D111" s="97">
        <v>5</v>
      </c>
      <c r="E111" s="97">
        <v>13</v>
      </c>
      <c r="F111" s="97">
        <v>2</v>
      </c>
      <c r="G111" s="97">
        <v>5</v>
      </c>
      <c r="H111" s="93">
        <v>18</v>
      </c>
      <c r="I111" s="93">
        <v>2</v>
      </c>
      <c r="J111" s="93">
        <v>4</v>
      </c>
      <c r="K111" s="93">
        <v>5</v>
      </c>
      <c r="L111" s="93">
        <v>7</v>
      </c>
      <c r="M111" s="93">
        <v>10</v>
      </c>
      <c r="N111" s="93">
        <v>2</v>
      </c>
      <c r="O111" s="93">
        <v>10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100">
        <v>44386</v>
      </c>
      <c r="AQ111" s="93">
        <v>3</v>
      </c>
      <c r="AR111" s="93">
        <v>7</v>
      </c>
      <c r="AS111" s="93">
        <v>0</v>
      </c>
      <c r="AT111" s="93">
        <v>2</v>
      </c>
      <c r="AU111" s="93">
        <v>1</v>
      </c>
      <c r="AV111" s="93">
        <v>1</v>
      </c>
      <c r="AW111" s="93">
        <v>3</v>
      </c>
      <c r="AX111" s="93">
        <v>6</v>
      </c>
      <c r="AY111" s="93">
        <v>3</v>
      </c>
      <c r="AZ111" s="93">
        <v>5</v>
      </c>
      <c r="BA111" s="93">
        <v>9</v>
      </c>
      <c r="BB111" s="93">
        <v>6</v>
      </c>
      <c r="BC111" s="93">
        <v>2</v>
      </c>
      <c r="BD111" s="93">
        <v>9</v>
      </c>
      <c r="BE111" s="93">
        <v>5</v>
      </c>
      <c r="BF111" s="93">
        <v>8</v>
      </c>
      <c r="BG111" s="118"/>
      <c r="BH111" s="116"/>
      <c r="BI111" s="116"/>
    </row>
    <row r="112" spans="1:61" x14ac:dyDescent="0.35">
      <c r="A112" s="95">
        <v>44387</v>
      </c>
      <c r="B112" s="97">
        <v>3</v>
      </c>
      <c r="C112" s="97">
        <v>5</v>
      </c>
      <c r="D112" s="97">
        <v>9</v>
      </c>
      <c r="E112" s="97">
        <v>7</v>
      </c>
      <c r="F112" s="97">
        <v>2</v>
      </c>
      <c r="G112" s="97">
        <v>8</v>
      </c>
      <c r="H112" s="93">
        <v>19</v>
      </c>
      <c r="I112" s="93">
        <v>13</v>
      </c>
      <c r="J112" s="93">
        <v>3</v>
      </c>
      <c r="K112" s="93">
        <v>1</v>
      </c>
      <c r="L112" s="93">
        <v>4</v>
      </c>
      <c r="M112" s="93">
        <v>6</v>
      </c>
      <c r="N112" s="93">
        <v>10</v>
      </c>
      <c r="O112" s="93">
        <v>1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100">
        <v>44387</v>
      </c>
      <c r="AQ112" s="93">
        <v>1</v>
      </c>
      <c r="AR112" s="93">
        <v>4</v>
      </c>
      <c r="AS112" s="93">
        <v>6</v>
      </c>
      <c r="AT112" s="93">
        <v>10</v>
      </c>
      <c r="AU112" s="93">
        <v>0</v>
      </c>
      <c r="AV112" s="93">
        <v>10</v>
      </c>
      <c r="AW112" s="93">
        <v>3</v>
      </c>
      <c r="AX112" s="93">
        <v>1</v>
      </c>
      <c r="AY112" s="93">
        <v>3</v>
      </c>
      <c r="AZ112" s="93">
        <v>7</v>
      </c>
      <c r="BA112" s="93">
        <v>9</v>
      </c>
      <c r="BB112" s="93">
        <v>2</v>
      </c>
      <c r="BC112" s="93">
        <v>3</v>
      </c>
      <c r="BD112" s="93">
        <v>3</v>
      </c>
      <c r="BE112" s="93">
        <v>7</v>
      </c>
      <c r="BF112" s="93">
        <v>10</v>
      </c>
      <c r="BG112" s="118"/>
      <c r="BH112" s="116"/>
      <c r="BI112" s="116"/>
    </row>
    <row r="113" spans="1:61" x14ac:dyDescent="0.35">
      <c r="A113" s="95">
        <v>44388</v>
      </c>
      <c r="B113" s="97">
        <v>3</v>
      </c>
      <c r="C113" s="97">
        <v>5</v>
      </c>
      <c r="D113" s="97">
        <v>6</v>
      </c>
      <c r="E113" s="97">
        <v>8</v>
      </c>
      <c r="F113" s="97">
        <v>5</v>
      </c>
      <c r="G113" s="97">
        <v>1</v>
      </c>
      <c r="H113" s="93">
        <v>12</v>
      </c>
      <c r="I113" s="93">
        <v>11</v>
      </c>
      <c r="J113" s="93">
        <v>7</v>
      </c>
      <c r="K113" s="93">
        <v>1</v>
      </c>
      <c r="L113" s="93">
        <v>4</v>
      </c>
      <c r="M113" s="93">
        <v>7</v>
      </c>
      <c r="N113" s="93">
        <v>6</v>
      </c>
      <c r="O113" s="93">
        <v>10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100">
        <v>44388</v>
      </c>
      <c r="AQ113" s="93">
        <v>15</v>
      </c>
      <c r="AR113" s="93">
        <v>0</v>
      </c>
      <c r="AS113" s="93">
        <v>5</v>
      </c>
      <c r="AT113" s="93">
        <v>6</v>
      </c>
      <c r="AU113" s="93">
        <v>1</v>
      </c>
      <c r="AV113" s="93">
        <v>1</v>
      </c>
      <c r="AW113" s="93">
        <v>10</v>
      </c>
      <c r="AX113" s="93">
        <v>7</v>
      </c>
      <c r="AY113" s="93">
        <v>9</v>
      </c>
      <c r="AZ113" s="93">
        <v>5</v>
      </c>
      <c r="BA113" s="93">
        <v>0</v>
      </c>
      <c r="BB113" s="93">
        <v>9</v>
      </c>
      <c r="BC113" s="93">
        <v>7</v>
      </c>
      <c r="BD113" s="93">
        <v>8</v>
      </c>
      <c r="BE113" s="93">
        <v>9</v>
      </c>
      <c r="BF113" s="93">
        <v>6</v>
      </c>
      <c r="BG113" s="118"/>
      <c r="BH113" s="116"/>
      <c r="BI113" s="116"/>
    </row>
    <row r="114" spans="1:61" x14ac:dyDescent="0.35">
      <c r="A114" s="95">
        <v>44389</v>
      </c>
      <c r="B114" s="97">
        <v>5</v>
      </c>
      <c r="C114" s="97">
        <v>0</v>
      </c>
      <c r="D114" s="97">
        <v>3</v>
      </c>
      <c r="E114" s="97">
        <v>15</v>
      </c>
      <c r="F114" s="97">
        <v>3</v>
      </c>
      <c r="G114" s="97">
        <v>2</v>
      </c>
      <c r="H114" s="93">
        <v>3</v>
      </c>
      <c r="I114" s="93">
        <v>7</v>
      </c>
      <c r="J114" s="93">
        <v>1</v>
      </c>
      <c r="K114" s="93">
        <v>1</v>
      </c>
      <c r="L114" s="93">
        <v>3</v>
      </c>
      <c r="M114" s="93">
        <v>9</v>
      </c>
      <c r="N114" s="93">
        <v>0</v>
      </c>
      <c r="O114" s="93">
        <v>10</v>
      </c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100">
        <v>44389</v>
      </c>
      <c r="AQ114" s="93">
        <v>9</v>
      </c>
      <c r="AR114" s="93">
        <v>2</v>
      </c>
      <c r="AS114" s="93">
        <v>0</v>
      </c>
      <c r="AT114" s="93">
        <v>5</v>
      </c>
      <c r="AU114" s="93">
        <v>2</v>
      </c>
      <c r="AV114" s="93">
        <v>5</v>
      </c>
      <c r="AW114" s="93">
        <v>5</v>
      </c>
      <c r="AX114" s="93">
        <v>4</v>
      </c>
      <c r="AY114" s="93">
        <v>1</v>
      </c>
      <c r="AZ114" s="93">
        <v>3</v>
      </c>
      <c r="BA114" s="93">
        <v>5</v>
      </c>
      <c r="BB114" s="93">
        <v>4</v>
      </c>
      <c r="BC114" s="93">
        <v>2</v>
      </c>
      <c r="BD114" s="93">
        <v>0</v>
      </c>
      <c r="BE114" s="93">
        <v>7</v>
      </c>
      <c r="BF114" s="93">
        <v>10</v>
      </c>
      <c r="BG114" s="118"/>
      <c r="BH114" s="116"/>
      <c r="BI114" s="116"/>
    </row>
    <row r="115" spans="1:61" x14ac:dyDescent="0.35">
      <c r="A115" s="95">
        <v>44390</v>
      </c>
      <c r="B115" s="97">
        <v>3</v>
      </c>
      <c r="C115" s="97">
        <v>2</v>
      </c>
      <c r="D115" s="97">
        <v>1</v>
      </c>
      <c r="E115" s="97">
        <v>1</v>
      </c>
      <c r="F115" s="97">
        <v>7</v>
      </c>
      <c r="G115" s="97">
        <v>2</v>
      </c>
      <c r="H115" s="93">
        <v>5</v>
      </c>
      <c r="I115" s="93">
        <v>7</v>
      </c>
      <c r="J115" s="93">
        <v>1</v>
      </c>
      <c r="K115" s="93">
        <v>5</v>
      </c>
      <c r="L115" s="93">
        <v>2</v>
      </c>
      <c r="M115" s="93">
        <v>2</v>
      </c>
      <c r="N115" s="93">
        <v>6</v>
      </c>
      <c r="O115" s="93">
        <v>0</v>
      </c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100">
        <v>44390</v>
      </c>
      <c r="AQ115" s="93">
        <v>3</v>
      </c>
      <c r="AR115" s="93">
        <v>10</v>
      </c>
      <c r="AS115" s="93">
        <v>4</v>
      </c>
      <c r="AT115" s="93">
        <v>0</v>
      </c>
      <c r="AU115" s="93">
        <v>3</v>
      </c>
      <c r="AV115" s="93">
        <v>7</v>
      </c>
      <c r="AW115" s="93">
        <v>5</v>
      </c>
      <c r="AX115" s="93">
        <v>2</v>
      </c>
      <c r="AY115" s="93">
        <v>5</v>
      </c>
      <c r="AZ115" s="93">
        <v>7</v>
      </c>
      <c r="BA115" s="93">
        <v>0</v>
      </c>
      <c r="BB115" s="93">
        <v>2</v>
      </c>
      <c r="BC115" s="93">
        <v>4</v>
      </c>
      <c r="BD115" s="93">
        <v>3</v>
      </c>
      <c r="BE115" s="93">
        <v>1</v>
      </c>
      <c r="BF115" s="93">
        <v>3</v>
      </c>
      <c r="BG115" s="118"/>
      <c r="BH115" s="116"/>
      <c r="BI115" s="116"/>
    </row>
    <row r="116" spans="1:61" x14ac:dyDescent="0.35">
      <c r="A116" s="95">
        <v>44391</v>
      </c>
      <c r="B116" s="97">
        <v>4</v>
      </c>
      <c r="C116" s="97">
        <v>3</v>
      </c>
      <c r="D116" s="97">
        <v>1</v>
      </c>
      <c r="E116" s="97">
        <v>2</v>
      </c>
      <c r="F116" s="97">
        <v>4</v>
      </c>
      <c r="G116" s="97">
        <v>5</v>
      </c>
      <c r="H116" s="93">
        <v>8</v>
      </c>
      <c r="I116" s="93">
        <v>13</v>
      </c>
      <c r="J116" s="93">
        <v>12</v>
      </c>
      <c r="K116" s="93">
        <v>9</v>
      </c>
      <c r="L116" s="93">
        <v>10</v>
      </c>
      <c r="M116" s="93">
        <v>4</v>
      </c>
      <c r="N116" s="93">
        <v>1</v>
      </c>
      <c r="O116" s="93">
        <v>3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100">
        <v>44391</v>
      </c>
      <c r="AQ116" s="93">
        <v>4</v>
      </c>
      <c r="AR116" s="93">
        <v>15</v>
      </c>
      <c r="AS116" s="93">
        <v>6</v>
      </c>
      <c r="AT116" s="93">
        <v>10</v>
      </c>
      <c r="AU116" s="93">
        <v>1</v>
      </c>
      <c r="AV116" s="93">
        <v>0</v>
      </c>
      <c r="AW116" s="93">
        <v>4</v>
      </c>
      <c r="AX116" s="93">
        <v>11</v>
      </c>
      <c r="AY116" s="93">
        <v>0</v>
      </c>
      <c r="AZ116" s="93">
        <v>7</v>
      </c>
      <c r="BA116" s="93">
        <v>3</v>
      </c>
      <c r="BB116" s="93">
        <v>0</v>
      </c>
      <c r="BC116" s="93">
        <v>3</v>
      </c>
      <c r="BD116" s="93">
        <v>3</v>
      </c>
      <c r="BE116" s="93">
        <v>7</v>
      </c>
      <c r="BF116" s="93">
        <v>1</v>
      </c>
      <c r="BG116" s="118"/>
      <c r="BH116" s="116"/>
      <c r="BI116" s="116"/>
    </row>
    <row r="117" spans="1:61" x14ac:dyDescent="0.35">
      <c r="A117" s="95">
        <v>44392</v>
      </c>
      <c r="B117" s="97">
        <v>5</v>
      </c>
      <c r="C117" s="97">
        <v>0</v>
      </c>
      <c r="D117" s="97">
        <v>9</v>
      </c>
      <c r="E117" s="97">
        <v>3</v>
      </c>
      <c r="F117" s="97">
        <v>8</v>
      </c>
      <c r="G117" s="97">
        <v>9</v>
      </c>
      <c r="H117" s="93">
        <v>13</v>
      </c>
      <c r="I117" s="93">
        <v>3</v>
      </c>
      <c r="J117" s="93">
        <v>9</v>
      </c>
      <c r="K117" s="93">
        <v>11</v>
      </c>
      <c r="L117" s="93">
        <v>7</v>
      </c>
      <c r="M117" s="93">
        <v>8</v>
      </c>
      <c r="N117" s="93">
        <v>0</v>
      </c>
      <c r="O117" s="93">
        <v>10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100">
        <v>44392</v>
      </c>
      <c r="AQ117" s="93">
        <v>19</v>
      </c>
      <c r="AR117" s="93">
        <v>6</v>
      </c>
      <c r="AS117" s="93">
        <v>0</v>
      </c>
      <c r="AT117" s="93">
        <v>8</v>
      </c>
      <c r="AU117" s="93">
        <v>3</v>
      </c>
      <c r="AV117" s="93">
        <v>8</v>
      </c>
      <c r="AW117" s="93">
        <v>4</v>
      </c>
      <c r="AX117" s="93">
        <v>2</v>
      </c>
      <c r="AY117" s="93">
        <v>3</v>
      </c>
      <c r="AZ117" s="93">
        <v>4</v>
      </c>
      <c r="BA117" s="93">
        <v>3</v>
      </c>
      <c r="BB117" s="93">
        <v>0</v>
      </c>
      <c r="BC117" s="93">
        <v>7</v>
      </c>
      <c r="BD117" s="93">
        <v>2</v>
      </c>
      <c r="BE117" s="93">
        <v>8</v>
      </c>
      <c r="BF117" s="93">
        <v>6</v>
      </c>
      <c r="BG117" s="118"/>
      <c r="BH117" s="116"/>
      <c r="BI117" s="116"/>
    </row>
    <row r="118" spans="1:61" x14ac:dyDescent="0.35">
      <c r="A118" s="95">
        <v>44393</v>
      </c>
      <c r="B118" s="97">
        <v>3</v>
      </c>
      <c r="C118" s="97">
        <v>4</v>
      </c>
      <c r="D118" s="97">
        <v>10</v>
      </c>
      <c r="E118" s="97">
        <v>12</v>
      </c>
      <c r="F118" s="97">
        <v>7</v>
      </c>
      <c r="G118" s="97">
        <v>4</v>
      </c>
      <c r="H118" s="93">
        <v>7</v>
      </c>
      <c r="I118" s="93">
        <v>7</v>
      </c>
      <c r="J118" s="93">
        <v>4</v>
      </c>
      <c r="K118" s="93">
        <v>0</v>
      </c>
      <c r="L118" s="93">
        <v>0</v>
      </c>
      <c r="M118" s="93">
        <v>10</v>
      </c>
      <c r="N118" s="93">
        <v>0</v>
      </c>
      <c r="O118" s="93">
        <v>7</v>
      </c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100">
        <v>44393</v>
      </c>
      <c r="AQ118" s="93">
        <v>10</v>
      </c>
      <c r="AR118" s="93">
        <v>0</v>
      </c>
      <c r="AS118" s="93">
        <v>5</v>
      </c>
      <c r="AT118" s="93">
        <v>0</v>
      </c>
      <c r="AU118" s="93">
        <v>3</v>
      </c>
      <c r="AV118" s="93">
        <v>3</v>
      </c>
      <c r="AW118" s="93">
        <v>2</v>
      </c>
      <c r="AX118" s="93">
        <v>5</v>
      </c>
      <c r="AY118" s="93">
        <v>7</v>
      </c>
      <c r="AZ118" s="93">
        <v>12</v>
      </c>
      <c r="BA118" s="93">
        <v>5</v>
      </c>
      <c r="BB118" s="93">
        <v>5</v>
      </c>
      <c r="BC118" s="93">
        <v>7</v>
      </c>
      <c r="BD118" s="93">
        <v>5</v>
      </c>
      <c r="BE118" s="93">
        <v>9</v>
      </c>
      <c r="BF118" s="93">
        <v>5</v>
      </c>
      <c r="BG118" s="118"/>
      <c r="BH118" s="116"/>
      <c r="BI118" s="116"/>
    </row>
    <row r="119" spans="1:61" x14ac:dyDescent="0.35">
      <c r="A119" s="95">
        <v>44394</v>
      </c>
      <c r="B119" s="97">
        <v>4</v>
      </c>
      <c r="C119" s="97">
        <v>6</v>
      </c>
      <c r="D119" s="97">
        <v>2</v>
      </c>
      <c r="E119" s="97">
        <v>10</v>
      </c>
      <c r="F119" s="97">
        <v>1</v>
      </c>
      <c r="G119" s="97">
        <v>5</v>
      </c>
      <c r="H119" s="93">
        <v>4</v>
      </c>
      <c r="I119" s="93">
        <v>6</v>
      </c>
      <c r="J119" s="93">
        <v>5</v>
      </c>
      <c r="K119" s="93">
        <v>9</v>
      </c>
      <c r="L119" s="93">
        <v>2</v>
      </c>
      <c r="M119" s="93">
        <v>9</v>
      </c>
      <c r="N119" s="93">
        <v>6</v>
      </c>
      <c r="O119" s="93">
        <v>1</v>
      </c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100">
        <v>44394</v>
      </c>
      <c r="AQ119" s="93">
        <v>5</v>
      </c>
      <c r="AR119" s="93">
        <v>11</v>
      </c>
      <c r="AS119" s="93">
        <v>3</v>
      </c>
      <c r="AT119" s="93">
        <v>8</v>
      </c>
      <c r="AU119" s="93">
        <v>2</v>
      </c>
      <c r="AV119" s="93">
        <v>4</v>
      </c>
      <c r="AW119" s="93">
        <v>10</v>
      </c>
      <c r="AX119" s="93">
        <v>9</v>
      </c>
      <c r="AY119" s="93">
        <v>7</v>
      </c>
      <c r="AZ119" s="93">
        <v>0</v>
      </c>
      <c r="BA119" s="93">
        <v>2</v>
      </c>
      <c r="BB119" s="93">
        <v>9</v>
      </c>
      <c r="BC119" s="93">
        <v>7</v>
      </c>
      <c r="BD119" s="93">
        <v>8</v>
      </c>
      <c r="BE119" s="93">
        <v>6</v>
      </c>
      <c r="BF119" s="93">
        <v>11</v>
      </c>
      <c r="BG119" s="118"/>
      <c r="BH119" s="116"/>
      <c r="BI119" s="116"/>
    </row>
    <row r="120" spans="1:61" x14ac:dyDescent="0.35">
      <c r="A120" s="95">
        <v>44395</v>
      </c>
      <c r="B120" s="97">
        <v>9</v>
      </c>
      <c r="C120" s="97">
        <v>5</v>
      </c>
      <c r="D120" s="97">
        <v>10</v>
      </c>
      <c r="E120" s="97">
        <v>8</v>
      </c>
      <c r="F120" s="97">
        <v>7</v>
      </c>
      <c r="G120" s="97">
        <v>11</v>
      </c>
      <c r="H120" s="93">
        <v>12</v>
      </c>
      <c r="I120" s="93">
        <v>7</v>
      </c>
      <c r="J120" s="93">
        <v>6</v>
      </c>
      <c r="K120" s="93">
        <v>5</v>
      </c>
      <c r="L120" s="93">
        <v>5</v>
      </c>
      <c r="M120" s="93">
        <v>5</v>
      </c>
      <c r="N120" s="93">
        <v>7</v>
      </c>
      <c r="O120" s="93">
        <v>9</v>
      </c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100">
        <v>44395</v>
      </c>
      <c r="AQ120" s="93">
        <v>3</v>
      </c>
      <c r="AR120" s="93">
        <v>6</v>
      </c>
      <c r="AS120" s="93">
        <v>2</v>
      </c>
      <c r="AT120" s="93">
        <v>9</v>
      </c>
      <c r="AU120" s="93">
        <v>3</v>
      </c>
      <c r="AV120" s="93">
        <v>10</v>
      </c>
      <c r="AW120" s="93">
        <v>4</v>
      </c>
      <c r="AX120" s="93">
        <v>7</v>
      </c>
      <c r="AY120" s="93">
        <v>8</v>
      </c>
      <c r="AZ120" s="93">
        <v>2</v>
      </c>
      <c r="BA120" s="93">
        <v>9</v>
      </c>
      <c r="BB120" s="93">
        <v>5</v>
      </c>
      <c r="BC120" s="93">
        <v>7</v>
      </c>
      <c r="BD120" s="93">
        <v>5</v>
      </c>
      <c r="BE120" s="93">
        <v>4</v>
      </c>
      <c r="BF120" s="93">
        <v>11</v>
      </c>
      <c r="BG120" s="118"/>
      <c r="BH120" s="116"/>
      <c r="BI120" s="116"/>
    </row>
    <row r="121" spans="1:61" x14ac:dyDescent="0.35">
      <c r="A121" s="95">
        <v>44396</v>
      </c>
      <c r="B121" s="97">
        <v>6</v>
      </c>
      <c r="C121" s="97">
        <v>7</v>
      </c>
      <c r="D121" s="97">
        <v>4</v>
      </c>
      <c r="E121" s="97">
        <v>3</v>
      </c>
      <c r="F121" s="97">
        <v>6</v>
      </c>
      <c r="G121" s="97">
        <v>8</v>
      </c>
      <c r="H121" s="93">
        <v>12</v>
      </c>
      <c r="I121" s="93">
        <v>12</v>
      </c>
      <c r="J121" s="93">
        <v>9</v>
      </c>
      <c r="K121" s="93">
        <v>10</v>
      </c>
      <c r="L121" s="93">
        <v>3</v>
      </c>
      <c r="M121" s="93">
        <v>0</v>
      </c>
      <c r="N121" s="93">
        <v>4</v>
      </c>
      <c r="O121" s="93">
        <v>2</v>
      </c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100">
        <v>44396</v>
      </c>
      <c r="AQ121" s="93">
        <v>16</v>
      </c>
      <c r="AR121" s="93">
        <v>14</v>
      </c>
      <c r="AS121" s="93">
        <v>1</v>
      </c>
      <c r="AT121" s="93">
        <v>3</v>
      </c>
      <c r="AU121" s="93">
        <v>6</v>
      </c>
      <c r="AV121" s="93">
        <v>8</v>
      </c>
      <c r="AW121" s="93">
        <v>0</v>
      </c>
      <c r="AX121" s="93">
        <v>6</v>
      </c>
      <c r="AY121" s="93">
        <v>4</v>
      </c>
      <c r="AZ121" s="93">
        <v>1</v>
      </c>
      <c r="BA121" s="93">
        <v>2</v>
      </c>
      <c r="BB121" s="93">
        <v>8</v>
      </c>
      <c r="BC121" s="93">
        <v>6</v>
      </c>
      <c r="BD121" s="93">
        <v>3</v>
      </c>
      <c r="BE121" s="93">
        <v>10</v>
      </c>
      <c r="BF121" s="93">
        <v>4</v>
      </c>
      <c r="BG121" s="118"/>
      <c r="BH121" s="116"/>
      <c r="BI121" s="116"/>
    </row>
    <row r="122" spans="1:61" x14ac:dyDescent="0.35">
      <c r="A122" s="95">
        <v>44397</v>
      </c>
      <c r="B122" s="97">
        <v>7</v>
      </c>
      <c r="C122" s="97">
        <v>6</v>
      </c>
      <c r="D122" s="97">
        <v>4</v>
      </c>
      <c r="E122" s="97">
        <v>5</v>
      </c>
      <c r="F122" s="97">
        <v>4</v>
      </c>
      <c r="G122" s="97">
        <v>5</v>
      </c>
      <c r="H122" s="93">
        <v>16</v>
      </c>
      <c r="I122" s="93">
        <v>6</v>
      </c>
      <c r="J122" s="93">
        <v>0</v>
      </c>
      <c r="K122" s="93">
        <v>5</v>
      </c>
      <c r="L122" s="93">
        <v>10</v>
      </c>
      <c r="M122" s="93">
        <v>8</v>
      </c>
      <c r="N122" s="93">
        <v>4</v>
      </c>
      <c r="O122" s="93">
        <v>8</v>
      </c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100">
        <v>44397</v>
      </c>
      <c r="AQ122" s="93">
        <v>1</v>
      </c>
      <c r="AR122" s="93">
        <v>3</v>
      </c>
      <c r="AS122" s="93">
        <v>7</v>
      </c>
      <c r="AT122" s="93">
        <v>2</v>
      </c>
      <c r="AU122" s="93">
        <v>4</v>
      </c>
      <c r="AV122" s="93">
        <v>2</v>
      </c>
      <c r="AW122" s="93">
        <v>10</v>
      </c>
      <c r="AX122" s="93">
        <v>0</v>
      </c>
      <c r="AY122" s="93">
        <v>2</v>
      </c>
      <c r="AZ122" s="93">
        <v>3</v>
      </c>
      <c r="BA122" s="93">
        <v>8</v>
      </c>
      <c r="BB122" s="93">
        <v>10</v>
      </c>
      <c r="BC122" s="93">
        <v>6</v>
      </c>
      <c r="BD122" s="93">
        <v>7</v>
      </c>
      <c r="BE122" s="93">
        <v>5</v>
      </c>
      <c r="BF122" s="93">
        <v>12</v>
      </c>
      <c r="BG122" s="118"/>
      <c r="BH122" s="116"/>
      <c r="BI122" s="116"/>
    </row>
    <row r="123" spans="1:61" x14ac:dyDescent="0.35">
      <c r="A123" s="95">
        <v>44398</v>
      </c>
      <c r="B123" s="97">
        <v>10</v>
      </c>
      <c r="C123" s="97">
        <v>6</v>
      </c>
      <c r="D123" s="97">
        <v>4</v>
      </c>
      <c r="E123" s="97">
        <v>2</v>
      </c>
      <c r="F123" s="97">
        <v>2</v>
      </c>
      <c r="G123" s="97">
        <v>0</v>
      </c>
      <c r="H123" s="93">
        <v>11</v>
      </c>
      <c r="I123" s="93">
        <v>5</v>
      </c>
      <c r="J123" s="93">
        <v>9</v>
      </c>
      <c r="K123" s="93">
        <v>7</v>
      </c>
      <c r="L123" s="93">
        <v>14</v>
      </c>
      <c r="M123" s="93">
        <v>2</v>
      </c>
      <c r="N123" s="93">
        <v>14</v>
      </c>
      <c r="O123" s="93">
        <v>1</v>
      </c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100">
        <v>44398</v>
      </c>
      <c r="AQ123" s="93">
        <v>17</v>
      </c>
      <c r="AR123" s="93">
        <v>0</v>
      </c>
      <c r="AS123" s="93">
        <v>2</v>
      </c>
      <c r="AT123" s="93">
        <v>7</v>
      </c>
      <c r="AU123" s="93">
        <v>7</v>
      </c>
      <c r="AV123" s="93">
        <v>6</v>
      </c>
      <c r="AW123" s="93">
        <v>3</v>
      </c>
      <c r="AX123" s="93">
        <v>3</v>
      </c>
      <c r="AY123" s="93">
        <v>4</v>
      </c>
      <c r="AZ123" s="93">
        <v>12</v>
      </c>
      <c r="BA123" s="93">
        <v>1</v>
      </c>
      <c r="BB123" s="93">
        <v>10</v>
      </c>
      <c r="BC123" s="93">
        <v>4</v>
      </c>
      <c r="BD123" s="93">
        <v>7</v>
      </c>
      <c r="BE123" s="93">
        <v>4</v>
      </c>
      <c r="BF123" s="93">
        <v>12</v>
      </c>
      <c r="BG123" s="118"/>
      <c r="BH123" s="116"/>
      <c r="BI123" s="116"/>
    </row>
    <row r="124" spans="1:61" x14ac:dyDescent="0.35">
      <c r="A124" s="95">
        <v>44399</v>
      </c>
      <c r="B124" s="97">
        <v>1</v>
      </c>
      <c r="C124" s="97">
        <v>3</v>
      </c>
      <c r="D124" s="97">
        <v>5</v>
      </c>
      <c r="E124" s="97">
        <v>14</v>
      </c>
      <c r="F124" s="97">
        <v>3</v>
      </c>
      <c r="G124" s="97">
        <v>4</v>
      </c>
      <c r="H124" s="93">
        <v>9</v>
      </c>
      <c r="I124" s="93">
        <v>1</v>
      </c>
      <c r="J124" s="93">
        <v>5</v>
      </c>
      <c r="K124" s="93">
        <v>3</v>
      </c>
      <c r="L124" s="93">
        <v>5</v>
      </c>
      <c r="M124" s="93">
        <v>5</v>
      </c>
      <c r="N124" s="93">
        <v>0</v>
      </c>
      <c r="O124" s="93">
        <v>6</v>
      </c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100">
        <v>44399</v>
      </c>
      <c r="AQ124" s="93">
        <v>1</v>
      </c>
      <c r="AR124" s="93">
        <v>1</v>
      </c>
      <c r="AS124" s="93">
        <v>1</v>
      </c>
      <c r="AT124" s="93">
        <v>4</v>
      </c>
      <c r="AU124" s="93">
        <v>6</v>
      </c>
      <c r="AV124" s="93">
        <v>6</v>
      </c>
      <c r="AW124" s="93">
        <v>7</v>
      </c>
      <c r="AX124" s="93">
        <v>7</v>
      </c>
      <c r="AY124" s="93">
        <v>6</v>
      </c>
      <c r="AZ124" s="93">
        <v>10</v>
      </c>
      <c r="BA124" s="93">
        <v>3</v>
      </c>
      <c r="BB124" s="93">
        <v>2</v>
      </c>
      <c r="BC124" s="93">
        <v>6</v>
      </c>
      <c r="BD124" s="93">
        <v>4</v>
      </c>
      <c r="BE124" s="93">
        <v>9</v>
      </c>
      <c r="BF124" s="93">
        <v>5</v>
      </c>
      <c r="BG124" s="118"/>
      <c r="BH124" s="116"/>
      <c r="BI124" s="116"/>
    </row>
    <row r="125" spans="1:61" x14ac:dyDescent="0.35">
      <c r="A125" s="95">
        <v>44400</v>
      </c>
      <c r="B125" s="97">
        <v>2</v>
      </c>
      <c r="C125" s="97">
        <v>0</v>
      </c>
      <c r="D125" s="97">
        <v>10</v>
      </c>
      <c r="E125" s="97">
        <v>14</v>
      </c>
      <c r="F125" s="97">
        <v>8</v>
      </c>
      <c r="G125" s="97">
        <v>0</v>
      </c>
      <c r="H125" s="93">
        <v>1</v>
      </c>
      <c r="I125" s="93">
        <v>0</v>
      </c>
      <c r="J125" s="93">
        <v>10</v>
      </c>
      <c r="K125" s="93">
        <v>12</v>
      </c>
      <c r="L125" s="93">
        <v>4</v>
      </c>
      <c r="M125" s="93">
        <v>3</v>
      </c>
      <c r="N125" s="93">
        <v>12</v>
      </c>
      <c r="O125" s="93">
        <v>3</v>
      </c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100">
        <v>44400</v>
      </c>
      <c r="AQ125" s="93">
        <v>12</v>
      </c>
      <c r="AR125" s="93">
        <v>15</v>
      </c>
      <c r="AS125" s="93">
        <v>8</v>
      </c>
      <c r="AT125" s="93">
        <v>0</v>
      </c>
      <c r="AU125" s="93">
        <v>0</v>
      </c>
      <c r="AV125" s="93">
        <v>1</v>
      </c>
      <c r="AW125" s="93">
        <v>8</v>
      </c>
      <c r="AX125" s="93">
        <v>4</v>
      </c>
      <c r="AY125" s="93">
        <v>5</v>
      </c>
      <c r="AZ125" s="93">
        <v>10</v>
      </c>
      <c r="BA125" s="93">
        <v>7</v>
      </c>
      <c r="BB125" s="93">
        <v>10</v>
      </c>
      <c r="BC125" s="93">
        <v>2</v>
      </c>
      <c r="BD125" s="93">
        <v>9</v>
      </c>
      <c r="BE125" s="93">
        <v>9</v>
      </c>
      <c r="BF125" s="93">
        <v>6</v>
      </c>
      <c r="BG125" s="118"/>
      <c r="BH125" s="116"/>
      <c r="BI125" s="116"/>
    </row>
    <row r="126" spans="1:61" x14ac:dyDescent="0.35">
      <c r="A126" s="95">
        <v>44401</v>
      </c>
      <c r="B126" s="97">
        <v>2</v>
      </c>
      <c r="C126" s="97">
        <v>6</v>
      </c>
      <c r="D126" s="97">
        <v>3</v>
      </c>
      <c r="E126" s="97">
        <v>12</v>
      </c>
      <c r="F126" s="97">
        <v>6</v>
      </c>
      <c r="G126" s="97">
        <v>6</v>
      </c>
      <c r="H126" s="93">
        <v>14</v>
      </c>
      <c r="I126" s="93">
        <v>11</v>
      </c>
      <c r="J126" s="93">
        <v>8</v>
      </c>
      <c r="K126" s="93">
        <v>10</v>
      </c>
      <c r="L126" s="93">
        <v>10</v>
      </c>
      <c r="M126" s="93">
        <v>2</v>
      </c>
      <c r="N126" s="93">
        <v>1</v>
      </c>
      <c r="O126" s="93">
        <v>1</v>
      </c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100">
        <v>44401</v>
      </c>
      <c r="AQ126" s="93">
        <v>4</v>
      </c>
      <c r="AR126" s="93">
        <v>8</v>
      </c>
      <c r="AS126" s="93">
        <v>10</v>
      </c>
      <c r="AT126" s="93">
        <v>0</v>
      </c>
      <c r="AU126" s="93">
        <v>2</v>
      </c>
      <c r="AV126" s="93">
        <v>4</v>
      </c>
      <c r="AW126" s="93">
        <v>10</v>
      </c>
      <c r="AX126" s="93">
        <v>8</v>
      </c>
      <c r="AY126" s="93">
        <v>3</v>
      </c>
      <c r="AZ126" s="93">
        <v>6</v>
      </c>
      <c r="BA126" s="93">
        <v>10</v>
      </c>
      <c r="BB126" s="93">
        <v>0</v>
      </c>
      <c r="BC126" s="93">
        <v>6</v>
      </c>
      <c r="BD126" s="93">
        <v>3</v>
      </c>
      <c r="BE126" s="93">
        <v>5</v>
      </c>
      <c r="BF126" s="93">
        <v>1</v>
      </c>
      <c r="BG126" s="118"/>
      <c r="BH126" s="116"/>
      <c r="BI126" s="116"/>
    </row>
    <row r="127" spans="1:61" s="106" customFormat="1" ht="20.5" customHeight="1" x14ac:dyDescent="0.35">
      <c r="A127" s="95">
        <v>44402</v>
      </c>
      <c r="B127" s="97">
        <v>6</v>
      </c>
      <c r="C127" s="97">
        <v>3</v>
      </c>
      <c r="D127" s="97">
        <v>6</v>
      </c>
      <c r="E127" s="97">
        <v>7</v>
      </c>
      <c r="F127" s="97">
        <v>8</v>
      </c>
      <c r="G127" s="97">
        <v>11</v>
      </c>
      <c r="H127" s="93">
        <v>12</v>
      </c>
      <c r="I127" s="93">
        <v>2</v>
      </c>
      <c r="J127" s="93">
        <v>10</v>
      </c>
      <c r="K127" s="93">
        <v>3</v>
      </c>
      <c r="L127" s="93">
        <v>11</v>
      </c>
      <c r="M127" s="93">
        <v>7</v>
      </c>
      <c r="N127" s="93">
        <v>6</v>
      </c>
      <c r="O127" s="93">
        <v>5</v>
      </c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100">
        <v>44402</v>
      </c>
      <c r="AQ127" s="93">
        <v>8</v>
      </c>
      <c r="AR127" s="93">
        <v>11</v>
      </c>
      <c r="AS127" s="93">
        <v>1</v>
      </c>
      <c r="AT127" s="93">
        <v>3</v>
      </c>
      <c r="AU127" s="93">
        <v>4</v>
      </c>
      <c r="AV127" s="93">
        <v>0</v>
      </c>
      <c r="AW127" s="93">
        <v>8</v>
      </c>
      <c r="AX127" s="93">
        <v>7</v>
      </c>
      <c r="AY127" s="93">
        <v>0</v>
      </c>
      <c r="AZ127" s="93">
        <v>9</v>
      </c>
      <c r="BA127" s="93">
        <v>7</v>
      </c>
      <c r="BB127" s="93">
        <v>8</v>
      </c>
      <c r="BC127" s="93">
        <v>5</v>
      </c>
      <c r="BD127" s="93">
        <v>1</v>
      </c>
      <c r="BE127" s="93">
        <v>6</v>
      </c>
      <c r="BF127" s="93">
        <v>2</v>
      </c>
      <c r="BG127" s="118"/>
      <c r="BH127" s="116"/>
      <c r="BI127" s="203"/>
    </row>
    <row r="128" spans="1:61" x14ac:dyDescent="0.35">
      <c r="A128" s="95">
        <v>44403</v>
      </c>
      <c r="B128" s="97">
        <v>4</v>
      </c>
      <c r="C128" s="97">
        <v>2</v>
      </c>
      <c r="D128" s="97">
        <v>0</v>
      </c>
      <c r="E128" s="97">
        <v>11</v>
      </c>
      <c r="F128" s="97">
        <v>4</v>
      </c>
      <c r="G128" s="97">
        <v>10</v>
      </c>
      <c r="H128" s="93">
        <v>15</v>
      </c>
      <c r="I128" s="93">
        <v>0</v>
      </c>
      <c r="J128" s="93">
        <v>8</v>
      </c>
      <c r="K128" s="93">
        <v>12</v>
      </c>
      <c r="L128" s="93">
        <v>6</v>
      </c>
      <c r="M128" s="93">
        <v>3</v>
      </c>
      <c r="N128" s="93">
        <v>13</v>
      </c>
      <c r="O128" s="93">
        <v>8</v>
      </c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100">
        <v>44403</v>
      </c>
      <c r="AQ128" s="93">
        <v>20</v>
      </c>
      <c r="AR128" s="93">
        <v>15</v>
      </c>
      <c r="AS128" s="93">
        <v>5</v>
      </c>
      <c r="AT128" s="93">
        <v>6</v>
      </c>
      <c r="AU128" s="93">
        <v>1</v>
      </c>
      <c r="AV128" s="93">
        <v>1</v>
      </c>
      <c r="AW128" s="93">
        <v>9</v>
      </c>
      <c r="AX128" s="93">
        <v>7</v>
      </c>
      <c r="AY128" s="93">
        <v>4</v>
      </c>
      <c r="AZ128" s="93">
        <v>5</v>
      </c>
      <c r="BA128" s="93">
        <v>5</v>
      </c>
      <c r="BB128" s="93">
        <v>1</v>
      </c>
      <c r="BC128" s="93">
        <v>7</v>
      </c>
      <c r="BD128" s="93">
        <v>1</v>
      </c>
      <c r="BE128" s="93">
        <v>7</v>
      </c>
      <c r="BF128" s="93">
        <v>6</v>
      </c>
      <c r="BG128" s="118"/>
      <c r="BH128" s="116"/>
      <c r="BI128" s="116"/>
    </row>
    <row r="129" spans="1:61" x14ac:dyDescent="0.35">
      <c r="A129" s="95">
        <v>44404</v>
      </c>
      <c r="B129" s="97">
        <v>3</v>
      </c>
      <c r="C129" s="97">
        <v>6</v>
      </c>
      <c r="D129" s="97">
        <v>0</v>
      </c>
      <c r="E129" s="97">
        <v>13</v>
      </c>
      <c r="F129" s="97">
        <v>3</v>
      </c>
      <c r="G129" s="97">
        <v>5</v>
      </c>
      <c r="H129" s="93">
        <v>6</v>
      </c>
      <c r="I129" s="93">
        <v>12</v>
      </c>
      <c r="J129" s="93">
        <v>11</v>
      </c>
      <c r="K129" s="93">
        <v>8</v>
      </c>
      <c r="L129" s="93">
        <v>6</v>
      </c>
      <c r="M129" s="93">
        <v>5</v>
      </c>
      <c r="N129" s="93">
        <v>13</v>
      </c>
      <c r="O129" s="93">
        <v>1</v>
      </c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100">
        <v>44404</v>
      </c>
      <c r="AQ129" s="93">
        <v>20</v>
      </c>
      <c r="AR129" s="93">
        <v>8</v>
      </c>
      <c r="AS129" s="93">
        <v>10</v>
      </c>
      <c r="AT129" s="93">
        <v>9</v>
      </c>
      <c r="AU129" s="93">
        <v>4</v>
      </c>
      <c r="AV129" s="93">
        <v>5</v>
      </c>
      <c r="AW129" s="93">
        <v>3</v>
      </c>
      <c r="AX129" s="93">
        <v>4</v>
      </c>
      <c r="AY129" s="93">
        <v>10</v>
      </c>
      <c r="AZ129" s="93">
        <v>2</v>
      </c>
      <c r="BA129" s="93">
        <v>1</v>
      </c>
      <c r="BB129" s="93">
        <v>2</v>
      </c>
      <c r="BC129" s="93">
        <v>2</v>
      </c>
      <c r="BD129" s="93">
        <v>4</v>
      </c>
      <c r="BE129" s="93">
        <v>11</v>
      </c>
      <c r="BF129" s="93">
        <v>7</v>
      </c>
      <c r="BG129" s="118"/>
      <c r="BH129" s="203"/>
      <c r="BI129" s="116"/>
    </row>
    <row r="130" spans="1:61" x14ac:dyDescent="0.35">
      <c r="A130" s="95">
        <v>44405</v>
      </c>
      <c r="B130" s="97">
        <v>10</v>
      </c>
      <c r="C130" s="97">
        <v>2</v>
      </c>
      <c r="D130" s="97">
        <v>2</v>
      </c>
      <c r="E130" s="97">
        <v>15</v>
      </c>
      <c r="F130" s="97">
        <v>4</v>
      </c>
      <c r="G130" s="97">
        <v>7</v>
      </c>
      <c r="H130" s="93">
        <v>13</v>
      </c>
      <c r="I130" s="93">
        <v>13</v>
      </c>
      <c r="J130" s="93">
        <v>5</v>
      </c>
      <c r="K130" s="93">
        <v>6</v>
      </c>
      <c r="L130" s="93">
        <v>9</v>
      </c>
      <c r="M130" s="93">
        <v>4</v>
      </c>
      <c r="N130" s="93">
        <v>10</v>
      </c>
      <c r="O130" s="93">
        <v>0</v>
      </c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100">
        <v>44405</v>
      </c>
      <c r="AQ130" s="93">
        <v>11</v>
      </c>
      <c r="AR130" s="93">
        <v>13</v>
      </c>
      <c r="AS130" s="93">
        <v>9</v>
      </c>
      <c r="AT130" s="93">
        <v>3</v>
      </c>
      <c r="AU130" s="93">
        <v>1</v>
      </c>
      <c r="AV130" s="93">
        <v>9</v>
      </c>
      <c r="AW130" s="93">
        <v>8</v>
      </c>
      <c r="AX130" s="93">
        <v>8</v>
      </c>
      <c r="AY130" s="93">
        <v>8</v>
      </c>
      <c r="AZ130" s="93">
        <v>10</v>
      </c>
      <c r="BA130" s="93">
        <v>10</v>
      </c>
      <c r="BB130" s="93">
        <v>1</v>
      </c>
      <c r="BC130" s="93">
        <v>4</v>
      </c>
      <c r="BD130" s="93">
        <v>9</v>
      </c>
      <c r="BE130" s="93">
        <v>6</v>
      </c>
      <c r="BF130" s="93">
        <v>8</v>
      </c>
      <c r="BG130" s="118"/>
      <c r="BH130" s="116"/>
      <c r="BI130" s="116"/>
    </row>
    <row r="131" spans="1:61" x14ac:dyDescent="0.35">
      <c r="A131" s="95">
        <v>44406</v>
      </c>
      <c r="B131" s="97">
        <v>5</v>
      </c>
      <c r="C131" s="97">
        <v>5</v>
      </c>
      <c r="D131" s="97">
        <v>10</v>
      </c>
      <c r="E131" s="97">
        <v>6</v>
      </c>
      <c r="F131" s="97">
        <v>7</v>
      </c>
      <c r="G131" s="97">
        <v>6</v>
      </c>
      <c r="H131" s="93">
        <v>9</v>
      </c>
      <c r="I131" s="93">
        <v>11</v>
      </c>
      <c r="J131" s="93">
        <v>8</v>
      </c>
      <c r="K131" s="93">
        <v>2</v>
      </c>
      <c r="L131" s="93">
        <v>5</v>
      </c>
      <c r="M131" s="93">
        <v>3</v>
      </c>
      <c r="N131" s="93">
        <v>5</v>
      </c>
      <c r="O131" s="93">
        <v>9</v>
      </c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100">
        <v>44406</v>
      </c>
      <c r="AQ131" s="93">
        <v>5</v>
      </c>
      <c r="AR131" s="93">
        <v>6</v>
      </c>
      <c r="AS131" s="93">
        <v>4</v>
      </c>
      <c r="AT131" s="93">
        <v>6</v>
      </c>
      <c r="AU131" s="93">
        <v>6</v>
      </c>
      <c r="AV131" s="93">
        <v>8</v>
      </c>
      <c r="AW131" s="93">
        <v>1</v>
      </c>
      <c r="AX131" s="93">
        <v>7</v>
      </c>
      <c r="AY131" s="93">
        <v>3</v>
      </c>
      <c r="AZ131" s="93">
        <v>1</v>
      </c>
      <c r="BA131" s="93">
        <v>2</v>
      </c>
      <c r="BB131" s="93">
        <v>1</v>
      </c>
      <c r="BC131" s="93">
        <v>4</v>
      </c>
      <c r="BD131" s="93">
        <v>0</v>
      </c>
      <c r="BE131" s="93">
        <v>8</v>
      </c>
      <c r="BF131" s="93">
        <v>8</v>
      </c>
      <c r="BG131" s="118"/>
      <c r="BH131" s="116"/>
      <c r="BI131" s="116"/>
    </row>
    <row r="132" spans="1:61" x14ac:dyDescent="0.35">
      <c r="A132" s="95">
        <v>44407</v>
      </c>
      <c r="B132" s="97">
        <v>5</v>
      </c>
      <c r="C132" s="97">
        <v>5</v>
      </c>
      <c r="D132" s="97">
        <v>1</v>
      </c>
      <c r="E132" s="97">
        <v>15</v>
      </c>
      <c r="F132" s="97">
        <v>6</v>
      </c>
      <c r="G132" s="97">
        <v>5</v>
      </c>
      <c r="H132" s="93">
        <v>13</v>
      </c>
      <c r="I132" s="93">
        <v>13</v>
      </c>
      <c r="J132" s="93">
        <v>2</v>
      </c>
      <c r="K132" s="93">
        <v>4</v>
      </c>
      <c r="L132" s="93">
        <v>13</v>
      </c>
      <c r="M132" s="93">
        <v>6</v>
      </c>
      <c r="N132" s="93">
        <v>3</v>
      </c>
      <c r="O132" s="93">
        <v>7</v>
      </c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100">
        <v>44407</v>
      </c>
      <c r="AQ132" s="93">
        <v>14</v>
      </c>
      <c r="AR132" s="93">
        <v>4</v>
      </c>
      <c r="AS132" s="93">
        <v>5</v>
      </c>
      <c r="AT132" s="93">
        <v>7</v>
      </c>
      <c r="AU132" s="93">
        <v>0</v>
      </c>
      <c r="AV132" s="93">
        <v>3</v>
      </c>
      <c r="AW132" s="93">
        <v>10</v>
      </c>
      <c r="AX132" s="93">
        <v>6</v>
      </c>
      <c r="AY132" s="93">
        <v>2</v>
      </c>
      <c r="AZ132" s="93">
        <v>0</v>
      </c>
      <c r="BA132" s="93">
        <v>1</v>
      </c>
      <c r="BB132" s="93">
        <v>1</v>
      </c>
      <c r="BC132" s="93">
        <v>0</v>
      </c>
      <c r="BD132" s="93">
        <v>8</v>
      </c>
      <c r="BE132" s="93">
        <v>0</v>
      </c>
      <c r="BF132" s="93">
        <v>9</v>
      </c>
      <c r="BG132" s="118"/>
      <c r="BH132" s="116"/>
      <c r="BI132" s="116"/>
    </row>
    <row r="133" spans="1:61" x14ac:dyDescent="0.35">
      <c r="A133" s="95">
        <v>44408</v>
      </c>
      <c r="B133" s="97">
        <v>0</v>
      </c>
      <c r="C133" s="97">
        <v>5</v>
      </c>
      <c r="D133" s="97">
        <v>6</v>
      </c>
      <c r="E133" s="97">
        <v>4</v>
      </c>
      <c r="F133" s="97">
        <v>5</v>
      </c>
      <c r="G133" s="97">
        <v>9</v>
      </c>
      <c r="H133" s="93">
        <v>7</v>
      </c>
      <c r="I133" s="93">
        <v>1</v>
      </c>
      <c r="J133" s="93">
        <v>7</v>
      </c>
      <c r="K133" s="93">
        <v>9</v>
      </c>
      <c r="L133" s="93">
        <v>7</v>
      </c>
      <c r="M133" s="93">
        <v>11</v>
      </c>
      <c r="N133" s="93">
        <v>7</v>
      </c>
      <c r="O133" s="93">
        <v>0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100">
        <v>44408</v>
      </c>
      <c r="AQ133" s="93">
        <v>18</v>
      </c>
      <c r="AR133" s="93">
        <v>7</v>
      </c>
      <c r="AS133" s="93">
        <v>1</v>
      </c>
      <c r="AT133" s="93">
        <v>9</v>
      </c>
      <c r="AU133" s="93">
        <v>5</v>
      </c>
      <c r="AV133" s="93">
        <v>6</v>
      </c>
      <c r="AW133" s="93">
        <v>8</v>
      </c>
      <c r="AX133" s="93">
        <v>4</v>
      </c>
      <c r="AY133" s="93">
        <v>9</v>
      </c>
      <c r="AZ133" s="93">
        <v>10</v>
      </c>
      <c r="BA133" s="93">
        <v>4</v>
      </c>
      <c r="BB133" s="93">
        <v>7</v>
      </c>
      <c r="BC133" s="93">
        <v>4</v>
      </c>
      <c r="BD133" s="93">
        <v>0</v>
      </c>
      <c r="BE133" s="93">
        <v>1</v>
      </c>
      <c r="BF133" s="93">
        <v>9</v>
      </c>
      <c r="BG133" s="118"/>
      <c r="BH133" s="116"/>
      <c r="BI133" s="116"/>
    </row>
    <row r="134" spans="1:61" x14ac:dyDescent="0.35">
      <c r="A134" s="122" t="s">
        <v>184</v>
      </c>
      <c r="B134" s="97">
        <f t="shared" ref="B134:AO134" si="57">SUM(B103:B133)</f>
        <v>145</v>
      </c>
      <c r="C134" s="97">
        <f t="shared" si="57"/>
        <v>118</v>
      </c>
      <c r="D134" s="97">
        <f t="shared" si="57"/>
        <v>146</v>
      </c>
      <c r="E134" s="97">
        <f t="shared" si="57"/>
        <v>268</v>
      </c>
      <c r="F134" s="97">
        <f t="shared" si="57"/>
        <v>154</v>
      </c>
      <c r="G134" s="97">
        <f t="shared" si="57"/>
        <v>176</v>
      </c>
      <c r="H134" s="97">
        <f t="shared" si="57"/>
        <v>349</v>
      </c>
      <c r="I134" s="97">
        <f t="shared" si="57"/>
        <v>225</v>
      </c>
      <c r="J134" s="97">
        <f t="shared" si="57"/>
        <v>191</v>
      </c>
      <c r="K134" s="97">
        <f t="shared" si="57"/>
        <v>206</v>
      </c>
      <c r="L134" s="97">
        <f t="shared" si="57"/>
        <v>211</v>
      </c>
      <c r="M134" s="97">
        <f t="shared" si="57"/>
        <v>161</v>
      </c>
      <c r="N134" s="97">
        <f t="shared" si="57"/>
        <v>186</v>
      </c>
      <c r="O134" s="97">
        <f t="shared" si="57"/>
        <v>147</v>
      </c>
      <c r="P134" s="97">
        <f t="shared" si="57"/>
        <v>0</v>
      </c>
      <c r="Q134" s="97">
        <f t="shared" si="57"/>
        <v>0</v>
      </c>
      <c r="R134" s="97">
        <f t="shared" si="57"/>
        <v>0</v>
      </c>
      <c r="S134" s="97">
        <f t="shared" si="57"/>
        <v>0</v>
      </c>
      <c r="T134" s="97">
        <f t="shared" si="57"/>
        <v>0</v>
      </c>
      <c r="U134" s="97">
        <f t="shared" si="57"/>
        <v>0</v>
      </c>
      <c r="V134" s="97">
        <f t="shared" si="57"/>
        <v>0</v>
      </c>
      <c r="W134" s="97">
        <f t="shared" si="57"/>
        <v>0</v>
      </c>
      <c r="X134" s="97">
        <f t="shared" si="57"/>
        <v>0</v>
      </c>
      <c r="Y134" s="97">
        <f t="shared" si="57"/>
        <v>0</v>
      </c>
      <c r="Z134" s="97">
        <f t="shared" si="57"/>
        <v>0</v>
      </c>
      <c r="AA134" s="97">
        <f t="shared" si="57"/>
        <v>0</v>
      </c>
      <c r="AB134" s="97">
        <f t="shared" si="57"/>
        <v>0</v>
      </c>
      <c r="AC134" s="97">
        <f t="shared" si="57"/>
        <v>0</v>
      </c>
      <c r="AD134" s="97">
        <f t="shared" si="57"/>
        <v>0</v>
      </c>
      <c r="AE134" s="97">
        <f t="shared" si="57"/>
        <v>0</v>
      </c>
      <c r="AF134" s="97">
        <f t="shared" si="57"/>
        <v>0</v>
      </c>
      <c r="AG134" s="97">
        <f t="shared" si="57"/>
        <v>0</v>
      </c>
      <c r="AH134" s="97">
        <f t="shared" si="57"/>
        <v>0</v>
      </c>
      <c r="AI134" s="97">
        <f t="shared" si="57"/>
        <v>0</v>
      </c>
      <c r="AJ134" s="97">
        <f t="shared" si="57"/>
        <v>0</v>
      </c>
      <c r="AK134" s="97">
        <f t="shared" si="57"/>
        <v>0</v>
      </c>
      <c r="AL134" s="97">
        <f t="shared" si="57"/>
        <v>0</v>
      </c>
      <c r="AM134" s="97">
        <f t="shared" si="57"/>
        <v>0</v>
      </c>
      <c r="AN134" s="97">
        <f t="shared" si="57"/>
        <v>0</v>
      </c>
      <c r="AO134" s="97">
        <f t="shared" si="57"/>
        <v>0</v>
      </c>
      <c r="AP134" s="100"/>
      <c r="AQ134" s="97">
        <f t="shared" ref="AQ134" si="58">SUM(AQ103:AQ133)</f>
        <v>317</v>
      </c>
      <c r="AR134" s="97">
        <f t="shared" ref="AR134" si="59">SUM(AR103:AR133)</f>
        <v>203</v>
      </c>
      <c r="AS134" s="97">
        <f t="shared" ref="AS134" si="60">SUM(AS103:AS133)</f>
        <v>130</v>
      </c>
      <c r="AT134" s="97">
        <f t="shared" ref="AT134" si="61">SUM(AT103:AT133)</f>
        <v>155</v>
      </c>
      <c r="AU134" s="97">
        <f t="shared" ref="AU134" si="62">SUM(AU103:AU133)</f>
        <v>100</v>
      </c>
      <c r="AV134" s="97">
        <f t="shared" ref="AV134" si="63">SUM(AV103:AV133)</f>
        <v>141</v>
      </c>
      <c r="AW134" s="97">
        <f t="shared" ref="AW134" si="64">SUM(AW103:AW133)</f>
        <v>174</v>
      </c>
      <c r="AX134" s="97">
        <f t="shared" ref="AX134" si="65">SUM(AX103:AX133)</f>
        <v>166</v>
      </c>
      <c r="AY134" s="97">
        <f t="shared" ref="AY134" si="66">SUM(AY103:AY133)</f>
        <v>142</v>
      </c>
      <c r="AZ134" s="97">
        <f t="shared" ref="AZ134" si="67">SUM(AZ103:AZ133)</f>
        <v>179</v>
      </c>
      <c r="BA134" s="97">
        <f t="shared" ref="BA134" si="68">SUM(BA103:BA133)</f>
        <v>136</v>
      </c>
      <c r="BB134" s="97">
        <f t="shared" ref="BB134" si="69">SUM(BB103:BB133)</f>
        <v>133</v>
      </c>
      <c r="BC134" s="97">
        <f t="shared" ref="BC134" si="70">SUM(BC103:BC133)</f>
        <v>141</v>
      </c>
      <c r="BD134" s="97">
        <f t="shared" ref="BD134" si="71">SUM(BD103:BD133)</f>
        <v>141</v>
      </c>
      <c r="BE134" s="97">
        <f t="shared" ref="BE134" si="72">SUM(BE103:BE133)</f>
        <v>184</v>
      </c>
      <c r="BF134" s="97">
        <f t="shared" ref="BF134" si="73">SUM(BF103:BF133)</f>
        <v>196</v>
      </c>
      <c r="BG134" s="107"/>
      <c r="BH134" s="116"/>
      <c r="BI134" s="116"/>
    </row>
    <row r="135" spans="1:61" x14ac:dyDescent="0.35">
      <c r="A135" s="122" t="s">
        <v>233</v>
      </c>
      <c r="B135" s="97">
        <v>100</v>
      </c>
      <c r="C135" s="97">
        <v>40</v>
      </c>
      <c r="D135" s="97">
        <v>50</v>
      </c>
      <c r="E135" s="97">
        <v>100</v>
      </c>
      <c r="F135" s="97">
        <v>30</v>
      </c>
      <c r="G135" s="97">
        <v>100</v>
      </c>
      <c r="H135" s="97">
        <v>75</v>
      </c>
      <c r="I135" s="97">
        <v>50</v>
      </c>
      <c r="J135" s="97">
        <v>80</v>
      </c>
      <c r="K135" s="97">
        <v>80</v>
      </c>
      <c r="L135" s="97">
        <v>150</v>
      </c>
      <c r="M135" s="97">
        <v>160</v>
      </c>
      <c r="N135" s="97">
        <v>80</v>
      </c>
      <c r="O135" s="97">
        <v>60</v>
      </c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00"/>
      <c r="AQ135" s="97">
        <v>20</v>
      </c>
      <c r="AR135" s="97">
        <v>25</v>
      </c>
      <c r="AS135" s="97">
        <v>30</v>
      </c>
      <c r="AT135" s="97">
        <v>25</v>
      </c>
      <c r="AU135" s="97">
        <v>20</v>
      </c>
      <c r="AV135" s="97">
        <v>25</v>
      </c>
      <c r="AW135" s="97">
        <v>30</v>
      </c>
      <c r="AX135" s="97">
        <v>30</v>
      </c>
      <c r="AY135" s="97">
        <v>35</v>
      </c>
      <c r="AZ135" s="97">
        <v>32</v>
      </c>
      <c r="BA135" s="97">
        <v>25</v>
      </c>
      <c r="BB135" s="97">
        <v>20</v>
      </c>
      <c r="BC135" s="97">
        <v>20</v>
      </c>
      <c r="BD135" s="97">
        <v>20</v>
      </c>
      <c r="BE135" s="97">
        <v>30</v>
      </c>
      <c r="BF135" s="97">
        <v>30</v>
      </c>
      <c r="BG135" s="107"/>
      <c r="BH135" s="116"/>
      <c r="BI135" s="116"/>
    </row>
    <row r="136" spans="1:61" x14ac:dyDescent="0.35">
      <c r="A136" s="122" t="s">
        <v>239</v>
      </c>
      <c r="B136" s="97">
        <f>B134*B135</f>
        <v>14500</v>
      </c>
      <c r="C136" s="97">
        <f t="shared" ref="C136:O136" si="74">C134*C135</f>
        <v>4720</v>
      </c>
      <c r="D136" s="97">
        <f t="shared" si="74"/>
        <v>7300</v>
      </c>
      <c r="E136" s="97">
        <f t="shared" si="74"/>
        <v>26800</v>
      </c>
      <c r="F136" s="97">
        <f t="shared" si="74"/>
        <v>4620</v>
      </c>
      <c r="G136" s="97">
        <f t="shared" si="74"/>
        <v>17600</v>
      </c>
      <c r="H136" s="97">
        <f t="shared" si="74"/>
        <v>26175</v>
      </c>
      <c r="I136" s="97">
        <f t="shared" si="74"/>
        <v>11250</v>
      </c>
      <c r="J136" s="97">
        <f t="shared" si="74"/>
        <v>15280</v>
      </c>
      <c r="K136" s="97">
        <f t="shared" si="74"/>
        <v>16480</v>
      </c>
      <c r="L136" s="97">
        <f t="shared" si="74"/>
        <v>31650</v>
      </c>
      <c r="M136" s="97">
        <f t="shared" si="74"/>
        <v>25760</v>
      </c>
      <c r="N136" s="97">
        <f t="shared" si="74"/>
        <v>14880</v>
      </c>
      <c r="O136" s="97">
        <f t="shared" si="74"/>
        <v>8820</v>
      </c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00"/>
      <c r="AQ136" s="97">
        <f>AQ134*AQ135</f>
        <v>6340</v>
      </c>
      <c r="AR136" s="97">
        <f t="shared" ref="AR136:BF136" si="75">AR134*AR135</f>
        <v>5075</v>
      </c>
      <c r="AS136" s="97">
        <f t="shared" si="75"/>
        <v>3900</v>
      </c>
      <c r="AT136" s="97">
        <f t="shared" si="75"/>
        <v>3875</v>
      </c>
      <c r="AU136" s="97">
        <f t="shared" si="75"/>
        <v>2000</v>
      </c>
      <c r="AV136" s="97">
        <f t="shared" si="75"/>
        <v>3525</v>
      </c>
      <c r="AW136" s="97">
        <f t="shared" si="75"/>
        <v>5220</v>
      </c>
      <c r="AX136" s="97">
        <f t="shared" si="75"/>
        <v>4980</v>
      </c>
      <c r="AY136" s="97">
        <f t="shared" si="75"/>
        <v>4970</v>
      </c>
      <c r="AZ136" s="97">
        <f t="shared" si="75"/>
        <v>5728</v>
      </c>
      <c r="BA136" s="97">
        <f t="shared" si="75"/>
        <v>3400</v>
      </c>
      <c r="BB136" s="97">
        <f t="shared" si="75"/>
        <v>2660</v>
      </c>
      <c r="BC136" s="97">
        <f t="shared" si="75"/>
        <v>2820</v>
      </c>
      <c r="BD136" s="97">
        <f t="shared" si="75"/>
        <v>2820</v>
      </c>
      <c r="BE136" s="97">
        <f t="shared" si="75"/>
        <v>5520</v>
      </c>
      <c r="BF136" s="97">
        <f t="shared" si="75"/>
        <v>5880</v>
      </c>
      <c r="BG136" s="107"/>
      <c r="BH136" s="116"/>
      <c r="BI136" s="116"/>
    </row>
    <row r="137" spans="1:61" ht="29" x14ac:dyDescent="0.35">
      <c r="A137" s="199" t="s">
        <v>240</v>
      </c>
      <c r="B137" s="97">
        <f>SUM(B136:O136)</f>
        <v>225835</v>
      </c>
      <c r="C137" s="97">
        <f>Table3[[#This Row],[Column2]]*95%</f>
        <v>214543.25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00"/>
      <c r="AQ137" s="97">
        <f>SUM(AQ136:BF136)</f>
        <v>68713</v>
      </c>
      <c r="AR137" s="97">
        <f>Table5[[#This Row],[Column1]]*95%</f>
        <v>65277.35</v>
      </c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196" t="s">
        <v>241</v>
      </c>
      <c r="BH137" s="116"/>
      <c r="BI137" s="116"/>
    </row>
    <row r="138" spans="1:61" ht="15.5" x14ac:dyDescent="0.35">
      <c r="A138" s="104" t="s">
        <v>178</v>
      </c>
      <c r="B138" s="101">
        <v>5</v>
      </c>
      <c r="C138" s="101">
        <v>3</v>
      </c>
      <c r="D138" s="101">
        <v>4</v>
      </c>
      <c r="E138" s="101">
        <v>8</v>
      </c>
      <c r="F138" s="101">
        <v>3</v>
      </c>
      <c r="G138" s="101">
        <v>3</v>
      </c>
      <c r="H138" s="102">
        <v>4</v>
      </c>
      <c r="I138" s="102">
        <v>7</v>
      </c>
      <c r="J138" s="102">
        <v>0</v>
      </c>
      <c r="K138" s="102">
        <v>6</v>
      </c>
      <c r="L138" s="102">
        <v>5</v>
      </c>
      <c r="M138" s="102">
        <v>6</v>
      </c>
      <c r="N138" s="102">
        <v>6</v>
      </c>
      <c r="O138" s="102">
        <v>6</v>
      </c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0">
        <v>44409</v>
      </c>
      <c r="AQ138" s="102">
        <v>10</v>
      </c>
      <c r="AR138" s="102">
        <v>6</v>
      </c>
      <c r="AS138" s="102">
        <v>3</v>
      </c>
      <c r="AT138" s="102">
        <v>2</v>
      </c>
      <c r="AU138" s="102">
        <v>2</v>
      </c>
      <c r="AV138" s="102">
        <v>1</v>
      </c>
      <c r="AW138" s="102">
        <v>7</v>
      </c>
      <c r="AX138" s="102">
        <v>3</v>
      </c>
      <c r="AY138" s="102">
        <v>0</v>
      </c>
      <c r="AZ138" s="102">
        <v>0</v>
      </c>
      <c r="BA138" s="102">
        <v>4</v>
      </c>
      <c r="BB138" s="102">
        <v>5</v>
      </c>
      <c r="BC138" s="102">
        <v>0</v>
      </c>
      <c r="BD138" s="102">
        <v>5</v>
      </c>
      <c r="BE138" s="102">
        <v>0</v>
      </c>
      <c r="BF138" s="102">
        <v>5</v>
      </c>
      <c r="BG138" s="118">
        <f>SUM(AQ137,B137)</f>
        <v>294548</v>
      </c>
      <c r="BH138" s="116"/>
      <c r="BI138" s="116"/>
    </row>
    <row r="139" spans="1:61" x14ac:dyDescent="0.35">
      <c r="A139" s="95">
        <v>44410</v>
      </c>
      <c r="B139" s="97">
        <v>4</v>
      </c>
      <c r="C139" s="97">
        <v>4</v>
      </c>
      <c r="D139" s="97">
        <v>4</v>
      </c>
      <c r="E139" s="97">
        <v>10</v>
      </c>
      <c r="F139" s="97">
        <v>8</v>
      </c>
      <c r="G139" s="97">
        <v>2</v>
      </c>
      <c r="H139" s="93">
        <v>3</v>
      </c>
      <c r="I139" s="93">
        <v>6</v>
      </c>
      <c r="J139" s="93">
        <v>5</v>
      </c>
      <c r="K139" s="93">
        <v>7</v>
      </c>
      <c r="L139" s="93">
        <v>0</v>
      </c>
      <c r="M139" s="93">
        <v>5</v>
      </c>
      <c r="N139" s="93">
        <v>6</v>
      </c>
      <c r="O139" s="93">
        <v>6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100">
        <v>44410</v>
      </c>
      <c r="AQ139" s="93">
        <v>9</v>
      </c>
      <c r="AR139" s="93">
        <v>2</v>
      </c>
      <c r="AS139" s="93">
        <v>0</v>
      </c>
      <c r="AT139" s="93">
        <v>3</v>
      </c>
      <c r="AU139" s="93">
        <v>3</v>
      </c>
      <c r="AV139" s="93">
        <v>4</v>
      </c>
      <c r="AW139" s="93">
        <v>2</v>
      </c>
      <c r="AX139" s="93">
        <v>5</v>
      </c>
      <c r="AY139" s="93">
        <v>3</v>
      </c>
      <c r="AZ139" s="93">
        <v>0</v>
      </c>
      <c r="BA139" s="93">
        <v>2</v>
      </c>
      <c r="BB139" s="93">
        <v>3</v>
      </c>
      <c r="BC139" s="93">
        <v>3</v>
      </c>
      <c r="BD139" s="93">
        <v>5</v>
      </c>
      <c r="BE139" s="93">
        <v>3</v>
      </c>
      <c r="BF139" s="93">
        <v>5</v>
      </c>
      <c r="BG139" s="118">
        <f>SUM(AR137,C137)</f>
        <v>279820.59999999998</v>
      </c>
      <c r="BH139" s="116" t="s">
        <v>251</v>
      </c>
      <c r="BI139" s="116"/>
    </row>
    <row r="140" spans="1:61" x14ac:dyDescent="0.35">
      <c r="A140" s="95">
        <v>44411</v>
      </c>
      <c r="B140" s="97">
        <v>4</v>
      </c>
      <c r="C140" s="97">
        <v>2</v>
      </c>
      <c r="D140" s="97">
        <v>1</v>
      </c>
      <c r="E140" s="97">
        <v>7</v>
      </c>
      <c r="F140" s="97">
        <v>7</v>
      </c>
      <c r="G140" s="97">
        <v>3</v>
      </c>
      <c r="H140" s="93">
        <v>3</v>
      </c>
      <c r="I140" s="93">
        <v>8</v>
      </c>
      <c r="J140" s="93">
        <v>5</v>
      </c>
      <c r="K140" s="93">
        <v>1</v>
      </c>
      <c r="L140" s="93">
        <v>9</v>
      </c>
      <c r="M140" s="93">
        <v>3</v>
      </c>
      <c r="N140" s="93">
        <v>7</v>
      </c>
      <c r="O140" s="93">
        <v>6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100">
        <v>44411</v>
      </c>
      <c r="AQ140" s="93">
        <v>7</v>
      </c>
      <c r="AR140" s="93">
        <v>1</v>
      </c>
      <c r="AS140" s="93">
        <v>3</v>
      </c>
      <c r="AT140" s="93">
        <v>2</v>
      </c>
      <c r="AU140" s="93">
        <v>1</v>
      </c>
      <c r="AV140" s="93">
        <v>6</v>
      </c>
      <c r="AW140" s="93">
        <v>8</v>
      </c>
      <c r="AX140" s="93">
        <v>2</v>
      </c>
      <c r="AY140" s="93">
        <v>0</v>
      </c>
      <c r="AZ140" s="93">
        <v>1</v>
      </c>
      <c r="BA140" s="93">
        <v>2</v>
      </c>
      <c r="BB140" s="93">
        <v>4</v>
      </c>
      <c r="BC140" s="93">
        <v>0</v>
      </c>
      <c r="BD140" s="93">
        <v>3</v>
      </c>
      <c r="BE140" s="93">
        <v>5</v>
      </c>
      <c r="BF140" s="93">
        <v>1</v>
      </c>
      <c r="BG140" s="118">
        <f>BG139*90%</f>
        <v>251838.53999999998</v>
      </c>
      <c r="BH140" s="116" t="s">
        <v>252</v>
      </c>
      <c r="BI140" s="116"/>
    </row>
    <row r="141" spans="1:61" x14ac:dyDescent="0.35">
      <c r="A141" s="95">
        <v>44412</v>
      </c>
      <c r="B141" s="97">
        <v>7</v>
      </c>
      <c r="C141" s="97">
        <v>5</v>
      </c>
      <c r="D141" s="97">
        <v>8</v>
      </c>
      <c r="E141" s="97">
        <v>5</v>
      </c>
      <c r="F141" s="97">
        <v>3</v>
      </c>
      <c r="G141" s="97">
        <v>1</v>
      </c>
      <c r="H141" s="93">
        <v>8</v>
      </c>
      <c r="I141" s="93">
        <v>9</v>
      </c>
      <c r="J141" s="93">
        <v>2</v>
      </c>
      <c r="K141" s="93">
        <v>8</v>
      </c>
      <c r="L141" s="93">
        <v>8</v>
      </c>
      <c r="M141" s="93">
        <v>2</v>
      </c>
      <c r="N141" s="93">
        <v>0</v>
      </c>
      <c r="O141" s="93">
        <v>2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100">
        <v>44412</v>
      </c>
      <c r="AQ141" s="93">
        <v>0</v>
      </c>
      <c r="AR141" s="93">
        <v>2</v>
      </c>
      <c r="AS141" s="93">
        <v>2</v>
      </c>
      <c r="AT141" s="93">
        <v>4</v>
      </c>
      <c r="AU141" s="93">
        <v>2</v>
      </c>
      <c r="AV141" s="93">
        <v>3</v>
      </c>
      <c r="AW141" s="93">
        <v>8</v>
      </c>
      <c r="AX141" s="93">
        <v>1</v>
      </c>
      <c r="AY141" s="93">
        <v>0</v>
      </c>
      <c r="AZ141" s="93">
        <v>0</v>
      </c>
      <c r="BA141" s="93">
        <v>4</v>
      </c>
      <c r="BB141" s="93">
        <v>0</v>
      </c>
      <c r="BC141" s="93">
        <v>4</v>
      </c>
      <c r="BD141" s="93">
        <v>0</v>
      </c>
      <c r="BE141" s="93">
        <v>5</v>
      </c>
      <c r="BF141" s="93">
        <v>3</v>
      </c>
      <c r="BG141" s="118"/>
      <c r="BH141" s="116"/>
      <c r="BI141" s="116"/>
    </row>
    <row r="142" spans="1:61" x14ac:dyDescent="0.35">
      <c r="A142" s="95">
        <v>44413</v>
      </c>
      <c r="B142" s="97">
        <v>7</v>
      </c>
      <c r="C142" s="97">
        <v>1</v>
      </c>
      <c r="D142" s="97">
        <v>0</v>
      </c>
      <c r="E142" s="97">
        <v>3</v>
      </c>
      <c r="F142" s="97">
        <v>0</v>
      </c>
      <c r="G142" s="97">
        <v>0</v>
      </c>
      <c r="H142" s="93">
        <v>5</v>
      </c>
      <c r="I142" s="93">
        <v>5</v>
      </c>
      <c r="J142" s="93">
        <v>6</v>
      </c>
      <c r="K142" s="93">
        <v>8</v>
      </c>
      <c r="L142" s="93">
        <v>10</v>
      </c>
      <c r="M142" s="93">
        <v>4</v>
      </c>
      <c r="N142" s="93">
        <v>2</v>
      </c>
      <c r="O142" s="93">
        <v>2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100">
        <v>44413</v>
      </c>
      <c r="AQ142" s="93">
        <v>7</v>
      </c>
      <c r="AR142" s="93">
        <v>3</v>
      </c>
      <c r="AS142" s="93">
        <v>5</v>
      </c>
      <c r="AT142" s="93">
        <v>3</v>
      </c>
      <c r="AU142" s="93">
        <v>2</v>
      </c>
      <c r="AV142" s="93">
        <v>2</v>
      </c>
      <c r="AW142" s="93">
        <v>0</v>
      </c>
      <c r="AX142" s="93">
        <v>3</v>
      </c>
      <c r="AY142" s="93">
        <v>2</v>
      </c>
      <c r="AZ142" s="93">
        <v>5</v>
      </c>
      <c r="BA142" s="93">
        <v>1</v>
      </c>
      <c r="BB142" s="93">
        <v>2</v>
      </c>
      <c r="BC142" s="93">
        <v>0</v>
      </c>
      <c r="BD142" s="93">
        <v>0</v>
      </c>
      <c r="BE142" s="93">
        <v>5</v>
      </c>
      <c r="BF142" s="93">
        <v>1</v>
      </c>
      <c r="BG142" s="118"/>
      <c r="BH142" s="116"/>
      <c r="BI142" s="116"/>
    </row>
    <row r="143" spans="1:61" x14ac:dyDescent="0.35">
      <c r="A143" s="95">
        <v>44414</v>
      </c>
      <c r="B143" s="97">
        <v>0</v>
      </c>
      <c r="C143" s="97">
        <v>0</v>
      </c>
      <c r="D143" s="97">
        <v>4</v>
      </c>
      <c r="E143" s="97">
        <v>3</v>
      </c>
      <c r="F143" s="97">
        <v>4</v>
      </c>
      <c r="G143" s="97">
        <v>3</v>
      </c>
      <c r="H143" s="93">
        <v>3</v>
      </c>
      <c r="I143" s="93">
        <v>6</v>
      </c>
      <c r="J143" s="93">
        <v>2</v>
      </c>
      <c r="K143" s="93">
        <v>5</v>
      </c>
      <c r="L143" s="93">
        <v>7</v>
      </c>
      <c r="M143" s="93">
        <v>0</v>
      </c>
      <c r="N143" s="93">
        <v>1</v>
      </c>
      <c r="O143" s="93">
        <v>4</v>
      </c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100">
        <v>44414</v>
      </c>
      <c r="AQ143" s="93">
        <v>6</v>
      </c>
      <c r="AR143" s="93">
        <v>10</v>
      </c>
      <c r="AS143" s="93">
        <v>3</v>
      </c>
      <c r="AT143" s="93">
        <v>5</v>
      </c>
      <c r="AU143" s="93">
        <v>2</v>
      </c>
      <c r="AV143" s="93">
        <v>3</v>
      </c>
      <c r="AW143" s="93">
        <v>8</v>
      </c>
      <c r="AX143" s="93">
        <v>1</v>
      </c>
      <c r="AY143" s="93">
        <v>5</v>
      </c>
      <c r="AZ143" s="93">
        <v>1</v>
      </c>
      <c r="BA143" s="93">
        <v>0</v>
      </c>
      <c r="BB143" s="93">
        <v>1</v>
      </c>
      <c r="BC143" s="93">
        <v>3</v>
      </c>
      <c r="BD143" s="93">
        <v>0</v>
      </c>
      <c r="BE143" s="93">
        <v>2</v>
      </c>
      <c r="BF143" s="93">
        <v>4</v>
      </c>
      <c r="BG143" s="118"/>
      <c r="BH143" s="116"/>
      <c r="BI143" s="116"/>
    </row>
    <row r="144" spans="1:61" x14ac:dyDescent="0.35">
      <c r="A144" s="95">
        <v>44415</v>
      </c>
      <c r="B144" s="97">
        <v>0</v>
      </c>
      <c r="C144" s="97">
        <v>3</v>
      </c>
      <c r="D144" s="97">
        <v>8</v>
      </c>
      <c r="E144" s="97">
        <v>5</v>
      </c>
      <c r="F144" s="97">
        <v>2</v>
      </c>
      <c r="G144" s="97">
        <v>5</v>
      </c>
      <c r="H144" s="93">
        <v>3</v>
      </c>
      <c r="I144" s="93">
        <v>7</v>
      </c>
      <c r="J144" s="93">
        <v>6</v>
      </c>
      <c r="K144" s="93">
        <v>0</v>
      </c>
      <c r="L144" s="93">
        <v>9</v>
      </c>
      <c r="M144" s="93">
        <v>3</v>
      </c>
      <c r="N144" s="93">
        <v>3</v>
      </c>
      <c r="O144" s="93">
        <v>1</v>
      </c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100">
        <v>44415</v>
      </c>
      <c r="AQ144" s="93">
        <v>12</v>
      </c>
      <c r="AR144" s="93">
        <v>1</v>
      </c>
      <c r="AS144" s="93">
        <v>5</v>
      </c>
      <c r="AT144" s="93">
        <v>3</v>
      </c>
      <c r="AU144" s="93">
        <v>3</v>
      </c>
      <c r="AV144" s="93">
        <v>5</v>
      </c>
      <c r="AW144" s="93">
        <v>8</v>
      </c>
      <c r="AX144" s="93">
        <v>5</v>
      </c>
      <c r="AY144" s="93">
        <v>2</v>
      </c>
      <c r="AZ144" s="93">
        <v>0</v>
      </c>
      <c r="BA144" s="93">
        <v>3</v>
      </c>
      <c r="BB144" s="93">
        <v>5</v>
      </c>
      <c r="BC144" s="93">
        <v>2</v>
      </c>
      <c r="BD144" s="93">
        <v>4</v>
      </c>
      <c r="BE144" s="93">
        <v>3</v>
      </c>
      <c r="BF144" s="93">
        <v>4</v>
      </c>
      <c r="BG144" s="118"/>
      <c r="BH144" s="116"/>
      <c r="BI144" s="116"/>
    </row>
    <row r="145" spans="1:61" x14ac:dyDescent="0.35">
      <c r="A145" s="95">
        <v>44416</v>
      </c>
      <c r="B145" s="97">
        <v>7</v>
      </c>
      <c r="C145" s="97">
        <v>4</v>
      </c>
      <c r="D145" s="97">
        <v>4</v>
      </c>
      <c r="E145" s="97">
        <v>7</v>
      </c>
      <c r="F145" s="97">
        <v>1</v>
      </c>
      <c r="G145" s="97">
        <v>2</v>
      </c>
      <c r="H145" s="93">
        <v>2</v>
      </c>
      <c r="I145" s="93">
        <v>2</v>
      </c>
      <c r="J145" s="93">
        <v>4</v>
      </c>
      <c r="K145" s="93">
        <v>4</v>
      </c>
      <c r="L145" s="93">
        <v>8</v>
      </c>
      <c r="M145" s="93">
        <v>0</v>
      </c>
      <c r="N145" s="93">
        <v>0</v>
      </c>
      <c r="O145" s="93">
        <v>1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100">
        <v>44416</v>
      </c>
      <c r="AQ145" s="93">
        <v>5</v>
      </c>
      <c r="AR145" s="93">
        <v>6</v>
      </c>
      <c r="AS145" s="93">
        <v>1</v>
      </c>
      <c r="AT145" s="93">
        <v>2</v>
      </c>
      <c r="AU145" s="93">
        <v>0</v>
      </c>
      <c r="AV145" s="93">
        <v>4</v>
      </c>
      <c r="AW145" s="93">
        <v>9</v>
      </c>
      <c r="AX145" s="93">
        <v>3</v>
      </c>
      <c r="AY145" s="93">
        <v>4</v>
      </c>
      <c r="AZ145" s="93">
        <v>1</v>
      </c>
      <c r="BA145" s="93">
        <v>4</v>
      </c>
      <c r="BB145" s="93">
        <v>5</v>
      </c>
      <c r="BC145" s="93">
        <v>4</v>
      </c>
      <c r="BD145" s="93">
        <v>5</v>
      </c>
      <c r="BE145" s="93">
        <v>5</v>
      </c>
      <c r="BF145" s="93">
        <v>0</v>
      </c>
      <c r="BG145" s="118"/>
      <c r="BH145" s="116"/>
      <c r="BI145" s="116"/>
    </row>
    <row r="146" spans="1:61" x14ac:dyDescent="0.35">
      <c r="A146" s="95">
        <v>44417</v>
      </c>
      <c r="B146" s="97">
        <v>0</v>
      </c>
      <c r="C146" s="97">
        <v>3</v>
      </c>
      <c r="D146" s="97">
        <v>1</v>
      </c>
      <c r="E146" s="97">
        <v>10</v>
      </c>
      <c r="F146" s="97">
        <v>4</v>
      </c>
      <c r="G146" s="97">
        <v>1</v>
      </c>
      <c r="H146" s="93">
        <v>10</v>
      </c>
      <c r="I146" s="93">
        <v>1</v>
      </c>
      <c r="J146" s="93">
        <v>7</v>
      </c>
      <c r="K146" s="93">
        <v>6</v>
      </c>
      <c r="L146" s="93">
        <v>8</v>
      </c>
      <c r="M146" s="93">
        <v>2</v>
      </c>
      <c r="N146" s="93">
        <v>3</v>
      </c>
      <c r="O146" s="93">
        <v>0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100">
        <v>44417</v>
      </c>
      <c r="AQ146" s="93">
        <v>4</v>
      </c>
      <c r="AR146" s="93">
        <v>2</v>
      </c>
      <c r="AS146" s="93">
        <v>5</v>
      </c>
      <c r="AT146" s="93">
        <v>2</v>
      </c>
      <c r="AU146" s="93">
        <v>0</v>
      </c>
      <c r="AV146" s="93">
        <v>7</v>
      </c>
      <c r="AW146" s="93">
        <v>1</v>
      </c>
      <c r="AX146" s="93">
        <v>5</v>
      </c>
      <c r="AY146" s="93">
        <v>0</v>
      </c>
      <c r="AZ146" s="93">
        <v>4</v>
      </c>
      <c r="BA146" s="93">
        <v>2</v>
      </c>
      <c r="BB146" s="93">
        <v>3</v>
      </c>
      <c r="BC146" s="93">
        <v>5</v>
      </c>
      <c r="BD146" s="93">
        <v>0</v>
      </c>
      <c r="BE146" s="93">
        <v>0</v>
      </c>
      <c r="BF146" s="93">
        <v>5</v>
      </c>
      <c r="BG146" s="118"/>
      <c r="BH146" s="116"/>
      <c r="BI146" s="116"/>
    </row>
    <row r="147" spans="1:61" x14ac:dyDescent="0.35">
      <c r="A147" s="95">
        <v>44418</v>
      </c>
      <c r="B147" s="97">
        <v>7</v>
      </c>
      <c r="C147" s="97">
        <v>3</v>
      </c>
      <c r="D147" s="97">
        <v>4</v>
      </c>
      <c r="E147" s="97">
        <v>6</v>
      </c>
      <c r="F147" s="97">
        <v>0</v>
      </c>
      <c r="G147" s="97">
        <v>5</v>
      </c>
      <c r="H147" s="93">
        <v>10</v>
      </c>
      <c r="I147" s="93">
        <v>4</v>
      </c>
      <c r="J147" s="93">
        <v>0</v>
      </c>
      <c r="K147" s="93">
        <v>2</v>
      </c>
      <c r="L147" s="93">
        <v>6</v>
      </c>
      <c r="M147" s="93">
        <v>5</v>
      </c>
      <c r="N147" s="93">
        <v>4</v>
      </c>
      <c r="O147" s="93">
        <v>4</v>
      </c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100">
        <v>44418</v>
      </c>
      <c r="AQ147" s="93">
        <v>8</v>
      </c>
      <c r="AR147" s="93">
        <v>1</v>
      </c>
      <c r="AS147" s="93">
        <v>4</v>
      </c>
      <c r="AT147" s="93">
        <v>5</v>
      </c>
      <c r="AU147" s="93">
        <v>0</v>
      </c>
      <c r="AV147" s="93">
        <v>3</v>
      </c>
      <c r="AW147" s="93">
        <v>2</v>
      </c>
      <c r="AX147" s="93">
        <v>5</v>
      </c>
      <c r="AY147" s="93">
        <v>3</v>
      </c>
      <c r="AZ147" s="93">
        <v>3</v>
      </c>
      <c r="BA147" s="93">
        <v>1</v>
      </c>
      <c r="BB147" s="93">
        <v>4</v>
      </c>
      <c r="BC147" s="93">
        <v>0</v>
      </c>
      <c r="BD147" s="93">
        <v>3</v>
      </c>
      <c r="BE147" s="93">
        <v>1</v>
      </c>
      <c r="BF147" s="93">
        <v>3</v>
      </c>
      <c r="BG147" s="118"/>
      <c r="BH147" s="116"/>
      <c r="BI147" s="116"/>
    </row>
    <row r="148" spans="1:61" x14ac:dyDescent="0.35">
      <c r="A148" s="95">
        <v>44419</v>
      </c>
      <c r="B148" s="97">
        <v>5</v>
      </c>
      <c r="C148" s="97">
        <v>0</v>
      </c>
      <c r="D148" s="97">
        <v>5</v>
      </c>
      <c r="E148" s="97">
        <v>3</v>
      </c>
      <c r="F148" s="97">
        <v>6</v>
      </c>
      <c r="G148" s="97">
        <v>6</v>
      </c>
      <c r="H148" s="93">
        <v>0</v>
      </c>
      <c r="I148" s="93">
        <v>2</v>
      </c>
      <c r="J148" s="93">
        <v>5</v>
      </c>
      <c r="K148" s="93">
        <v>6</v>
      </c>
      <c r="L148" s="93">
        <v>8</v>
      </c>
      <c r="M148" s="93">
        <v>3</v>
      </c>
      <c r="N148" s="93">
        <v>3</v>
      </c>
      <c r="O148" s="93">
        <v>6</v>
      </c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100">
        <v>44419</v>
      </c>
      <c r="AQ148" s="93">
        <v>10</v>
      </c>
      <c r="AR148" s="93">
        <v>8</v>
      </c>
      <c r="AS148" s="93">
        <v>6</v>
      </c>
      <c r="AT148" s="93">
        <v>0</v>
      </c>
      <c r="AU148" s="93">
        <v>2</v>
      </c>
      <c r="AV148" s="93">
        <v>4</v>
      </c>
      <c r="AW148" s="93">
        <v>1</v>
      </c>
      <c r="AX148" s="93">
        <v>1</v>
      </c>
      <c r="AY148" s="93">
        <v>0</v>
      </c>
      <c r="AZ148" s="93">
        <v>2</v>
      </c>
      <c r="BA148" s="93">
        <v>3</v>
      </c>
      <c r="BB148" s="93">
        <v>2</v>
      </c>
      <c r="BC148" s="93">
        <v>4</v>
      </c>
      <c r="BD148" s="93">
        <v>2</v>
      </c>
      <c r="BE148" s="93">
        <v>3</v>
      </c>
      <c r="BF148" s="93">
        <v>1</v>
      </c>
      <c r="BG148" s="118"/>
      <c r="BH148" s="116"/>
      <c r="BI148" s="116"/>
    </row>
    <row r="149" spans="1:61" x14ac:dyDescent="0.35">
      <c r="A149" s="95">
        <v>44420</v>
      </c>
      <c r="B149" s="97">
        <v>3</v>
      </c>
      <c r="C149" s="97">
        <v>0</v>
      </c>
      <c r="D149" s="97">
        <v>4</v>
      </c>
      <c r="E149" s="97">
        <v>10</v>
      </c>
      <c r="F149" s="97">
        <v>6</v>
      </c>
      <c r="G149" s="97">
        <v>1</v>
      </c>
      <c r="H149" s="93">
        <v>9</v>
      </c>
      <c r="I149" s="93">
        <v>9</v>
      </c>
      <c r="J149" s="93">
        <v>2</v>
      </c>
      <c r="K149" s="93">
        <v>2</v>
      </c>
      <c r="L149" s="93">
        <v>1</v>
      </c>
      <c r="M149" s="93">
        <v>1</v>
      </c>
      <c r="N149" s="93">
        <v>7</v>
      </c>
      <c r="O149" s="93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100">
        <v>44420</v>
      </c>
      <c r="AQ149" s="93">
        <v>3</v>
      </c>
      <c r="AR149" s="93">
        <v>7</v>
      </c>
      <c r="AS149" s="93">
        <v>0</v>
      </c>
      <c r="AT149" s="93">
        <v>2</v>
      </c>
      <c r="AU149" s="93">
        <v>0</v>
      </c>
      <c r="AV149" s="93">
        <v>4</v>
      </c>
      <c r="AW149" s="93">
        <v>9</v>
      </c>
      <c r="AX149" s="93">
        <v>2</v>
      </c>
      <c r="AY149" s="93">
        <v>4</v>
      </c>
      <c r="AZ149" s="93">
        <v>3</v>
      </c>
      <c r="BA149" s="93">
        <v>1</v>
      </c>
      <c r="BB149" s="93">
        <v>3</v>
      </c>
      <c r="BC149" s="93">
        <v>0</v>
      </c>
      <c r="BD149" s="93">
        <v>5</v>
      </c>
      <c r="BE149" s="93">
        <v>1</v>
      </c>
      <c r="BF149" s="93">
        <v>3</v>
      </c>
      <c r="BG149" s="118"/>
      <c r="BH149" s="116"/>
      <c r="BI149" s="116"/>
    </row>
    <row r="150" spans="1:61" x14ac:dyDescent="0.35">
      <c r="A150" s="95">
        <v>44421</v>
      </c>
      <c r="B150" s="97">
        <v>5</v>
      </c>
      <c r="C150" s="97">
        <v>5</v>
      </c>
      <c r="D150" s="97">
        <v>4</v>
      </c>
      <c r="E150" s="97">
        <v>1</v>
      </c>
      <c r="F150" s="97">
        <v>6</v>
      </c>
      <c r="G150" s="97">
        <v>3</v>
      </c>
      <c r="H150" s="93">
        <v>3</v>
      </c>
      <c r="I150" s="93">
        <v>6</v>
      </c>
      <c r="J150" s="93">
        <v>0</v>
      </c>
      <c r="K150" s="93">
        <v>6</v>
      </c>
      <c r="L150" s="93">
        <v>0</v>
      </c>
      <c r="M150" s="93">
        <v>1</v>
      </c>
      <c r="N150" s="93">
        <v>4</v>
      </c>
      <c r="O150" s="93">
        <v>2</v>
      </c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100">
        <v>44421</v>
      </c>
      <c r="AQ150" s="93">
        <v>6</v>
      </c>
      <c r="AR150" s="93">
        <v>8</v>
      </c>
      <c r="AS150" s="93">
        <v>6</v>
      </c>
      <c r="AT150" s="93">
        <v>3</v>
      </c>
      <c r="AU150" s="93">
        <v>1</v>
      </c>
      <c r="AV150" s="93">
        <v>3</v>
      </c>
      <c r="AW150" s="93">
        <v>6</v>
      </c>
      <c r="AX150" s="93">
        <v>4</v>
      </c>
      <c r="AY150" s="93">
        <v>2</v>
      </c>
      <c r="AZ150" s="93">
        <v>2</v>
      </c>
      <c r="BA150" s="93">
        <v>0</v>
      </c>
      <c r="BB150" s="93">
        <v>0</v>
      </c>
      <c r="BC150" s="93">
        <v>2</v>
      </c>
      <c r="BD150" s="93">
        <v>2</v>
      </c>
      <c r="BE150" s="93">
        <v>1</v>
      </c>
      <c r="BF150" s="93">
        <v>3</v>
      </c>
      <c r="BG150" s="118"/>
      <c r="BH150" s="116"/>
      <c r="BI150" s="116"/>
    </row>
    <row r="151" spans="1:61" x14ac:dyDescent="0.35">
      <c r="A151" s="95">
        <v>44422</v>
      </c>
      <c r="B151" s="97">
        <v>0</v>
      </c>
      <c r="C151" s="97">
        <v>2</v>
      </c>
      <c r="D151" s="97">
        <v>2</v>
      </c>
      <c r="E151" s="97">
        <v>7</v>
      </c>
      <c r="F151" s="97">
        <v>8</v>
      </c>
      <c r="G151" s="97">
        <v>6</v>
      </c>
      <c r="H151" s="93">
        <v>3</v>
      </c>
      <c r="I151" s="93">
        <v>5</v>
      </c>
      <c r="J151" s="93">
        <v>3</v>
      </c>
      <c r="K151" s="93">
        <v>2</v>
      </c>
      <c r="L151" s="93">
        <v>9</v>
      </c>
      <c r="M151" s="93">
        <v>2</v>
      </c>
      <c r="N151" s="93">
        <v>6</v>
      </c>
      <c r="O151" s="93">
        <v>3</v>
      </c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100">
        <v>44422</v>
      </c>
      <c r="AQ151" s="93">
        <v>3</v>
      </c>
      <c r="AR151" s="93">
        <v>0</v>
      </c>
      <c r="AS151" s="93">
        <v>3</v>
      </c>
      <c r="AT151" s="93">
        <v>2</v>
      </c>
      <c r="AU151" s="93">
        <v>3</v>
      </c>
      <c r="AV151" s="93">
        <v>4</v>
      </c>
      <c r="AW151" s="93">
        <v>1</v>
      </c>
      <c r="AX151" s="93">
        <v>4</v>
      </c>
      <c r="AY151" s="93">
        <v>3</v>
      </c>
      <c r="AZ151" s="93">
        <v>2</v>
      </c>
      <c r="BA151" s="93">
        <v>1</v>
      </c>
      <c r="BB151" s="93">
        <v>0</v>
      </c>
      <c r="BC151" s="93">
        <v>2</v>
      </c>
      <c r="BD151" s="93">
        <v>1</v>
      </c>
      <c r="BE151" s="93">
        <v>5</v>
      </c>
      <c r="BF151" s="93">
        <v>1</v>
      </c>
      <c r="BG151" s="118"/>
      <c r="BH151" s="116"/>
      <c r="BI151" s="116"/>
    </row>
    <row r="152" spans="1:61" x14ac:dyDescent="0.35">
      <c r="A152" s="95">
        <v>44423</v>
      </c>
      <c r="B152" s="97">
        <v>5</v>
      </c>
      <c r="C152" s="97">
        <v>3</v>
      </c>
      <c r="D152" s="97">
        <v>6</v>
      </c>
      <c r="E152" s="97">
        <v>7</v>
      </c>
      <c r="F152" s="97">
        <v>3</v>
      </c>
      <c r="G152" s="97">
        <v>4</v>
      </c>
      <c r="H152" s="93">
        <v>5</v>
      </c>
      <c r="I152" s="93">
        <v>6</v>
      </c>
      <c r="J152" s="93">
        <v>4</v>
      </c>
      <c r="K152" s="93">
        <v>3</v>
      </c>
      <c r="L152" s="93">
        <v>4</v>
      </c>
      <c r="M152" s="93">
        <v>1</v>
      </c>
      <c r="N152" s="93">
        <v>7</v>
      </c>
      <c r="O152" s="93">
        <v>3</v>
      </c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100">
        <v>44423</v>
      </c>
      <c r="AQ152" s="93">
        <v>10</v>
      </c>
      <c r="AR152" s="93">
        <v>9</v>
      </c>
      <c r="AS152" s="93">
        <v>0</v>
      </c>
      <c r="AT152" s="93">
        <v>4</v>
      </c>
      <c r="AU152" s="93">
        <v>3</v>
      </c>
      <c r="AV152" s="93">
        <v>0</v>
      </c>
      <c r="AW152" s="93">
        <v>3</v>
      </c>
      <c r="AX152" s="93">
        <v>1</v>
      </c>
      <c r="AY152" s="93">
        <v>5</v>
      </c>
      <c r="AZ152" s="93">
        <v>1</v>
      </c>
      <c r="BA152" s="93">
        <v>5</v>
      </c>
      <c r="BB152" s="93">
        <v>2</v>
      </c>
      <c r="BC152" s="93">
        <v>0</v>
      </c>
      <c r="BD152" s="93">
        <v>2</v>
      </c>
      <c r="BE152" s="93">
        <v>0</v>
      </c>
      <c r="BF152" s="93">
        <v>0</v>
      </c>
      <c r="BG152" s="118"/>
      <c r="BH152" s="116"/>
      <c r="BI152" s="116"/>
    </row>
    <row r="153" spans="1:61" x14ac:dyDescent="0.35">
      <c r="A153" s="95">
        <v>44424</v>
      </c>
      <c r="B153" s="97">
        <v>7</v>
      </c>
      <c r="C153" s="97">
        <v>1</v>
      </c>
      <c r="D153" s="97">
        <v>7</v>
      </c>
      <c r="E153" s="97">
        <v>7</v>
      </c>
      <c r="F153" s="97">
        <v>5</v>
      </c>
      <c r="G153" s="97">
        <v>6</v>
      </c>
      <c r="H153" s="93">
        <v>4</v>
      </c>
      <c r="I153" s="93">
        <v>1</v>
      </c>
      <c r="J153" s="93">
        <v>2</v>
      </c>
      <c r="K153" s="93">
        <v>8</v>
      </c>
      <c r="L153" s="93">
        <v>10</v>
      </c>
      <c r="M153" s="93">
        <v>2</v>
      </c>
      <c r="N153" s="93">
        <v>2</v>
      </c>
      <c r="O153" s="93">
        <v>4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100">
        <v>44424</v>
      </c>
      <c r="AQ153" s="93">
        <v>5</v>
      </c>
      <c r="AR153" s="93">
        <v>3</v>
      </c>
      <c r="AS153" s="93">
        <v>3</v>
      </c>
      <c r="AT153" s="93">
        <v>2</v>
      </c>
      <c r="AU153" s="93">
        <v>3</v>
      </c>
      <c r="AV153" s="93">
        <v>1</v>
      </c>
      <c r="AW153" s="93">
        <v>3</v>
      </c>
      <c r="AX153" s="93">
        <v>3</v>
      </c>
      <c r="AY153" s="93">
        <v>2</v>
      </c>
      <c r="AZ153" s="93">
        <v>4</v>
      </c>
      <c r="BA153" s="93">
        <v>1</v>
      </c>
      <c r="BB153" s="93">
        <v>2</v>
      </c>
      <c r="BC153" s="93">
        <v>3</v>
      </c>
      <c r="BD153" s="93">
        <v>0</v>
      </c>
      <c r="BE153" s="93">
        <v>4</v>
      </c>
      <c r="BF153" s="93">
        <v>0</v>
      </c>
      <c r="BG153" s="118"/>
      <c r="BH153" s="116"/>
      <c r="BI153" s="116"/>
    </row>
    <row r="154" spans="1:61" x14ac:dyDescent="0.35">
      <c r="A154" s="95">
        <v>44425</v>
      </c>
      <c r="B154" s="97">
        <v>2</v>
      </c>
      <c r="C154" s="97">
        <v>0</v>
      </c>
      <c r="D154" s="97">
        <v>3</v>
      </c>
      <c r="E154" s="97">
        <v>8</v>
      </c>
      <c r="F154" s="97">
        <v>8</v>
      </c>
      <c r="G154" s="97">
        <v>2</v>
      </c>
      <c r="H154" s="93">
        <v>8</v>
      </c>
      <c r="I154" s="93">
        <v>1</v>
      </c>
      <c r="J154" s="93">
        <v>2</v>
      </c>
      <c r="K154" s="93">
        <v>0</v>
      </c>
      <c r="L154" s="93">
        <v>5</v>
      </c>
      <c r="M154" s="93">
        <v>0</v>
      </c>
      <c r="N154" s="93">
        <v>5</v>
      </c>
      <c r="O154" s="93">
        <v>5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100">
        <v>44425</v>
      </c>
      <c r="AQ154" s="93">
        <v>7</v>
      </c>
      <c r="AR154" s="93">
        <v>2</v>
      </c>
      <c r="AS154" s="93">
        <v>2</v>
      </c>
      <c r="AT154" s="93">
        <v>3</v>
      </c>
      <c r="AU154" s="93">
        <v>2</v>
      </c>
      <c r="AV154" s="93">
        <v>3</v>
      </c>
      <c r="AW154" s="93">
        <v>5</v>
      </c>
      <c r="AX154" s="93">
        <v>4</v>
      </c>
      <c r="AY154" s="93">
        <v>3</v>
      </c>
      <c r="AZ154" s="93">
        <v>2</v>
      </c>
      <c r="BA154" s="93">
        <v>2</v>
      </c>
      <c r="BB154" s="93">
        <v>4</v>
      </c>
      <c r="BC154" s="93">
        <v>1</v>
      </c>
      <c r="BD154" s="93">
        <v>0</v>
      </c>
      <c r="BE154" s="93">
        <v>5</v>
      </c>
      <c r="BF154" s="93">
        <v>0</v>
      </c>
      <c r="BG154" s="118"/>
      <c r="BH154" s="116"/>
      <c r="BI154" s="116"/>
    </row>
    <row r="155" spans="1:61" x14ac:dyDescent="0.35">
      <c r="A155" s="95">
        <v>44426</v>
      </c>
      <c r="B155" s="97">
        <v>0</v>
      </c>
      <c r="C155" s="97">
        <v>5</v>
      </c>
      <c r="D155" s="97">
        <v>5</v>
      </c>
      <c r="E155" s="97">
        <v>6</v>
      </c>
      <c r="F155" s="97">
        <v>7</v>
      </c>
      <c r="G155" s="97">
        <v>2</v>
      </c>
      <c r="H155" s="93">
        <v>6</v>
      </c>
      <c r="I155" s="93">
        <v>9</v>
      </c>
      <c r="J155" s="93">
        <v>1</v>
      </c>
      <c r="K155" s="93">
        <v>1</v>
      </c>
      <c r="L155" s="93">
        <v>7</v>
      </c>
      <c r="M155" s="93">
        <v>3</v>
      </c>
      <c r="N155" s="93">
        <v>2</v>
      </c>
      <c r="O155" s="93">
        <v>5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100">
        <v>44426</v>
      </c>
      <c r="AQ155" s="93">
        <v>11</v>
      </c>
      <c r="AR155" s="93">
        <v>2</v>
      </c>
      <c r="AS155" s="93">
        <v>2</v>
      </c>
      <c r="AT155" s="93">
        <v>0</v>
      </c>
      <c r="AU155" s="93">
        <v>2</v>
      </c>
      <c r="AV155" s="93">
        <v>2</v>
      </c>
      <c r="AW155" s="93">
        <v>0</v>
      </c>
      <c r="AX155" s="93">
        <v>3</v>
      </c>
      <c r="AY155" s="93">
        <v>0</v>
      </c>
      <c r="AZ155" s="93">
        <v>1</v>
      </c>
      <c r="BA155" s="93">
        <v>4</v>
      </c>
      <c r="BB155" s="93">
        <v>0</v>
      </c>
      <c r="BC155" s="93">
        <v>2</v>
      </c>
      <c r="BD155" s="93">
        <v>4</v>
      </c>
      <c r="BE155" s="93">
        <v>3</v>
      </c>
      <c r="BF155" s="93">
        <v>3</v>
      </c>
      <c r="BG155" s="118"/>
      <c r="BH155" s="116"/>
      <c r="BI155" s="116"/>
    </row>
    <row r="156" spans="1:61" x14ac:dyDescent="0.35">
      <c r="A156" s="95">
        <v>44427</v>
      </c>
      <c r="B156" s="97">
        <v>3</v>
      </c>
      <c r="C156" s="97">
        <v>1</v>
      </c>
      <c r="D156" s="97">
        <v>5</v>
      </c>
      <c r="E156" s="97">
        <v>5</v>
      </c>
      <c r="F156" s="97">
        <v>4</v>
      </c>
      <c r="G156" s="97">
        <v>3</v>
      </c>
      <c r="H156" s="93">
        <v>8</v>
      </c>
      <c r="I156" s="93">
        <v>2</v>
      </c>
      <c r="J156" s="93">
        <v>4</v>
      </c>
      <c r="K156" s="93">
        <v>0</v>
      </c>
      <c r="L156" s="93">
        <v>0</v>
      </c>
      <c r="M156" s="93">
        <v>3</v>
      </c>
      <c r="N156" s="93">
        <v>3</v>
      </c>
      <c r="O156" s="93">
        <v>5</v>
      </c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100">
        <v>44427</v>
      </c>
      <c r="AQ156" s="93">
        <v>1</v>
      </c>
      <c r="AR156" s="93">
        <v>10</v>
      </c>
      <c r="AS156" s="93">
        <v>2</v>
      </c>
      <c r="AT156" s="93">
        <v>4</v>
      </c>
      <c r="AU156" s="93">
        <v>2</v>
      </c>
      <c r="AV156" s="93">
        <v>1</v>
      </c>
      <c r="AW156" s="93">
        <v>3</v>
      </c>
      <c r="AX156" s="93">
        <v>0</v>
      </c>
      <c r="AY156" s="93">
        <v>2</v>
      </c>
      <c r="AZ156" s="93">
        <v>4</v>
      </c>
      <c r="BA156" s="93">
        <v>2</v>
      </c>
      <c r="BB156" s="93">
        <v>3</v>
      </c>
      <c r="BC156" s="93">
        <v>5</v>
      </c>
      <c r="BD156" s="93">
        <v>5</v>
      </c>
      <c r="BE156" s="93">
        <v>4</v>
      </c>
      <c r="BF156" s="93">
        <v>3</v>
      </c>
      <c r="BG156" s="118"/>
      <c r="BH156" s="116"/>
      <c r="BI156" s="116"/>
    </row>
    <row r="157" spans="1:61" x14ac:dyDescent="0.35">
      <c r="A157" s="95">
        <v>44428</v>
      </c>
      <c r="B157" s="97">
        <v>1</v>
      </c>
      <c r="C157" s="97">
        <v>2</v>
      </c>
      <c r="D157" s="97">
        <v>1</v>
      </c>
      <c r="E157" s="97">
        <v>6</v>
      </c>
      <c r="F157" s="97">
        <v>2</v>
      </c>
      <c r="G157" s="97">
        <v>6</v>
      </c>
      <c r="H157" s="93">
        <v>5</v>
      </c>
      <c r="I157" s="93">
        <v>3</v>
      </c>
      <c r="J157" s="93">
        <v>0</v>
      </c>
      <c r="K157" s="93">
        <v>5</v>
      </c>
      <c r="L157" s="93">
        <v>2</v>
      </c>
      <c r="M157" s="93">
        <v>3</v>
      </c>
      <c r="N157" s="93">
        <v>7</v>
      </c>
      <c r="O157" s="93">
        <v>4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100">
        <v>44428</v>
      </c>
      <c r="AQ157" s="93">
        <v>0</v>
      </c>
      <c r="AR157" s="93">
        <v>9</v>
      </c>
      <c r="AS157" s="93">
        <v>6</v>
      </c>
      <c r="AT157" s="93">
        <v>1</v>
      </c>
      <c r="AU157" s="93">
        <v>3</v>
      </c>
      <c r="AV157" s="93">
        <v>6</v>
      </c>
      <c r="AW157" s="93">
        <v>1</v>
      </c>
      <c r="AX157" s="93">
        <v>3</v>
      </c>
      <c r="AY157" s="93">
        <v>1</v>
      </c>
      <c r="AZ157" s="93">
        <v>1</v>
      </c>
      <c r="BA157" s="93">
        <v>3</v>
      </c>
      <c r="BB157" s="93">
        <v>1</v>
      </c>
      <c r="BC157" s="93">
        <v>3</v>
      </c>
      <c r="BD157" s="93">
        <v>2</v>
      </c>
      <c r="BE157" s="93">
        <v>1</v>
      </c>
      <c r="BF157" s="93">
        <v>2</v>
      </c>
      <c r="BG157" s="118"/>
      <c r="BH157" s="116"/>
      <c r="BI157" s="116"/>
    </row>
    <row r="158" spans="1:61" x14ac:dyDescent="0.35">
      <c r="A158" s="95">
        <v>44429</v>
      </c>
      <c r="B158" s="97">
        <v>1</v>
      </c>
      <c r="C158" s="97">
        <v>5</v>
      </c>
      <c r="D158" s="97">
        <v>8</v>
      </c>
      <c r="E158" s="97">
        <v>2</v>
      </c>
      <c r="F158" s="97">
        <v>0</v>
      </c>
      <c r="G158" s="97">
        <v>6</v>
      </c>
      <c r="H158" s="93">
        <v>5</v>
      </c>
      <c r="I158" s="93">
        <v>7</v>
      </c>
      <c r="J158" s="93">
        <v>4</v>
      </c>
      <c r="K158" s="93">
        <v>1</v>
      </c>
      <c r="L158" s="93">
        <v>1</v>
      </c>
      <c r="M158" s="93">
        <v>1</v>
      </c>
      <c r="N158" s="93">
        <v>3</v>
      </c>
      <c r="O158" s="93">
        <v>1</v>
      </c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100">
        <v>44429</v>
      </c>
      <c r="AQ158" s="93">
        <v>11</v>
      </c>
      <c r="AR158" s="93">
        <v>5</v>
      </c>
      <c r="AS158" s="93">
        <v>6</v>
      </c>
      <c r="AT158" s="93">
        <v>5</v>
      </c>
      <c r="AU158" s="93">
        <v>3</v>
      </c>
      <c r="AV158" s="93">
        <v>3</v>
      </c>
      <c r="AW158" s="93">
        <v>2</v>
      </c>
      <c r="AX158" s="93">
        <v>1</v>
      </c>
      <c r="AY158" s="93">
        <v>3</v>
      </c>
      <c r="AZ158" s="93">
        <v>5</v>
      </c>
      <c r="BA158" s="93">
        <v>5</v>
      </c>
      <c r="BB158" s="93">
        <v>5</v>
      </c>
      <c r="BC158" s="93">
        <v>0</v>
      </c>
      <c r="BD158" s="93">
        <v>2</v>
      </c>
      <c r="BE158" s="93">
        <v>2</v>
      </c>
      <c r="BF158" s="93">
        <v>5</v>
      </c>
      <c r="BG158" s="118"/>
      <c r="BH158" s="116"/>
      <c r="BI158" s="116"/>
    </row>
    <row r="159" spans="1:61" x14ac:dyDescent="0.35">
      <c r="A159" s="95">
        <v>44430</v>
      </c>
      <c r="B159" s="97">
        <v>5</v>
      </c>
      <c r="C159" s="97">
        <v>1</v>
      </c>
      <c r="D159" s="97">
        <v>2</v>
      </c>
      <c r="E159" s="97">
        <v>9</v>
      </c>
      <c r="F159" s="97">
        <v>8</v>
      </c>
      <c r="G159" s="97">
        <v>4</v>
      </c>
      <c r="H159" s="93">
        <v>5</v>
      </c>
      <c r="I159" s="93">
        <v>9</v>
      </c>
      <c r="J159" s="93">
        <v>4</v>
      </c>
      <c r="K159" s="93">
        <v>8</v>
      </c>
      <c r="L159" s="93">
        <v>2</v>
      </c>
      <c r="M159" s="93">
        <v>6</v>
      </c>
      <c r="N159" s="93">
        <v>1</v>
      </c>
      <c r="O159" s="93">
        <v>5</v>
      </c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100">
        <v>44430</v>
      </c>
      <c r="AQ159" s="93">
        <v>4</v>
      </c>
      <c r="AR159" s="93">
        <v>4</v>
      </c>
      <c r="AS159" s="93">
        <v>3</v>
      </c>
      <c r="AT159" s="93">
        <v>0</v>
      </c>
      <c r="AU159" s="93">
        <v>3</v>
      </c>
      <c r="AV159" s="93">
        <v>2</v>
      </c>
      <c r="AW159" s="93">
        <v>8</v>
      </c>
      <c r="AX159" s="93">
        <v>5</v>
      </c>
      <c r="AY159" s="93">
        <v>4</v>
      </c>
      <c r="AZ159" s="93">
        <v>4</v>
      </c>
      <c r="BA159" s="93">
        <v>5</v>
      </c>
      <c r="BB159" s="93">
        <v>4</v>
      </c>
      <c r="BC159" s="93">
        <v>5</v>
      </c>
      <c r="BD159" s="93">
        <v>0</v>
      </c>
      <c r="BE159" s="93">
        <v>1</v>
      </c>
      <c r="BF159" s="93">
        <v>1</v>
      </c>
      <c r="BG159" s="118"/>
      <c r="BH159" s="116"/>
      <c r="BI159" s="116"/>
    </row>
    <row r="160" spans="1:61" x14ac:dyDescent="0.35">
      <c r="A160" s="95">
        <v>44431</v>
      </c>
      <c r="B160" s="97">
        <v>0</v>
      </c>
      <c r="C160" s="97">
        <v>4</v>
      </c>
      <c r="D160" s="97">
        <v>4</v>
      </c>
      <c r="E160" s="97">
        <v>8</v>
      </c>
      <c r="F160" s="97">
        <v>2</v>
      </c>
      <c r="G160" s="97">
        <v>1</v>
      </c>
      <c r="H160" s="93">
        <v>3</v>
      </c>
      <c r="I160" s="93">
        <v>0</v>
      </c>
      <c r="J160" s="93">
        <v>4</v>
      </c>
      <c r="K160" s="93">
        <v>4</v>
      </c>
      <c r="L160" s="93">
        <v>4</v>
      </c>
      <c r="M160" s="93">
        <v>5</v>
      </c>
      <c r="N160" s="93">
        <v>2</v>
      </c>
      <c r="O160" s="93">
        <v>4</v>
      </c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100">
        <v>44431</v>
      </c>
      <c r="AQ160" s="93">
        <v>3</v>
      </c>
      <c r="AR160" s="93">
        <v>0</v>
      </c>
      <c r="AS160" s="93">
        <v>0</v>
      </c>
      <c r="AT160" s="93">
        <v>4</v>
      </c>
      <c r="AU160" s="93">
        <v>3</v>
      </c>
      <c r="AV160" s="93">
        <v>3</v>
      </c>
      <c r="AW160" s="93">
        <v>5</v>
      </c>
      <c r="AX160" s="93">
        <v>3</v>
      </c>
      <c r="AY160" s="93">
        <v>5</v>
      </c>
      <c r="AZ160" s="93">
        <v>2</v>
      </c>
      <c r="BA160" s="93">
        <v>2</v>
      </c>
      <c r="BB160" s="93">
        <v>0</v>
      </c>
      <c r="BC160" s="93">
        <v>1</v>
      </c>
      <c r="BD160" s="93">
        <v>2</v>
      </c>
      <c r="BE160" s="93">
        <v>1</v>
      </c>
      <c r="BF160" s="93">
        <v>3</v>
      </c>
      <c r="BG160" s="118"/>
      <c r="BH160" s="116"/>
      <c r="BI160" s="116"/>
    </row>
    <row r="161" spans="1:61" x14ac:dyDescent="0.35">
      <c r="A161" s="95">
        <v>44432</v>
      </c>
      <c r="B161" s="97">
        <v>4</v>
      </c>
      <c r="C161" s="97">
        <v>1</v>
      </c>
      <c r="D161" s="97">
        <v>7</v>
      </c>
      <c r="E161" s="97">
        <v>2</v>
      </c>
      <c r="F161" s="97">
        <v>6</v>
      </c>
      <c r="G161" s="97">
        <v>0</v>
      </c>
      <c r="H161" s="93">
        <v>8</v>
      </c>
      <c r="I161" s="93">
        <v>6</v>
      </c>
      <c r="J161" s="93">
        <v>2</v>
      </c>
      <c r="K161" s="93">
        <v>0</v>
      </c>
      <c r="L161" s="93">
        <v>0</v>
      </c>
      <c r="M161" s="93">
        <v>6</v>
      </c>
      <c r="N161" s="93">
        <v>3</v>
      </c>
      <c r="O161" s="93">
        <v>0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100">
        <v>44432</v>
      </c>
      <c r="AQ161" s="93">
        <v>1</v>
      </c>
      <c r="AR161" s="93">
        <v>3</v>
      </c>
      <c r="AS161" s="93">
        <v>4</v>
      </c>
      <c r="AT161" s="93">
        <v>5</v>
      </c>
      <c r="AU161" s="93">
        <v>2</v>
      </c>
      <c r="AV161" s="93">
        <v>5</v>
      </c>
      <c r="AW161" s="93">
        <v>5</v>
      </c>
      <c r="AX161" s="93">
        <v>1</v>
      </c>
      <c r="AY161" s="93">
        <v>0</v>
      </c>
      <c r="AZ161" s="93">
        <v>1</v>
      </c>
      <c r="BA161" s="93">
        <v>5</v>
      </c>
      <c r="BB161" s="93">
        <v>0</v>
      </c>
      <c r="BC161" s="93">
        <v>0</v>
      </c>
      <c r="BD161" s="93">
        <v>5</v>
      </c>
      <c r="BE161" s="93">
        <v>2</v>
      </c>
      <c r="BF161" s="93">
        <v>2</v>
      </c>
      <c r="BG161" s="118"/>
      <c r="BH161" s="116"/>
      <c r="BI161" s="116"/>
    </row>
    <row r="162" spans="1:61" ht="18" customHeight="1" x14ac:dyDescent="0.35">
      <c r="A162" s="95">
        <v>44433</v>
      </c>
      <c r="B162" s="97">
        <v>6</v>
      </c>
      <c r="C162" s="97">
        <v>4</v>
      </c>
      <c r="D162" s="97">
        <v>1</v>
      </c>
      <c r="E162" s="97">
        <v>7</v>
      </c>
      <c r="F162" s="97">
        <v>1</v>
      </c>
      <c r="G162" s="97">
        <v>1</v>
      </c>
      <c r="H162" s="93">
        <v>9</v>
      </c>
      <c r="I162" s="93">
        <v>8</v>
      </c>
      <c r="J162" s="93">
        <v>5</v>
      </c>
      <c r="K162" s="93">
        <v>6</v>
      </c>
      <c r="L162" s="93">
        <v>3</v>
      </c>
      <c r="M162" s="93">
        <v>1</v>
      </c>
      <c r="N162" s="93">
        <v>4</v>
      </c>
      <c r="O162" s="93">
        <v>3</v>
      </c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100">
        <v>44433</v>
      </c>
      <c r="AQ162" s="93">
        <v>8</v>
      </c>
      <c r="AR162" s="93">
        <v>3</v>
      </c>
      <c r="AS162" s="93">
        <v>1</v>
      </c>
      <c r="AT162" s="93">
        <v>5</v>
      </c>
      <c r="AU162" s="93">
        <v>0</v>
      </c>
      <c r="AV162" s="93">
        <v>6</v>
      </c>
      <c r="AW162" s="93">
        <v>4</v>
      </c>
      <c r="AX162" s="93">
        <v>0</v>
      </c>
      <c r="AY162" s="93">
        <v>1</v>
      </c>
      <c r="AZ162" s="93">
        <v>2</v>
      </c>
      <c r="BA162" s="93">
        <v>2</v>
      </c>
      <c r="BB162" s="93">
        <v>0</v>
      </c>
      <c r="BC162" s="93">
        <v>0</v>
      </c>
      <c r="BD162" s="93">
        <v>5</v>
      </c>
      <c r="BE162" s="93">
        <v>2</v>
      </c>
      <c r="BF162" s="93">
        <v>3</v>
      </c>
      <c r="BG162" s="118"/>
      <c r="BH162" s="116"/>
      <c r="BI162" s="116"/>
    </row>
    <row r="163" spans="1:61" x14ac:dyDescent="0.35">
      <c r="A163" s="95">
        <v>44434</v>
      </c>
      <c r="B163" s="97">
        <v>6</v>
      </c>
      <c r="C163" s="97">
        <v>0</v>
      </c>
      <c r="D163" s="97">
        <v>8</v>
      </c>
      <c r="E163" s="97">
        <v>2</v>
      </c>
      <c r="F163" s="97">
        <v>5</v>
      </c>
      <c r="G163" s="97">
        <v>4</v>
      </c>
      <c r="H163" s="93">
        <v>10</v>
      </c>
      <c r="I163" s="93">
        <v>2</v>
      </c>
      <c r="J163" s="93">
        <v>6</v>
      </c>
      <c r="K163" s="93">
        <v>4</v>
      </c>
      <c r="L163" s="93">
        <v>5</v>
      </c>
      <c r="M163" s="93">
        <v>2</v>
      </c>
      <c r="N163" s="93">
        <v>6</v>
      </c>
      <c r="O163" s="93">
        <v>2</v>
      </c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100">
        <v>44434</v>
      </c>
      <c r="AQ163" s="93">
        <v>5</v>
      </c>
      <c r="AR163" s="93">
        <v>4</v>
      </c>
      <c r="AS163" s="93">
        <v>4</v>
      </c>
      <c r="AT163" s="93">
        <v>3</v>
      </c>
      <c r="AU163" s="93">
        <v>2</v>
      </c>
      <c r="AV163" s="93">
        <v>1</v>
      </c>
      <c r="AW163" s="93">
        <v>3</v>
      </c>
      <c r="AX163" s="93">
        <v>1</v>
      </c>
      <c r="AY163" s="93">
        <v>5</v>
      </c>
      <c r="AZ163" s="93">
        <v>3</v>
      </c>
      <c r="BA163" s="93">
        <v>5</v>
      </c>
      <c r="BB163" s="93">
        <v>5</v>
      </c>
      <c r="BC163" s="93">
        <v>3</v>
      </c>
      <c r="BD163" s="93">
        <v>2</v>
      </c>
      <c r="BE163" s="93">
        <v>0</v>
      </c>
      <c r="BF163" s="93">
        <v>2</v>
      </c>
      <c r="BG163" s="118"/>
      <c r="BH163" s="116"/>
      <c r="BI163" s="116"/>
    </row>
    <row r="164" spans="1:61" x14ac:dyDescent="0.35">
      <c r="A164" s="95">
        <v>44435</v>
      </c>
      <c r="B164" s="97">
        <v>7</v>
      </c>
      <c r="C164" s="97">
        <v>4</v>
      </c>
      <c r="D164" s="97">
        <v>3</v>
      </c>
      <c r="E164" s="97">
        <v>10</v>
      </c>
      <c r="F164" s="97">
        <v>8</v>
      </c>
      <c r="G164" s="97">
        <v>6</v>
      </c>
      <c r="H164" s="93">
        <v>5</v>
      </c>
      <c r="I164" s="93">
        <v>5</v>
      </c>
      <c r="J164" s="93">
        <v>3</v>
      </c>
      <c r="K164" s="93">
        <v>0</v>
      </c>
      <c r="L164" s="93">
        <v>9</v>
      </c>
      <c r="M164" s="93">
        <v>1</v>
      </c>
      <c r="N164" s="93">
        <v>4</v>
      </c>
      <c r="O164" s="93">
        <v>3</v>
      </c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100">
        <v>44435</v>
      </c>
      <c r="AQ164" s="93">
        <v>10</v>
      </c>
      <c r="AR164" s="93">
        <v>10</v>
      </c>
      <c r="AS164" s="93">
        <v>2</v>
      </c>
      <c r="AT164" s="93">
        <v>2</v>
      </c>
      <c r="AU164" s="93">
        <v>1</v>
      </c>
      <c r="AV164" s="93">
        <v>6</v>
      </c>
      <c r="AW164" s="93">
        <v>8</v>
      </c>
      <c r="AX164" s="93">
        <v>4</v>
      </c>
      <c r="AY164" s="93">
        <v>2</v>
      </c>
      <c r="AZ164" s="93">
        <v>1</v>
      </c>
      <c r="BA164" s="93">
        <v>4</v>
      </c>
      <c r="BB164" s="93">
        <v>5</v>
      </c>
      <c r="BC164" s="93">
        <v>2</v>
      </c>
      <c r="BD164" s="93">
        <v>0</v>
      </c>
      <c r="BE164" s="93">
        <v>3</v>
      </c>
      <c r="BF164" s="93">
        <v>4</v>
      </c>
      <c r="BG164" s="118"/>
      <c r="BH164" s="116"/>
      <c r="BI164" s="116"/>
    </row>
    <row r="165" spans="1:61" x14ac:dyDescent="0.35">
      <c r="A165" s="95">
        <v>44436</v>
      </c>
      <c r="B165" s="97">
        <v>7</v>
      </c>
      <c r="C165" s="97">
        <v>4</v>
      </c>
      <c r="D165" s="97">
        <v>3</v>
      </c>
      <c r="E165" s="97">
        <v>0</v>
      </c>
      <c r="F165" s="97">
        <v>4</v>
      </c>
      <c r="G165" s="97">
        <v>2</v>
      </c>
      <c r="H165" s="93">
        <v>6</v>
      </c>
      <c r="I165" s="93">
        <v>3</v>
      </c>
      <c r="J165" s="93">
        <v>3</v>
      </c>
      <c r="K165" s="93">
        <v>3</v>
      </c>
      <c r="L165" s="93">
        <v>10</v>
      </c>
      <c r="M165" s="93">
        <v>2</v>
      </c>
      <c r="N165" s="93">
        <v>6</v>
      </c>
      <c r="O165" s="93">
        <v>6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100">
        <v>44436</v>
      </c>
      <c r="AQ165" s="93">
        <v>5</v>
      </c>
      <c r="AR165" s="93">
        <v>2</v>
      </c>
      <c r="AS165" s="93">
        <v>6</v>
      </c>
      <c r="AT165" s="93">
        <v>0</v>
      </c>
      <c r="AU165" s="93">
        <v>1</v>
      </c>
      <c r="AV165" s="93">
        <v>2</v>
      </c>
      <c r="AW165" s="93">
        <v>1</v>
      </c>
      <c r="AX165" s="93">
        <v>2</v>
      </c>
      <c r="AY165" s="93">
        <v>0</v>
      </c>
      <c r="AZ165" s="93">
        <v>3</v>
      </c>
      <c r="BA165" s="93">
        <v>0</v>
      </c>
      <c r="BB165" s="93">
        <v>1</v>
      </c>
      <c r="BC165" s="93">
        <v>5</v>
      </c>
      <c r="BD165" s="93">
        <v>0</v>
      </c>
      <c r="BE165" s="93">
        <v>4</v>
      </c>
      <c r="BF165" s="93">
        <v>4</v>
      </c>
      <c r="BG165" s="118"/>
      <c r="BH165" s="116"/>
      <c r="BI165" s="116"/>
    </row>
    <row r="166" spans="1:61" ht="34.5" customHeight="1" x14ac:dyDescent="0.35">
      <c r="A166" s="95">
        <v>44437</v>
      </c>
      <c r="B166" s="97">
        <v>1</v>
      </c>
      <c r="C166" s="97">
        <v>4</v>
      </c>
      <c r="D166" s="97">
        <v>8</v>
      </c>
      <c r="E166" s="97">
        <v>5</v>
      </c>
      <c r="F166" s="97">
        <v>7</v>
      </c>
      <c r="G166" s="97">
        <v>6</v>
      </c>
      <c r="H166" s="93">
        <v>5</v>
      </c>
      <c r="I166" s="93">
        <v>9</v>
      </c>
      <c r="J166" s="93">
        <v>7</v>
      </c>
      <c r="K166" s="93">
        <v>1</v>
      </c>
      <c r="L166" s="93">
        <v>2</v>
      </c>
      <c r="M166" s="93">
        <v>3</v>
      </c>
      <c r="N166" s="93">
        <v>4</v>
      </c>
      <c r="O166" s="93">
        <v>2</v>
      </c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100">
        <v>44437</v>
      </c>
      <c r="AQ166" s="93">
        <v>12</v>
      </c>
      <c r="AR166" s="93">
        <v>0</v>
      </c>
      <c r="AS166" s="93">
        <v>3</v>
      </c>
      <c r="AT166" s="93">
        <v>2</v>
      </c>
      <c r="AU166" s="93">
        <v>1</v>
      </c>
      <c r="AV166" s="93">
        <v>3</v>
      </c>
      <c r="AW166" s="93">
        <v>0</v>
      </c>
      <c r="AX166" s="93">
        <v>3</v>
      </c>
      <c r="AY166" s="93">
        <v>1</v>
      </c>
      <c r="AZ166" s="93">
        <v>2</v>
      </c>
      <c r="BA166" s="93">
        <v>3</v>
      </c>
      <c r="BB166" s="93">
        <v>1</v>
      </c>
      <c r="BC166" s="93">
        <v>5</v>
      </c>
      <c r="BD166" s="93">
        <v>4</v>
      </c>
      <c r="BE166" s="93">
        <v>5</v>
      </c>
      <c r="BF166" s="93">
        <v>3</v>
      </c>
      <c r="BG166" s="118"/>
      <c r="BH166" s="116"/>
      <c r="BI166" s="116"/>
    </row>
    <row r="167" spans="1:61" x14ac:dyDescent="0.35">
      <c r="A167" s="95">
        <v>44438</v>
      </c>
      <c r="B167" s="97">
        <v>5</v>
      </c>
      <c r="C167" s="97">
        <v>4</v>
      </c>
      <c r="D167" s="97">
        <v>4</v>
      </c>
      <c r="E167" s="97">
        <v>10</v>
      </c>
      <c r="F167" s="97">
        <v>5</v>
      </c>
      <c r="G167" s="97">
        <v>2</v>
      </c>
      <c r="H167" s="93">
        <v>1</v>
      </c>
      <c r="I167" s="93">
        <v>1</v>
      </c>
      <c r="J167" s="93">
        <v>3</v>
      </c>
      <c r="K167" s="93">
        <v>8</v>
      </c>
      <c r="L167" s="93">
        <v>5</v>
      </c>
      <c r="M167" s="93">
        <v>1</v>
      </c>
      <c r="N167" s="93">
        <v>5</v>
      </c>
      <c r="O167" s="93">
        <v>3</v>
      </c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100">
        <v>44438</v>
      </c>
      <c r="AQ167" s="93">
        <v>8</v>
      </c>
      <c r="AR167" s="93">
        <v>9</v>
      </c>
      <c r="AS167" s="93">
        <v>1</v>
      </c>
      <c r="AT167" s="93">
        <v>4</v>
      </c>
      <c r="AU167" s="93">
        <v>2</v>
      </c>
      <c r="AV167" s="93">
        <v>2</v>
      </c>
      <c r="AW167" s="93">
        <v>9</v>
      </c>
      <c r="AX167" s="93">
        <v>1</v>
      </c>
      <c r="AY167" s="93">
        <v>0</v>
      </c>
      <c r="AZ167" s="93">
        <v>0</v>
      </c>
      <c r="BA167" s="93">
        <v>3</v>
      </c>
      <c r="BB167" s="93">
        <v>2</v>
      </c>
      <c r="BC167" s="93">
        <v>4</v>
      </c>
      <c r="BD167" s="93">
        <v>0</v>
      </c>
      <c r="BE167" s="93">
        <v>0</v>
      </c>
      <c r="BF167" s="93">
        <v>0</v>
      </c>
      <c r="BG167" s="118"/>
      <c r="BH167" s="116"/>
      <c r="BI167" s="116"/>
    </row>
    <row r="168" spans="1:61" ht="28.5" customHeight="1" x14ac:dyDescent="0.35">
      <c r="A168" s="124">
        <v>44439</v>
      </c>
      <c r="B168" s="125">
        <v>1</v>
      </c>
      <c r="C168" s="125">
        <v>1</v>
      </c>
      <c r="D168" s="125">
        <v>0</v>
      </c>
      <c r="E168" s="125">
        <v>8</v>
      </c>
      <c r="F168" s="125">
        <v>1</v>
      </c>
      <c r="G168" s="125">
        <v>3</v>
      </c>
      <c r="H168" s="126">
        <v>3</v>
      </c>
      <c r="I168" s="126">
        <v>2</v>
      </c>
      <c r="J168" s="126">
        <v>3</v>
      </c>
      <c r="K168" s="126">
        <v>0</v>
      </c>
      <c r="L168" s="126">
        <v>0</v>
      </c>
      <c r="M168" s="126">
        <v>5</v>
      </c>
      <c r="N168" s="126">
        <v>3</v>
      </c>
      <c r="O168" s="126">
        <v>5</v>
      </c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00">
        <v>44439</v>
      </c>
      <c r="AQ168" s="126">
        <v>6</v>
      </c>
      <c r="AR168" s="126">
        <v>10</v>
      </c>
      <c r="AS168" s="126">
        <v>2</v>
      </c>
      <c r="AT168" s="126">
        <v>1</v>
      </c>
      <c r="AU168" s="126">
        <v>0</v>
      </c>
      <c r="AV168" s="126">
        <v>5</v>
      </c>
      <c r="AW168" s="126">
        <v>8</v>
      </c>
      <c r="AX168" s="126">
        <v>0</v>
      </c>
      <c r="AY168" s="126">
        <v>2</v>
      </c>
      <c r="AZ168" s="126">
        <v>0</v>
      </c>
      <c r="BA168" s="126">
        <v>4</v>
      </c>
      <c r="BB168" s="126">
        <v>2</v>
      </c>
      <c r="BC168" s="126">
        <v>1</v>
      </c>
      <c r="BD168" s="126">
        <v>4</v>
      </c>
      <c r="BE168" s="126">
        <v>0</v>
      </c>
      <c r="BF168" s="126">
        <v>2</v>
      </c>
      <c r="BG168" s="118"/>
      <c r="BH168" s="116"/>
      <c r="BI168" s="116"/>
    </row>
    <row r="169" spans="1:61" ht="33.5" customHeight="1" thickBot="1" x14ac:dyDescent="0.4">
      <c r="A169" s="128" t="s">
        <v>184</v>
      </c>
      <c r="B169" s="98">
        <f>SUM(B138:B168)</f>
        <v>115</v>
      </c>
      <c r="C169" s="98">
        <f t="shared" ref="C169:AO169" si="76">SUM(C138:C168)</f>
        <v>79</v>
      </c>
      <c r="D169" s="98">
        <f t="shared" si="76"/>
        <v>128</v>
      </c>
      <c r="E169" s="98">
        <f t="shared" si="76"/>
        <v>187</v>
      </c>
      <c r="F169" s="98">
        <f t="shared" si="76"/>
        <v>134</v>
      </c>
      <c r="G169" s="98">
        <f t="shared" si="76"/>
        <v>99</v>
      </c>
      <c r="H169" s="98">
        <f t="shared" si="76"/>
        <v>162</v>
      </c>
      <c r="I169" s="98">
        <f t="shared" si="76"/>
        <v>151</v>
      </c>
      <c r="J169" s="98">
        <f t="shared" si="76"/>
        <v>104</v>
      </c>
      <c r="K169" s="98">
        <f t="shared" si="76"/>
        <v>115</v>
      </c>
      <c r="L169" s="98">
        <f t="shared" si="76"/>
        <v>157</v>
      </c>
      <c r="M169" s="98">
        <f t="shared" si="76"/>
        <v>82</v>
      </c>
      <c r="N169" s="98">
        <f t="shared" si="76"/>
        <v>119</v>
      </c>
      <c r="O169" s="98">
        <f t="shared" si="76"/>
        <v>108</v>
      </c>
      <c r="P169" s="98">
        <f t="shared" si="76"/>
        <v>0</v>
      </c>
      <c r="Q169" s="98">
        <f t="shared" si="76"/>
        <v>0</v>
      </c>
      <c r="R169" s="98">
        <f t="shared" si="76"/>
        <v>0</v>
      </c>
      <c r="S169" s="98">
        <f t="shared" si="76"/>
        <v>0</v>
      </c>
      <c r="T169" s="98">
        <f t="shared" si="76"/>
        <v>0</v>
      </c>
      <c r="U169" s="98">
        <f t="shared" si="76"/>
        <v>0</v>
      </c>
      <c r="V169" s="98">
        <f t="shared" si="76"/>
        <v>0</v>
      </c>
      <c r="W169" s="98">
        <f t="shared" si="76"/>
        <v>0</v>
      </c>
      <c r="X169" s="98">
        <f t="shared" si="76"/>
        <v>0</v>
      </c>
      <c r="Y169" s="98">
        <f t="shared" si="76"/>
        <v>0</v>
      </c>
      <c r="Z169" s="98">
        <f t="shared" si="76"/>
        <v>0</v>
      </c>
      <c r="AA169" s="98">
        <f t="shared" si="76"/>
        <v>0</v>
      </c>
      <c r="AB169" s="98">
        <f t="shared" si="76"/>
        <v>0</v>
      </c>
      <c r="AC169" s="98">
        <f t="shared" si="76"/>
        <v>0</v>
      </c>
      <c r="AD169" s="98">
        <f t="shared" si="76"/>
        <v>0</v>
      </c>
      <c r="AE169" s="98">
        <f t="shared" si="76"/>
        <v>0</v>
      </c>
      <c r="AF169" s="98">
        <f t="shared" si="76"/>
        <v>0</v>
      </c>
      <c r="AG169" s="98">
        <f t="shared" si="76"/>
        <v>0</v>
      </c>
      <c r="AH169" s="98">
        <f t="shared" si="76"/>
        <v>0</v>
      </c>
      <c r="AI169" s="98">
        <f t="shared" si="76"/>
        <v>0</v>
      </c>
      <c r="AJ169" s="98">
        <f t="shared" si="76"/>
        <v>0</v>
      </c>
      <c r="AK169" s="98">
        <f t="shared" si="76"/>
        <v>0</v>
      </c>
      <c r="AL169" s="98">
        <f t="shared" si="76"/>
        <v>0</v>
      </c>
      <c r="AM169" s="98">
        <f t="shared" si="76"/>
        <v>0</v>
      </c>
      <c r="AN169" s="98">
        <f t="shared" si="76"/>
        <v>0</v>
      </c>
      <c r="AO169" s="98">
        <f t="shared" si="76"/>
        <v>0</v>
      </c>
      <c r="AP169" s="189" t="s">
        <v>184</v>
      </c>
      <c r="AQ169" s="208">
        <f t="shared" ref="AQ169" si="77">SUM(AQ138:AQ168)</f>
        <v>197</v>
      </c>
      <c r="AR169" s="208">
        <f t="shared" ref="AR169" si="78">SUM(AR138:AR168)</f>
        <v>142</v>
      </c>
      <c r="AS169" s="208">
        <f t="shared" ref="AS169" si="79">SUM(AS138:AS168)</f>
        <v>93</v>
      </c>
      <c r="AT169" s="208">
        <f t="shared" ref="AT169" si="80">SUM(AT138:AT168)</f>
        <v>83</v>
      </c>
      <c r="AU169" s="208">
        <f t="shared" ref="AU169" si="81">SUM(AU138:AU168)</f>
        <v>54</v>
      </c>
      <c r="AV169" s="208">
        <f t="shared" ref="AV169" si="82">SUM(AV138:AV168)</f>
        <v>104</v>
      </c>
      <c r="AW169" s="208">
        <f t="shared" ref="AW169" si="83">SUM(AW138:AW168)</f>
        <v>138</v>
      </c>
      <c r="AX169" s="208">
        <f t="shared" ref="AX169" si="84">SUM(AX138:AX168)</f>
        <v>79</v>
      </c>
      <c r="AY169" s="208">
        <f t="shared" ref="AY169" si="85">SUM(AY138:AY168)</f>
        <v>64</v>
      </c>
      <c r="AZ169" s="208">
        <f t="shared" ref="AZ169" si="86">SUM(AZ138:AZ168)</f>
        <v>60</v>
      </c>
      <c r="BA169" s="208">
        <f t="shared" ref="BA169" si="87">SUM(BA138:BA168)</f>
        <v>83</v>
      </c>
      <c r="BB169" s="208">
        <f t="shared" ref="BB169" si="88">SUM(BB138:BB168)</f>
        <v>74</v>
      </c>
      <c r="BC169" s="208">
        <f t="shared" ref="BC169" si="89">SUM(BC138:BC168)</f>
        <v>69</v>
      </c>
      <c r="BD169" s="208">
        <f t="shared" ref="BD169" si="90">SUM(BD138:BD168)</f>
        <v>72</v>
      </c>
      <c r="BE169" s="208">
        <f t="shared" ref="BE169" si="91">SUM(BE138:BE168)</f>
        <v>76</v>
      </c>
      <c r="BF169" s="208">
        <f t="shared" ref="BF169" si="92">SUM(BF138:BF168)</f>
        <v>76</v>
      </c>
      <c r="BG169" s="209"/>
      <c r="BH169" s="210"/>
      <c r="BI169" s="116"/>
    </row>
    <row r="170" spans="1:61" ht="43" customHeight="1" x14ac:dyDescent="0.35">
      <c r="A170" s="139" t="s">
        <v>233</v>
      </c>
      <c r="B170" s="125">
        <v>100</v>
      </c>
      <c r="C170" s="125">
        <v>40</v>
      </c>
      <c r="D170" s="125">
        <v>50</v>
      </c>
      <c r="E170" s="125">
        <v>100</v>
      </c>
      <c r="F170" s="125">
        <v>30</v>
      </c>
      <c r="G170" s="125">
        <v>100</v>
      </c>
      <c r="H170" s="125">
        <v>75</v>
      </c>
      <c r="I170" s="125">
        <v>50</v>
      </c>
      <c r="J170" s="125">
        <v>80</v>
      </c>
      <c r="K170" s="125">
        <v>80</v>
      </c>
      <c r="L170" s="125">
        <v>150</v>
      </c>
      <c r="M170" s="125">
        <v>160</v>
      </c>
      <c r="N170" s="125">
        <v>80</v>
      </c>
      <c r="O170" s="125">
        <v>60</v>
      </c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89" t="s">
        <v>244</v>
      </c>
      <c r="AQ170" s="125">
        <v>20</v>
      </c>
      <c r="AR170" s="125">
        <v>25</v>
      </c>
      <c r="AS170" s="125">
        <v>30</v>
      </c>
      <c r="AT170" s="125">
        <v>25</v>
      </c>
      <c r="AU170" s="125">
        <v>20</v>
      </c>
      <c r="AV170" s="125">
        <v>25</v>
      </c>
      <c r="AW170" s="125">
        <v>30</v>
      </c>
      <c r="AX170" s="125">
        <v>30</v>
      </c>
      <c r="AY170" s="125">
        <v>35</v>
      </c>
      <c r="AZ170" s="125">
        <v>32</v>
      </c>
      <c r="BA170" s="125">
        <v>25</v>
      </c>
      <c r="BB170" s="125">
        <v>20</v>
      </c>
      <c r="BC170" s="125">
        <v>20</v>
      </c>
      <c r="BD170" s="125">
        <v>20</v>
      </c>
      <c r="BE170" s="125">
        <v>30</v>
      </c>
      <c r="BF170" s="125">
        <v>30</v>
      </c>
      <c r="BG170" s="107"/>
      <c r="BH170" s="116"/>
      <c r="BI170" s="116"/>
    </row>
    <row r="171" spans="1:61" ht="37" customHeight="1" x14ac:dyDescent="0.35">
      <c r="A171" s="139" t="s">
        <v>242</v>
      </c>
      <c r="B171" s="125">
        <f>B169*B170</f>
        <v>11500</v>
      </c>
      <c r="C171" s="125">
        <f t="shared" ref="C171:O171" si="93">C169*C170</f>
        <v>3160</v>
      </c>
      <c r="D171" s="125">
        <f t="shared" si="93"/>
        <v>6400</v>
      </c>
      <c r="E171" s="125">
        <f t="shared" si="93"/>
        <v>18700</v>
      </c>
      <c r="F171" s="125">
        <f t="shared" si="93"/>
        <v>4020</v>
      </c>
      <c r="G171" s="125">
        <f t="shared" si="93"/>
        <v>9900</v>
      </c>
      <c r="H171" s="125">
        <f t="shared" si="93"/>
        <v>12150</v>
      </c>
      <c r="I171" s="125">
        <f t="shared" si="93"/>
        <v>7550</v>
      </c>
      <c r="J171" s="125">
        <f t="shared" si="93"/>
        <v>8320</v>
      </c>
      <c r="K171" s="125">
        <f t="shared" si="93"/>
        <v>9200</v>
      </c>
      <c r="L171" s="125">
        <f t="shared" si="93"/>
        <v>23550</v>
      </c>
      <c r="M171" s="125">
        <f t="shared" si="93"/>
        <v>13120</v>
      </c>
      <c r="N171" s="125">
        <f t="shared" si="93"/>
        <v>9520</v>
      </c>
      <c r="O171" s="125">
        <f t="shared" si="93"/>
        <v>6480</v>
      </c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89" t="s">
        <v>242</v>
      </c>
      <c r="AQ171" s="125">
        <f>AQ169*AQ170</f>
        <v>3940</v>
      </c>
      <c r="AR171" s="125">
        <f t="shared" ref="AR171:BF171" si="94">AR169*AR170</f>
        <v>3550</v>
      </c>
      <c r="AS171" s="125">
        <f t="shared" si="94"/>
        <v>2790</v>
      </c>
      <c r="AT171" s="125">
        <f t="shared" si="94"/>
        <v>2075</v>
      </c>
      <c r="AU171" s="125">
        <f t="shared" si="94"/>
        <v>1080</v>
      </c>
      <c r="AV171" s="125">
        <f t="shared" si="94"/>
        <v>2600</v>
      </c>
      <c r="AW171" s="125">
        <f t="shared" si="94"/>
        <v>4140</v>
      </c>
      <c r="AX171" s="125">
        <f t="shared" si="94"/>
        <v>2370</v>
      </c>
      <c r="AY171" s="125">
        <f t="shared" si="94"/>
        <v>2240</v>
      </c>
      <c r="AZ171" s="125">
        <f t="shared" si="94"/>
        <v>1920</v>
      </c>
      <c r="BA171" s="125">
        <f t="shared" si="94"/>
        <v>2075</v>
      </c>
      <c r="BB171" s="125">
        <f t="shared" si="94"/>
        <v>1480</v>
      </c>
      <c r="BC171" s="125">
        <f t="shared" si="94"/>
        <v>1380</v>
      </c>
      <c r="BD171" s="125">
        <f t="shared" si="94"/>
        <v>1440</v>
      </c>
      <c r="BE171" s="125">
        <f t="shared" si="94"/>
        <v>2280</v>
      </c>
      <c r="BF171" s="125">
        <f t="shared" si="94"/>
        <v>2280</v>
      </c>
      <c r="BG171" s="107"/>
      <c r="BH171" s="116"/>
      <c r="BI171" s="116"/>
    </row>
    <row r="172" spans="1:61" ht="48" customHeight="1" x14ac:dyDescent="0.35">
      <c r="A172" s="153" t="s">
        <v>243</v>
      </c>
      <c r="B172" s="125">
        <f>SUM(B171:O171)</f>
        <v>143570</v>
      </c>
      <c r="C172" s="125">
        <f>Table3[[#This Row],[Column2]]*95%</f>
        <v>136391.5</v>
      </c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89" t="s">
        <v>245</v>
      </c>
      <c r="AQ172" s="125">
        <f>SUM(AQ171:BF171)</f>
        <v>37640</v>
      </c>
      <c r="AR172" s="125">
        <f>Table5[[#This Row],[Column1]]*95%</f>
        <v>35758</v>
      </c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200" t="s">
        <v>246</v>
      </c>
      <c r="BH172" s="116"/>
      <c r="BI172" s="116"/>
    </row>
    <row r="173" spans="1:61" ht="43.5" x14ac:dyDescent="0.35">
      <c r="A173" s="142" t="s">
        <v>214</v>
      </c>
      <c r="B173" s="143">
        <f t="shared" ref="B173:AO173" si="95">SUM(B99,B134,B169)</f>
        <v>476</v>
      </c>
      <c r="C173" s="143">
        <f t="shared" si="95"/>
        <v>372</v>
      </c>
      <c r="D173" s="143">
        <f t="shared" si="95"/>
        <v>609</v>
      </c>
      <c r="E173" s="143">
        <f t="shared" si="95"/>
        <v>1105</v>
      </c>
      <c r="F173" s="143">
        <f t="shared" si="95"/>
        <v>463</v>
      </c>
      <c r="G173" s="143">
        <f t="shared" si="95"/>
        <v>463</v>
      </c>
      <c r="H173" s="143">
        <f t="shared" si="95"/>
        <v>1203</v>
      </c>
      <c r="I173" s="143">
        <f t="shared" si="95"/>
        <v>724</v>
      </c>
      <c r="J173" s="143">
        <f t="shared" si="95"/>
        <v>581</v>
      </c>
      <c r="K173" s="143">
        <f t="shared" si="95"/>
        <v>611</v>
      </c>
      <c r="L173" s="143">
        <f t="shared" si="95"/>
        <v>671</v>
      </c>
      <c r="M173" s="143">
        <f t="shared" si="95"/>
        <v>477</v>
      </c>
      <c r="N173" s="143">
        <f t="shared" si="95"/>
        <v>603</v>
      </c>
      <c r="O173" s="143">
        <f t="shared" si="95"/>
        <v>417</v>
      </c>
      <c r="P173" s="143">
        <f t="shared" si="95"/>
        <v>0</v>
      </c>
      <c r="Q173" s="143">
        <f t="shared" si="95"/>
        <v>0</v>
      </c>
      <c r="R173" s="143">
        <f t="shared" si="95"/>
        <v>0</v>
      </c>
      <c r="S173" s="143">
        <f t="shared" si="95"/>
        <v>0</v>
      </c>
      <c r="T173" s="143">
        <f t="shared" si="95"/>
        <v>0</v>
      </c>
      <c r="U173" s="143">
        <f t="shared" si="95"/>
        <v>0</v>
      </c>
      <c r="V173" s="143">
        <f t="shared" si="95"/>
        <v>0</v>
      </c>
      <c r="W173" s="143">
        <f t="shared" si="95"/>
        <v>0</v>
      </c>
      <c r="X173" s="143">
        <f t="shared" si="95"/>
        <v>0</v>
      </c>
      <c r="Y173" s="143">
        <f t="shared" si="95"/>
        <v>0</v>
      </c>
      <c r="Z173" s="143">
        <f t="shared" si="95"/>
        <v>0</v>
      </c>
      <c r="AA173" s="143">
        <f t="shared" si="95"/>
        <v>0</v>
      </c>
      <c r="AB173" s="143">
        <f t="shared" si="95"/>
        <v>0</v>
      </c>
      <c r="AC173" s="143">
        <f t="shared" si="95"/>
        <v>0</v>
      </c>
      <c r="AD173" s="143">
        <f t="shared" si="95"/>
        <v>0</v>
      </c>
      <c r="AE173" s="143">
        <f t="shared" si="95"/>
        <v>0</v>
      </c>
      <c r="AF173" s="143">
        <f t="shared" si="95"/>
        <v>0</v>
      </c>
      <c r="AG173" s="143">
        <f t="shared" si="95"/>
        <v>0</v>
      </c>
      <c r="AH173" s="143">
        <f t="shared" si="95"/>
        <v>0</v>
      </c>
      <c r="AI173" s="143">
        <f t="shared" si="95"/>
        <v>0</v>
      </c>
      <c r="AJ173" s="143">
        <f t="shared" si="95"/>
        <v>0</v>
      </c>
      <c r="AK173" s="143">
        <f t="shared" si="95"/>
        <v>0</v>
      </c>
      <c r="AL173" s="143">
        <f t="shared" si="95"/>
        <v>0</v>
      </c>
      <c r="AM173" s="143">
        <f t="shared" si="95"/>
        <v>0</v>
      </c>
      <c r="AN173" s="143">
        <f t="shared" si="95"/>
        <v>0</v>
      </c>
      <c r="AO173" s="143">
        <f t="shared" si="95"/>
        <v>0</v>
      </c>
      <c r="AP173" s="189" t="s">
        <v>214</v>
      </c>
      <c r="AQ173" s="143">
        <f t="shared" ref="AQ173:BF173" si="96">SUM(AQ99,AQ134,AQ169)</f>
        <v>1108</v>
      </c>
      <c r="AR173" s="143">
        <f t="shared" si="96"/>
        <v>748</v>
      </c>
      <c r="AS173" s="143">
        <f t="shared" si="96"/>
        <v>435</v>
      </c>
      <c r="AT173" s="143">
        <f t="shared" si="96"/>
        <v>484</v>
      </c>
      <c r="AU173" s="143">
        <f t="shared" si="96"/>
        <v>313</v>
      </c>
      <c r="AV173" s="143">
        <f t="shared" si="96"/>
        <v>511</v>
      </c>
      <c r="AW173" s="143">
        <f t="shared" si="96"/>
        <v>479</v>
      </c>
      <c r="AX173" s="143">
        <f t="shared" si="96"/>
        <v>499</v>
      </c>
      <c r="AY173" s="143">
        <f t="shared" si="96"/>
        <v>391</v>
      </c>
      <c r="AZ173" s="143">
        <f t="shared" si="96"/>
        <v>494</v>
      </c>
      <c r="BA173" s="143">
        <f t="shared" si="96"/>
        <v>453</v>
      </c>
      <c r="BB173" s="143">
        <f t="shared" si="96"/>
        <v>366</v>
      </c>
      <c r="BC173" s="143">
        <f t="shared" si="96"/>
        <v>379</v>
      </c>
      <c r="BD173" s="143">
        <f t="shared" si="96"/>
        <v>400</v>
      </c>
      <c r="BE173" s="143">
        <f t="shared" si="96"/>
        <v>493</v>
      </c>
      <c r="BF173" s="143">
        <f t="shared" si="96"/>
        <v>531</v>
      </c>
      <c r="BG173" s="206">
        <f>SUM(AQ172,B172)</f>
        <v>181210</v>
      </c>
      <c r="BH173" s="116"/>
      <c r="BI173" s="116"/>
    </row>
    <row r="174" spans="1:61" ht="43.5" x14ac:dyDescent="0.35">
      <c r="A174" s="154" t="s">
        <v>219</v>
      </c>
      <c r="B174" s="155">
        <v>29.29</v>
      </c>
      <c r="C174" s="155">
        <v>27.74</v>
      </c>
      <c r="D174" s="155">
        <v>30.13</v>
      </c>
      <c r="E174" s="155">
        <v>25.33</v>
      </c>
      <c r="F174" s="155">
        <v>27.69</v>
      </c>
      <c r="G174" s="155">
        <v>29.49</v>
      </c>
      <c r="H174" s="155">
        <v>28</v>
      </c>
      <c r="I174" s="155">
        <v>30.14</v>
      </c>
      <c r="J174" s="155">
        <v>27.01</v>
      </c>
      <c r="K174" s="155">
        <v>30.17</v>
      </c>
      <c r="L174" s="155">
        <v>27.67</v>
      </c>
      <c r="M174" s="155">
        <v>28.12</v>
      </c>
      <c r="N174" s="155">
        <v>30.34</v>
      </c>
      <c r="O174" s="155">
        <v>23.55</v>
      </c>
      <c r="P174" s="156">
        <v>0</v>
      </c>
      <c r="Q174" s="156">
        <v>0</v>
      </c>
      <c r="R174" s="156">
        <v>0</v>
      </c>
      <c r="S174" s="156">
        <v>0</v>
      </c>
      <c r="T174" s="156">
        <v>0</v>
      </c>
      <c r="U174" s="156">
        <v>0</v>
      </c>
      <c r="V174" s="156">
        <v>0</v>
      </c>
      <c r="W174" s="156">
        <v>0</v>
      </c>
      <c r="X174" s="156">
        <v>0</v>
      </c>
      <c r="Y174" s="156">
        <v>0</v>
      </c>
      <c r="Z174" s="156">
        <v>0</v>
      </c>
      <c r="AA174" s="156">
        <v>0</v>
      </c>
      <c r="AB174" s="156">
        <v>0</v>
      </c>
      <c r="AC174" s="156">
        <v>0</v>
      </c>
      <c r="AD174" s="156">
        <v>0</v>
      </c>
      <c r="AE174" s="156">
        <v>0</v>
      </c>
      <c r="AF174" s="156">
        <v>0</v>
      </c>
      <c r="AG174" s="156">
        <v>0</v>
      </c>
      <c r="AH174" s="156">
        <v>0</v>
      </c>
      <c r="AI174" s="156">
        <v>0</v>
      </c>
      <c r="AJ174" s="156">
        <v>0</v>
      </c>
      <c r="AK174" s="156">
        <v>0</v>
      </c>
      <c r="AL174" s="156">
        <v>0</v>
      </c>
      <c r="AM174" s="156">
        <v>0</v>
      </c>
      <c r="AN174" s="156">
        <v>0</v>
      </c>
      <c r="AO174" s="156">
        <v>0</v>
      </c>
      <c r="AP174" s="189" t="s">
        <v>219</v>
      </c>
      <c r="AQ174" s="157">
        <v>18.304890055792583</v>
      </c>
      <c r="AR174" s="157">
        <v>16.80035650623886</v>
      </c>
      <c r="AS174" s="157">
        <v>18.96551724137931</v>
      </c>
      <c r="AT174" s="157">
        <v>16.873278236914601</v>
      </c>
      <c r="AU174" s="157">
        <v>18.617484751670055</v>
      </c>
      <c r="AV174" s="157">
        <v>16.862361382909327</v>
      </c>
      <c r="AW174" s="157">
        <v>18.945720250521923</v>
      </c>
      <c r="AX174" s="157">
        <v>18.937875751503004</v>
      </c>
      <c r="AY174" s="157">
        <v>22.114769820971865</v>
      </c>
      <c r="AZ174" s="157">
        <v>21.535762483130906</v>
      </c>
      <c r="BA174" s="157">
        <v>16.887417218543046</v>
      </c>
      <c r="BB174" s="157">
        <v>18.554396423248882</v>
      </c>
      <c r="BC174" s="157">
        <v>18.541616694650994</v>
      </c>
      <c r="BD174" s="157">
        <v>18.522727272727273</v>
      </c>
      <c r="BE174" s="157">
        <v>20.20283975659229</v>
      </c>
      <c r="BF174" s="157">
        <v>18.926553672316384</v>
      </c>
      <c r="BG174" s="207">
        <f>SUM(AR172,C172)</f>
        <v>172149.5</v>
      </c>
      <c r="BH174" s="116" t="s">
        <v>251</v>
      </c>
      <c r="BI174" s="116"/>
    </row>
    <row r="175" spans="1:61" ht="29" x14ac:dyDescent="0.35">
      <c r="A175" s="141" t="s">
        <v>220</v>
      </c>
      <c r="B175" s="152">
        <f>100-B174</f>
        <v>70.710000000000008</v>
      </c>
      <c r="C175" s="152">
        <f t="shared" ref="C175:O175" si="97">100-C174</f>
        <v>72.260000000000005</v>
      </c>
      <c r="D175" s="152">
        <f t="shared" si="97"/>
        <v>69.87</v>
      </c>
      <c r="E175" s="152">
        <f t="shared" si="97"/>
        <v>74.67</v>
      </c>
      <c r="F175" s="152">
        <f t="shared" si="97"/>
        <v>72.31</v>
      </c>
      <c r="G175" s="152">
        <f t="shared" si="97"/>
        <v>70.510000000000005</v>
      </c>
      <c r="H175" s="152">
        <f t="shared" si="97"/>
        <v>72</v>
      </c>
      <c r="I175" s="152">
        <f t="shared" si="97"/>
        <v>69.86</v>
      </c>
      <c r="J175" s="152">
        <f t="shared" si="97"/>
        <v>72.989999999999995</v>
      </c>
      <c r="K175" s="152">
        <f t="shared" si="97"/>
        <v>69.83</v>
      </c>
      <c r="L175" s="152">
        <f t="shared" si="97"/>
        <v>72.33</v>
      </c>
      <c r="M175" s="152">
        <f t="shared" si="97"/>
        <v>71.88</v>
      </c>
      <c r="N175" s="152">
        <f t="shared" si="97"/>
        <v>69.66</v>
      </c>
      <c r="O175" s="152">
        <f t="shared" si="97"/>
        <v>76.45</v>
      </c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89" t="s">
        <v>220</v>
      </c>
      <c r="AQ175" s="152">
        <f t="shared" ref="AQ175" si="98">100-AQ174</f>
        <v>81.695109944207417</v>
      </c>
      <c r="AR175" s="152">
        <f t="shared" ref="AR175" si="99">100-AR174</f>
        <v>83.199643493761144</v>
      </c>
      <c r="AS175" s="152">
        <f t="shared" ref="AS175" si="100">100-AS174</f>
        <v>81.034482758620697</v>
      </c>
      <c r="AT175" s="152">
        <f t="shared" ref="AT175" si="101">100-AT174</f>
        <v>83.126721763085399</v>
      </c>
      <c r="AU175" s="152">
        <f t="shared" ref="AU175" si="102">100-AU174</f>
        <v>81.382515248329952</v>
      </c>
      <c r="AV175" s="152">
        <f t="shared" ref="AV175" si="103">100-AV174</f>
        <v>83.137638617090673</v>
      </c>
      <c r="AW175" s="152">
        <f t="shared" ref="AW175" si="104">100-AW174</f>
        <v>81.05427974947807</v>
      </c>
      <c r="AX175" s="152">
        <f t="shared" ref="AX175" si="105">100-AX174</f>
        <v>81.062124248497</v>
      </c>
      <c r="AY175" s="152">
        <f t="shared" ref="AY175" si="106">100-AY174</f>
        <v>77.885230179028127</v>
      </c>
      <c r="AZ175" s="152">
        <f t="shared" ref="AZ175" si="107">100-AZ174</f>
        <v>78.46423751686909</v>
      </c>
      <c r="BA175" s="152">
        <f t="shared" ref="BA175" si="108">100-BA174</f>
        <v>83.11258278145695</v>
      </c>
      <c r="BB175" s="152">
        <f t="shared" ref="BB175" si="109">100-BB174</f>
        <v>81.445603576751125</v>
      </c>
      <c r="BC175" s="152">
        <f t="shared" ref="BC175" si="110">100-BC174</f>
        <v>81.458383305349003</v>
      </c>
      <c r="BD175" s="152">
        <f t="shared" ref="BD175" si="111">100-BD174</f>
        <v>81.47727272727272</v>
      </c>
      <c r="BE175" s="152">
        <f t="shared" ref="BE175" si="112">100-BE174</f>
        <v>79.797160243407717</v>
      </c>
      <c r="BF175" s="152">
        <f t="shared" ref="BF175" si="113">100-BF174</f>
        <v>81.073446327683612</v>
      </c>
      <c r="BG175" s="207">
        <f>BG174*90%</f>
        <v>154934.55000000002</v>
      </c>
      <c r="BH175" s="116" t="s">
        <v>252</v>
      </c>
      <c r="BI175" s="116"/>
    </row>
    <row r="176" spans="1:61" ht="29" x14ac:dyDescent="0.35">
      <c r="A176" s="139" t="s">
        <v>224</v>
      </c>
      <c r="B176" s="152">
        <f>AVERAGE(B175:O175)</f>
        <v>71.809285714285721</v>
      </c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88" t="s">
        <v>224</v>
      </c>
      <c r="AQ176" s="152">
        <f>AVERAGE(AQ175:BF175)</f>
        <v>81.275402030055531</v>
      </c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07"/>
      <c r="BH176" s="116"/>
      <c r="BI176" s="116"/>
    </row>
    <row r="177" spans="1:61" ht="15.5" x14ac:dyDescent="0.35">
      <c r="A177" s="176" t="s">
        <v>225</v>
      </c>
      <c r="B177" s="155">
        <f>AVERAGE(B176,AQ176)</f>
        <v>76.542343872170619</v>
      </c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07"/>
      <c r="BH177" s="116"/>
      <c r="BI177" s="116"/>
    </row>
    <row r="178" spans="1:61" x14ac:dyDescent="0.35"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8"/>
    </row>
  </sheetData>
  <phoneticPr fontId="17" type="noConversion"/>
  <conditionalFormatting sqref="A65:A68">
    <cfRule type="colorScale" priority="36">
      <colorScale>
        <cfvo type="min"/>
        <cfvo type="max"/>
        <color rgb="FF63BE7B"/>
        <color rgb="FFFCFCFF"/>
      </colorScale>
    </cfRule>
  </conditionalFormatting>
  <conditionalFormatting sqref="A4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{C328274E-1001-4BB6-B60F-1F4765A93544}</x14:id>
        </ext>
      </extLst>
    </cfRule>
  </conditionalFormatting>
  <conditionalFormatting sqref="A65:AO68">
    <cfRule type="top10" dxfId="49" priority="31" rank="10"/>
    <cfRule type="top10" dxfId="48" priority="32" rank="10"/>
  </conditionalFormatting>
  <conditionalFormatting sqref="A65:AO65">
    <cfRule type="top10" dxfId="47" priority="30" rank="10"/>
  </conditionalFormatting>
  <conditionalFormatting sqref="AQ66:XFD66 A66:AO68 AQ67:BH68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{D2E06F5B-C917-4D3E-8872-C9E69884D93B}</x14:id>
        </ext>
      </extLst>
    </cfRule>
  </conditionalFormatting>
  <conditionalFormatting sqref="A66:AO68">
    <cfRule type="aboveAverage" dxfId="46" priority="28"/>
  </conditionalFormatting>
  <conditionalFormatting sqref="AQ66:BG68">
    <cfRule type="top10" dxfId="45" priority="27" rank="10"/>
  </conditionalFormatting>
  <conditionalFormatting sqref="AQ65:BG65">
    <cfRule type="top10" dxfId="44" priority="26" rank="10"/>
  </conditionalFormatting>
  <conditionalFormatting sqref="A99:AO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9:BG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AO1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4:BG1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5:BG177 AQ169:BG1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4:BG174">
    <cfRule type="colorScale" priority="4">
      <colorScale>
        <cfvo type="min"/>
        <cfvo type="max"/>
        <color rgb="FFFCFCFF"/>
        <color rgb="FF63BE7B"/>
      </colorScale>
    </cfRule>
    <cfRule type="top10" dxfId="43" priority="9" bottom="1" rank="10"/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4:AO174">
    <cfRule type="colorScale" priority="5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2" priority="10" bottom="1" rank="10"/>
  </conditionalFormatting>
  <conditionalFormatting sqref="B174:O174">
    <cfRule type="top10" dxfId="41" priority="7" bottom="1" rank="10"/>
  </conditionalFormatting>
  <conditionalFormatting sqref="B174:O174">
    <cfRule type="top10" dxfId="40" priority="6" bottom="1" rank="5"/>
  </conditionalFormatting>
  <conditionalFormatting sqref="AQ175:BG1048576 AR104:BG104 A1:BG64 BH1:XFD1048576 AQ105:BG173 A65:AP1048576 AQ65:BG103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{6D128251-558F-4994-B289-3864E82A19AA}</x14:id>
        </ext>
      </extLst>
    </cfRule>
  </conditionalFormatting>
  <conditionalFormatting sqref="AP1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{23DDE41A-D5BA-4972-B664-6F407EC7045F}</x14:id>
        </ext>
      </extLst>
    </cfRule>
  </conditionalFormatting>
  <conditionalFormatting sqref="AQ175:BG175 B169:AO177 AP162 AP164 AQ173:BG17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0:BF1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8274E-1001-4BB6-B60F-1F4765A935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D2E06F5B-C917-4D3E-8872-C9E69884D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AQ66:XFD66 A66:AO68 AQ67:BH68</xm:sqref>
        </x14:conditionalFormatting>
        <x14:conditionalFormatting xmlns:xm="http://schemas.microsoft.com/office/excel/2006/main">
          <x14:cfRule type="dataBar" id="{6D128251-558F-4994-B289-3864E82A19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AQ175:BG1048576 AR104:BG104 A1:BG64 BH1:XFD1048576 AQ105:BG173 A65:AP1048576 AQ65:BG103</xm:sqref>
        </x14:conditionalFormatting>
        <x14:conditionalFormatting xmlns:xm="http://schemas.microsoft.com/office/excel/2006/main">
          <x14:cfRule type="dataBar" id="{23DDE41A-D5BA-4972-B664-6F407EC7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EAA3-137F-401F-B12E-D88B0D907743}">
  <dimension ref="A1:J20"/>
  <sheetViews>
    <sheetView topLeftCell="A2" zoomScale="140" zoomScaleNormal="120" workbookViewId="0">
      <selection activeCell="C7" sqref="C7"/>
    </sheetView>
  </sheetViews>
  <sheetFormatPr defaultRowHeight="14.5" x14ac:dyDescent="0.35"/>
  <cols>
    <col min="1" max="1" width="27.36328125" style="34" customWidth="1"/>
    <col min="2" max="2" width="13.7265625" style="34" bestFit="1" customWidth="1"/>
    <col min="3" max="3" width="19.453125" style="34" customWidth="1"/>
    <col min="4" max="4" width="29.1796875" style="34" customWidth="1"/>
    <col min="5" max="5" width="6.26953125" style="34" customWidth="1"/>
    <col min="6" max="6" width="8.7265625" style="34"/>
    <col min="7" max="7" width="23.08984375" style="34" customWidth="1"/>
    <col min="8" max="16384" width="8.7265625" style="34"/>
  </cols>
  <sheetData>
    <row r="1" spans="1:10" customFormat="1" x14ac:dyDescent="0.35">
      <c r="A1" s="240" t="s">
        <v>0</v>
      </c>
      <c r="B1" s="241"/>
      <c r="C1" s="241"/>
      <c r="D1" s="242"/>
    </row>
    <row r="2" spans="1:10" customFormat="1" x14ac:dyDescent="0.35">
      <c r="A2" s="27" t="s">
        <v>28</v>
      </c>
      <c r="B2" s="243" t="s">
        <v>53</v>
      </c>
      <c r="C2" s="243"/>
      <c r="D2" s="243"/>
      <c r="E2" t="s">
        <v>52</v>
      </c>
    </row>
    <row r="3" spans="1:10" customFormat="1" x14ac:dyDescent="0.35">
      <c r="A3" s="28" t="s">
        <v>29</v>
      </c>
      <c r="B3" s="28" t="s">
        <v>30</v>
      </c>
      <c r="C3" s="29" t="s">
        <v>31</v>
      </c>
      <c r="D3" s="28" t="s">
        <v>32</v>
      </c>
    </row>
    <row r="4" spans="1:10" customFormat="1" x14ac:dyDescent="0.35">
      <c r="A4" s="160">
        <v>234720.87448400003</v>
      </c>
      <c r="B4" s="160">
        <v>30000</v>
      </c>
      <c r="C4" s="160">
        <v>145009.87448400003</v>
      </c>
      <c r="D4" s="160">
        <v>235266.66</v>
      </c>
      <c r="E4" t="s">
        <v>54</v>
      </c>
      <c r="I4">
        <f>300000</f>
        <v>300000</v>
      </c>
      <c r="J4" t="s">
        <v>55</v>
      </c>
    </row>
    <row r="5" spans="1:10" customFormat="1" x14ac:dyDescent="0.35">
      <c r="E5" t="s">
        <v>56</v>
      </c>
      <c r="I5">
        <f>I4/3</f>
        <v>100000</v>
      </c>
    </row>
    <row r="6" spans="1:10" customFormat="1" x14ac:dyDescent="0.35">
      <c r="E6" t="s">
        <v>57</v>
      </c>
      <c r="H6">
        <f>I5*2</f>
        <v>200000</v>
      </c>
      <c r="I6" t="s">
        <v>55</v>
      </c>
      <c r="J6" s="136" t="s">
        <v>204</v>
      </c>
    </row>
    <row r="7" spans="1:10" customFormat="1" ht="15.5" x14ac:dyDescent="0.35">
      <c r="A7" s="30" t="s">
        <v>33</v>
      </c>
      <c r="B7" s="31"/>
      <c r="C7" s="31"/>
      <c r="D7" s="244" t="s">
        <v>34</v>
      </c>
      <c r="E7" s="245"/>
    </row>
    <row r="8" spans="1:10" customFormat="1" ht="15.5" x14ac:dyDescent="0.35">
      <c r="A8" s="239" t="s">
        <v>35</v>
      </c>
      <c r="B8" s="239"/>
      <c r="C8" s="239"/>
      <c r="D8" s="244"/>
      <c r="E8" s="245"/>
    </row>
    <row r="9" spans="1:10" customFormat="1" x14ac:dyDescent="0.35"/>
    <row r="10" spans="1:10" customFormat="1" ht="15.5" x14ac:dyDescent="0.35">
      <c r="A10" s="246">
        <f>(A4 + B4) - C4</f>
        <v>119711</v>
      </c>
      <c r="B10" s="246"/>
      <c r="C10" s="247"/>
      <c r="D10" s="32">
        <f>A4+B4-C4</f>
        <v>119711</v>
      </c>
      <c r="E10" s="238" t="s">
        <v>34</v>
      </c>
      <c r="G10" s="237">
        <f>D10/D11</f>
        <v>0.50883112804848762</v>
      </c>
      <c r="H10" s="238" t="s">
        <v>36</v>
      </c>
    </row>
    <row r="11" spans="1:10" customFormat="1" ht="15.5" x14ac:dyDescent="0.35">
      <c r="A11" s="239">
        <f>D4</f>
        <v>235266.66</v>
      </c>
      <c r="B11" s="239"/>
      <c r="C11" s="247"/>
      <c r="D11" s="33">
        <f>A11</f>
        <v>235266.66</v>
      </c>
      <c r="E11" s="238"/>
      <c r="G11" s="237"/>
      <c r="H11" s="238"/>
    </row>
    <row r="12" spans="1:10" customFormat="1" x14ac:dyDescent="0.35"/>
    <row r="13" spans="1:10" customFormat="1" x14ac:dyDescent="0.35"/>
    <row r="14" spans="1:10" s="35" customFormat="1" x14ac:dyDescent="0.35">
      <c r="A14" s="39" t="s">
        <v>123</v>
      </c>
    </row>
    <row r="15" spans="1:10" ht="72.5" x14ac:dyDescent="0.35">
      <c r="G15" s="38" t="s">
        <v>58</v>
      </c>
    </row>
    <row r="16" spans="1:10" ht="58" x14ac:dyDescent="0.35">
      <c r="G16" s="62" t="s">
        <v>59</v>
      </c>
    </row>
    <row r="17" spans="1:7" ht="43.5" x14ac:dyDescent="0.35">
      <c r="G17" s="38" t="s">
        <v>60</v>
      </c>
    </row>
    <row r="18" spans="1:7" s="36" customFormat="1" x14ac:dyDescent="0.35"/>
    <row r="19" spans="1:7" s="35" customFormat="1" x14ac:dyDescent="0.35">
      <c r="A19" s="40" t="s">
        <v>61</v>
      </c>
    </row>
    <row r="20" spans="1:7" ht="101.5" x14ac:dyDescent="0.35">
      <c r="A20" s="38" t="s">
        <v>62</v>
      </c>
      <c r="G20" s="37" t="s">
        <v>63</v>
      </c>
    </row>
  </sheetData>
  <mergeCells count="11">
    <mergeCell ref="G10:G11"/>
    <mergeCell ref="H10:H11"/>
    <mergeCell ref="A11:B11"/>
    <mergeCell ref="A1:D1"/>
    <mergeCell ref="B2:D2"/>
    <mergeCell ref="D7:D8"/>
    <mergeCell ref="E7:E8"/>
    <mergeCell ref="A8:C8"/>
    <mergeCell ref="A10:B10"/>
    <mergeCell ref="C10:C11"/>
    <mergeCell ref="E10:E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75E3-247E-411E-8658-FAB1BC85F107}">
  <dimension ref="A1:U84"/>
  <sheetViews>
    <sheetView zoomScale="93" zoomScaleNormal="70" workbookViewId="0">
      <selection activeCell="C4" sqref="C4"/>
    </sheetView>
  </sheetViews>
  <sheetFormatPr defaultRowHeight="14.5" x14ac:dyDescent="0.35"/>
  <cols>
    <col min="1" max="1" width="25.54296875" style="70" customWidth="1"/>
    <col min="2" max="2" width="13.7265625" style="64" bestFit="1" customWidth="1"/>
    <col min="3" max="3" width="11.26953125" style="64" customWidth="1"/>
    <col min="4" max="4" width="13" style="64" customWidth="1"/>
    <col min="5" max="5" width="16.26953125" style="64" bestFit="1" customWidth="1"/>
    <col min="6" max="6" width="23.6328125" style="161" customWidth="1"/>
    <col min="7" max="7" width="23.6328125" style="64" customWidth="1"/>
    <col min="8" max="8" width="23.6328125" style="161" customWidth="1"/>
    <col min="9" max="9" width="24" style="64" customWidth="1"/>
    <col min="10" max="10" width="26" style="80" customWidth="1"/>
    <col min="11" max="11" width="24.54296875" style="82" customWidth="1"/>
    <col min="12" max="12" width="23.36328125" style="80" customWidth="1"/>
    <col min="13" max="14" width="22.08984375" style="80" customWidth="1"/>
    <col min="15" max="15" width="12.7265625" style="65" bestFit="1" customWidth="1"/>
    <col min="16" max="16" width="13.6328125" style="65" customWidth="1"/>
    <col min="17" max="17" width="13.08984375" style="65" customWidth="1"/>
    <col min="18" max="18" width="11.36328125" style="65" customWidth="1"/>
    <col min="19" max="16384" width="8.7265625" style="65"/>
  </cols>
  <sheetData>
    <row r="1" spans="1:21" x14ac:dyDescent="0.35">
      <c r="A1" s="248" t="s">
        <v>0</v>
      </c>
      <c r="B1" s="249"/>
      <c r="C1" s="249"/>
      <c r="D1" s="249"/>
      <c r="E1" s="249"/>
      <c r="I1" s="78"/>
    </row>
    <row r="2" spans="1:21" x14ac:dyDescent="0.35">
      <c r="A2" s="49" t="s">
        <v>28</v>
      </c>
      <c r="B2" s="250" t="s">
        <v>65</v>
      </c>
      <c r="C2" s="251"/>
      <c r="D2" s="251"/>
      <c r="E2" s="251"/>
      <c r="I2" s="78"/>
    </row>
    <row r="3" spans="1:21" s="57" customFormat="1" ht="29" x14ac:dyDescent="0.35">
      <c r="A3" s="54" t="s">
        <v>37</v>
      </c>
      <c r="B3" s="55" t="s">
        <v>106</v>
      </c>
      <c r="C3" s="55" t="s">
        <v>38</v>
      </c>
      <c r="D3" s="55" t="s">
        <v>39</v>
      </c>
      <c r="E3" s="55" t="s">
        <v>40</v>
      </c>
      <c r="F3" s="162" t="s">
        <v>107</v>
      </c>
      <c r="G3" s="56" t="s">
        <v>102</v>
      </c>
      <c r="H3" s="162" t="s">
        <v>211</v>
      </c>
      <c r="I3" s="56" t="s">
        <v>100</v>
      </c>
      <c r="J3" s="146" t="s">
        <v>217</v>
      </c>
      <c r="K3" s="56" t="s">
        <v>215</v>
      </c>
      <c r="L3" s="211" t="s">
        <v>216</v>
      </c>
      <c r="M3" s="56" t="s">
        <v>235</v>
      </c>
      <c r="N3" s="56" t="s">
        <v>248</v>
      </c>
      <c r="O3" s="56" t="s">
        <v>253</v>
      </c>
      <c r="P3" s="56" t="s">
        <v>254</v>
      </c>
      <c r="Q3" s="56" t="s">
        <v>255</v>
      </c>
      <c r="R3" s="215" t="s">
        <v>247</v>
      </c>
      <c r="S3" s="215" t="s">
        <v>249</v>
      </c>
      <c r="T3" s="215" t="s">
        <v>250</v>
      </c>
      <c r="U3" s="214"/>
    </row>
    <row r="4" spans="1:21" x14ac:dyDescent="0.35">
      <c r="A4" s="49" t="s">
        <v>97</v>
      </c>
      <c r="B4" s="46">
        <v>70</v>
      </c>
      <c r="C4" s="46">
        <v>150</v>
      </c>
      <c r="D4" s="46">
        <v>100</v>
      </c>
      <c r="E4" s="46">
        <v>1500</v>
      </c>
      <c r="F4" s="163">
        <f t="shared" ref="F4:F43" si="0">(((B4*C4)+E4)/(D4*C4))*100</f>
        <v>80</v>
      </c>
      <c r="G4" s="46">
        <f>((D4-B4)*C4)</f>
        <v>4500</v>
      </c>
      <c r="H4" s="163">
        <f t="shared" ref="H4:H43" si="1">(G4/(C4*D4))*100</f>
        <v>30</v>
      </c>
      <c r="I4" s="46" t="str">
        <f t="shared" ref="I4:I43" si="2">IF(F4&lt;=30,A4," ")</f>
        <v xml:space="preserve"> </v>
      </c>
      <c r="J4" s="147">
        <f>(E4/2)*3</f>
        <v>2250</v>
      </c>
      <c r="K4" s="150"/>
      <c r="L4" s="213"/>
      <c r="M4" s="147" t="s">
        <v>234</v>
      </c>
      <c r="N4" s="147" t="str">
        <f>IF(M4=" "," ",J4/3)</f>
        <v xml:space="preserve"> </v>
      </c>
      <c r="O4" s="73"/>
      <c r="P4" s="73"/>
      <c r="Q4" s="73"/>
      <c r="R4" s="73"/>
      <c r="S4" s="73"/>
      <c r="T4" s="73"/>
      <c r="U4" s="73"/>
    </row>
    <row r="5" spans="1:21" x14ac:dyDescent="0.35">
      <c r="A5" s="49" t="s">
        <v>98</v>
      </c>
      <c r="B5" s="46">
        <v>100</v>
      </c>
      <c r="C5" s="46">
        <v>847</v>
      </c>
      <c r="D5" s="46">
        <v>350</v>
      </c>
      <c r="E5" s="46">
        <v>800</v>
      </c>
      <c r="F5" s="163">
        <f t="shared" si="0"/>
        <v>28.841288581548323</v>
      </c>
      <c r="G5" s="46">
        <f>(D5-B5)*C5</f>
        <v>211750</v>
      </c>
      <c r="H5" s="163">
        <f t="shared" si="1"/>
        <v>71.428571428571431</v>
      </c>
      <c r="I5" s="46" t="str">
        <f t="shared" si="2"/>
        <v>Chicken Biryani</v>
      </c>
      <c r="J5" s="147">
        <f t="shared" ref="J5:J43" si="3">(E5/2)*3</f>
        <v>1200</v>
      </c>
      <c r="K5" s="150">
        <v>476</v>
      </c>
      <c r="L5" s="213">
        <f t="shared" ref="L5:L38" si="4">(((B5*K5)+J5)/(D5*K5))*100</f>
        <v>29.291716686674668</v>
      </c>
      <c r="M5" s="147">
        <v>100</v>
      </c>
      <c r="N5" s="147">
        <f t="shared" ref="N5:N43" si="5">IF(M5=" "," ",J5/3)</f>
        <v>400</v>
      </c>
      <c r="O5" s="73">
        <v>216</v>
      </c>
      <c r="P5" s="73">
        <v>145</v>
      </c>
      <c r="Q5" s="73">
        <v>115</v>
      </c>
      <c r="R5" s="73">
        <f>IFERROR((((M5*O5)+N5)/(D5*O5))*100," ")</f>
        <v>29.100529100529098</v>
      </c>
      <c r="S5" s="73">
        <f>IFERROR((((M5*P5)+N5)/(D5*P5))*100," ")</f>
        <v>29.35960591133005</v>
      </c>
      <c r="T5" s="73">
        <f>IFERROR((((M5*Q5)+N5)/(D5*Q5))*100," ")</f>
        <v>29.565217391304348</v>
      </c>
      <c r="U5" s="73"/>
    </row>
    <row r="6" spans="1:21" x14ac:dyDescent="0.35">
      <c r="A6" s="49" t="s">
        <v>41</v>
      </c>
      <c r="B6" s="46">
        <v>30</v>
      </c>
      <c r="C6" s="46">
        <v>223</v>
      </c>
      <c r="D6" s="46">
        <v>50</v>
      </c>
      <c r="E6" s="46">
        <v>100</v>
      </c>
      <c r="F6" s="163">
        <f t="shared" si="0"/>
        <v>60.896860986547082</v>
      </c>
      <c r="G6" s="46">
        <f t="shared" ref="G6:G43" si="6">(D6-B6)*C6</f>
        <v>4460</v>
      </c>
      <c r="H6" s="163">
        <f t="shared" si="1"/>
        <v>40</v>
      </c>
      <c r="I6" s="46" t="str">
        <f t="shared" si="2"/>
        <v xml:space="preserve"> </v>
      </c>
      <c r="J6" s="147">
        <f t="shared" si="3"/>
        <v>150</v>
      </c>
      <c r="K6" s="150"/>
      <c r="L6" s="213"/>
      <c r="M6" s="147" t="s">
        <v>234</v>
      </c>
      <c r="N6" s="147" t="str">
        <f t="shared" si="5"/>
        <v xml:space="preserve"> </v>
      </c>
      <c r="O6" s="73"/>
      <c r="P6" s="73"/>
      <c r="Q6" s="73"/>
      <c r="R6" s="73" t="str">
        <f t="shared" ref="R6:R43" si="7">IFERROR((((M6*O6)+N6)/(D6*O6))*100," ")</f>
        <v xml:space="preserve"> </v>
      </c>
      <c r="S6" s="73" t="str">
        <f t="shared" ref="S6:S43" si="8">IFERROR((((M6*P6)+N6)/(D6*P6))*100," ")</f>
        <v xml:space="preserve"> </v>
      </c>
      <c r="T6" s="73" t="str">
        <f t="shared" ref="T6:T43" si="9">IFERROR((((M6*Q6)+N6)/(D6*Q6))*100," ")</f>
        <v xml:space="preserve"> </v>
      </c>
      <c r="U6" s="73"/>
    </row>
    <row r="7" spans="1:21" x14ac:dyDescent="0.35">
      <c r="A7" s="49" t="s">
        <v>42</v>
      </c>
      <c r="B7" s="46">
        <v>40</v>
      </c>
      <c r="C7" s="46">
        <v>419</v>
      </c>
      <c r="D7" s="46">
        <v>150</v>
      </c>
      <c r="E7" s="46">
        <v>400</v>
      </c>
      <c r="F7" s="163">
        <f t="shared" si="0"/>
        <v>27.30310262529833</v>
      </c>
      <c r="G7" s="46">
        <f t="shared" si="6"/>
        <v>46090</v>
      </c>
      <c r="H7" s="163">
        <f t="shared" si="1"/>
        <v>73.333333333333329</v>
      </c>
      <c r="I7" s="46" t="str">
        <f t="shared" si="2"/>
        <v>Egg Bhujia</v>
      </c>
      <c r="J7" s="147">
        <f t="shared" si="3"/>
        <v>600</v>
      </c>
      <c r="K7" s="150">
        <v>372</v>
      </c>
      <c r="L7" s="213">
        <f t="shared" si="4"/>
        <v>27.741935483870968</v>
      </c>
      <c r="M7" s="147">
        <v>40</v>
      </c>
      <c r="N7" s="147">
        <f t="shared" si="5"/>
        <v>200</v>
      </c>
      <c r="O7" s="73">
        <v>175</v>
      </c>
      <c r="P7" s="73">
        <v>118</v>
      </c>
      <c r="Q7" s="73">
        <v>79</v>
      </c>
      <c r="R7" s="73">
        <f t="shared" si="7"/>
        <v>27.428571428571431</v>
      </c>
      <c r="S7" s="73">
        <f t="shared" si="8"/>
        <v>27.796610169491526</v>
      </c>
      <c r="T7" s="73">
        <f t="shared" si="9"/>
        <v>28.354430379746837</v>
      </c>
      <c r="U7" s="73"/>
    </row>
    <row r="8" spans="1:21" s="67" customFormat="1" x14ac:dyDescent="0.35">
      <c r="A8" s="52" t="s">
        <v>76</v>
      </c>
      <c r="B8" s="53">
        <v>50</v>
      </c>
      <c r="C8" s="53">
        <v>1200</v>
      </c>
      <c r="D8" s="53">
        <v>170</v>
      </c>
      <c r="E8" s="53">
        <v>500</v>
      </c>
      <c r="F8" s="164">
        <f t="shared" si="0"/>
        <v>29.656862745098039</v>
      </c>
      <c r="G8" s="53">
        <f t="shared" si="6"/>
        <v>144000</v>
      </c>
      <c r="H8" s="163">
        <f t="shared" si="1"/>
        <v>70.588235294117652</v>
      </c>
      <c r="I8" s="53" t="str">
        <f t="shared" si="2"/>
        <v>Omlets with Bread Toast</v>
      </c>
      <c r="J8" s="147">
        <f t="shared" si="3"/>
        <v>750</v>
      </c>
      <c r="K8" s="150">
        <v>609</v>
      </c>
      <c r="L8" s="213">
        <f t="shared" si="4"/>
        <v>30.13619240799768</v>
      </c>
      <c r="M8" s="147">
        <v>50</v>
      </c>
      <c r="N8" s="147">
        <f t="shared" si="5"/>
        <v>250</v>
      </c>
      <c r="O8" s="73">
        <v>335</v>
      </c>
      <c r="P8" s="151">
        <v>146</v>
      </c>
      <c r="Q8" s="151">
        <v>128</v>
      </c>
      <c r="R8" s="73">
        <f t="shared" si="7"/>
        <v>29.850746268656714</v>
      </c>
      <c r="S8" s="73">
        <f t="shared" si="8"/>
        <v>30.419016921837226</v>
      </c>
      <c r="T8" s="73">
        <f t="shared" si="9"/>
        <v>30.56066176470588</v>
      </c>
      <c r="U8" s="151"/>
    </row>
    <row r="9" spans="1:21" x14ac:dyDescent="0.35">
      <c r="A9" s="49" t="s">
        <v>43</v>
      </c>
      <c r="B9" s="46">
        <v>100</v>
      </c>
      <c r="C9" s="46">
        <v>1341</v>
      </c>
      <c r="D9" s="46">
        <v>400</v>
      </c>
      <c r="E9" s="46">
        <v>1000</v>
      </c>
      <c r="F9" s="163">
        <f t="shared" si="0"/>
        <v>25.186428038777031</v>
      </c>
      <c r="G9" s="46">
        <f t="shared" si="6"/>
        <v>402300</v>
      </c>
      <c r="H9" s="163">
        <f t="shared" si="1"/>
        <v>75</v>
      </c>
      <c r="I9" s="46" t="str">
        <f t="shared" si="2"/>
        <v>Chicken Kabab</v>
      </c>
      <c r="J9" s="147">
        <f t="shared" si="3"/>
        <v>1500</v>
      </c>
      <c r="K9" s="150">
        <v>1105</v>
      </c>
      <c r="L9" s="213">
        <f t="shared" si="4"/>
        <v>25.339366515837103</v>
      </c>
      <c r="M9" s="147">
        <v>100</v>
      </c>
      <c r="N9" s="147">
        <f t="shared" si="5"/>
        <v>500</v>
      </c>
      <c r="O9" s="73">
        <v>650</v>
      </c>
      <c r="P9" s="73">
        <v>268</v>
      </c>
      <c r="Q9" s="73">
        <v>187</v>
      </c>
      <c r="R9" s="73">
        <f t="shared" si="7"/>
        <v>25.192307692307693</v>
      </c>
      <c r="S9" s="73">
        <f t="shared" si="8"/>
        <v>25.466417910447763</v>
      </c>
      <c r="T9" s="73">
        <f t="shared" si="9"/>
        <v>25.668449197860966</v>
      </c>
      <c r="U9" s="73"/>
    </row>
    <row r="10" spans="1:21" x14ac:dyDescent="0.35">
      <c r="A10" s="49" t="s">
        <v>44</v>
      </c>
      <c r="B10" s="46">
        <v>50</v>
      </c>
      <c r="C10" s="46">
        <v>200</v>
      </c>
      <c r="D10" s="46">
        <v>70</v>
      </c>
      <c r="E10" s="46">
        <v>800</v>
      </c>
      <c r="F10" s="163">
        <f t="shared" si="0"/>
        <v>77.142857142857153</v>
      </c>
      <c r="G10" s="46">
        <f t="shared" si="6"/>
        <v>4000</v>
      </c>
      <c r="H10" s="163">
        <f t="shared" si="1"/>
        <v>28.571428571428569</v>
      </c>
      <c r="I10" s="46" t="str">
        <f t="shared" si="2"/>
        <v xml:space="preserve"> </v>
      </c>
      <c r="J10" s="147">
        <f t="shared" si="3"/>
        <v>1200</v>
      </c>
      <c r="K10" s="150"/>
      <c r="L10" s="213"/>
      <c r="M10" s="147" t="s">
        <v>234</v>
      </c>
      <c r="N10" s="147" t="str">
        <f t="shared" si="5"/>
        <v xml:space="preserve"> </v>
      </c>
      <c r="O10" s="73"/>
      <c r="P10" s="73"/>
      <c r="Q10" s="73"/>
      <c r="R10" s="73" t="str">
        <f t="shared" si="7"/>
        <v xml:space="preserve"> </v>
      </c>
      <c r="S10" s="73" t="str">
        <f t="shared" si="8"/>
        <v xml:space="preserve"> </v>
      </c>
      <c r="T10" s="73" t="str">
        <f t="shared" si="9"/>
        <v xml:space="preserve"> </v>
      </c>
      <c r="U10" s="73"/>
    </row>
    <row r="11" spans="1:21" x14ac:dyDescent="0.35">
      <c r="A11" s="49" t="s">
        <v>45</v>
      </c>
      <c r="B11" s="46">
        <v>20</v>
      </c>
      <c r="C11" s="46">
        <v>157</v>
      </c>
      <c r="D11" s="46">
        <v>50</v>
      </c>
      <c r="E11" s="46">
        <v>300</v>
      </c>
      <c r="F11" s="163">
        <f t="shared" si="0"/>
        <v>43.821656050955418</v>
      </c>
      <c r="G11" s="46">
        <f t="shared" si="6"/>
        <v>4710</v>
      </c>
      <c r="H11" s="163">
        <f t="shared" si="1"/>
        <v>60</v>
      </c>
      <c r="I11" s="46" t="str">
        <f t="shared" si="2"/>
        <v xml:space="preserve"> </v>
      </c>
      <c r="J11" s="147">
        <f t="shared" si="3"/>
        <v>450</v>
      </c>
      <c r="K11" s="150"/>
      <c r="L11" s="213"/>
      <c r="M11" s="147" t="s">
        <v>234</v>
      </c>
      <c r="N11" s="147" t="str">
        <f t="shared" si="5"/>
        <v xml:space="preserve"> </v>
      </c>
      <c r="O11" s="73"/>
      <c r="P11" s="73"/>
      <c r="Q11" s="73"/>
      <c r="R11" s="73" t="str">
        <f t="shared" si="7"/>
        <v xml:space="preserve"> </v>
      </c>
      <c r="S11" s="73" t="str">
        <f t="shared" si="8"/>
        <v xml:space="preserve"> </v>
      </c>
      <c r="T11" s="73" t="str">
        <f t="shared" si="9"/>
        <v xml:space="preserve"> </v>
      </c>
      <c r="U11" s="73"/>
    </row>
    <row r="12" spans="1:21" x14ac:dyDescent="0.35">
      <c r="A12" s="49" t="s">
        <v>46</v>
      </c>
      <c r="B12" s="46">
        <v>100</v>
      </c>
      <c r="C12" s="46">
        <v>250</v>
      </c>
      <c r="D12" s="46">
        <v>120</v>
      </c>
      <c r="E12" s="46">
        <v>300</v>
      </c>
      <c r="F12" s="163">
        <f t="shared" si="0"/>
        <v>84.333333333333343</v>
      </c>
      <c r="G12" s="46">
        <f t="shared" si="6"/>
        <v>5000</v>
      </c>
      <c r="H12" s="163">
        <f t="shared" si="1"/>
        <v>16.666666666666664</v>
      </c>
      <c r="I12" s="46" t="str">
        <f t="shared" si="2"/>
        <v xml:space="preserve"> </v>
      </c>
      <c r="J12" s="147">
        <f t="shared" si="3"/>
        <v>450</v>
      </c>
      <c r="K12" s="150"/>
      <c r="L12" s="213"/>
      <c r="M12" s="147" t="s">
        <v>234</v>
      </c>
      <c r="N12" s="147" t="str">
        <f t="shared" si="5"/>
        <v xml:space="preserve"> </v>
      </c>
      <c r="O12" s="73"/>
      <c r="P12" s="73"/>
      <c r="Q12" s="73"/>
      <c r="R12" s="73" t="str">
        <f t="shared" si="7"/>
        <v xml:space="preserve"> </v>
      </c>
      <c r="S12" s="73" t="str">
        <f t="shared" si="8"/>
        <v xml:space="preserve"> </v>
      </c>
      <c r="T12" s="73" t="str">
        <f t="shared" si="9"/>
        <v xml:space="preserve"> </v>
      </c>
      <c r="U12" s="73"/>
    </row>
    <row r="13" spans="1:21" x14ac:dyDescent="0.35">
      <c r="A13" s="49" t="s">
        <v>47</v>
      </c>
      <c r="B13" s="46">
        <v>90</v>
      </c>
      <c r="C13" s="46">
        <v>150</v>
      </c>
      <c r="D13" s="46">
        <v>120</v>
      </c>
      <c r="E13" s="46">
        <v>1800</v>
      </c>
      <c r="F13" s="163">
        <f t="shared" si="0"/>
        <v>85</v>
      </c>
      <c r="G13" s="46">
        <f t="shared" si="6"/>
        <v>4500</v>
      </c>
      <c r="H13" s="163">
        <f t="shared" si="1"/>
        <v>25</v>
      </c>
      <c r="I13" s="46" t="str">
        <f t="shared" si="2"/>
        <v xml:space="preserve"> </v>
      </c>
      <c r="J13" s="147">
        <f t="shared" si="3"/>
        <v>2700</v>
      </c>
      <c r="K13" s="150"/>
      <c r="L13" s="213"/>
      <c r="M13" s="147" t="s">
        <v>234</v>
      </c>
      <c r="N13" s="147" t="str">
        <f t="shared" si="5"/>
        <v xml:space="preserve"> </v>
      </c>
      <c r="O13" s="73"/>
      <c r="P13" s="73"/>
      <c r="Q13" s="73"/>
      <c r="R13" s="73" t="str">
        <f t="shared" si="7"/>
        <v xml:space="preserve"> </v>
      </c>
      <c r="S13" s="73" t="str">
        <f t="shared" si="8"/>
        <v xml:space="preserve"> </v>
      </c>
      <c r="T13" s="73" t="str">
        <f t="shared" si="9"/>
        <v xml:space="preserve"> </v>
      </c>
      <c r="U13" s="73"/>
    </row>
    <row r="14" spans="1:21" x14ac:dyDescent="0.35">
      <c r="A14" s="49" t="s">
        <v>48</v>
      </c>
      <c r="B14" s="46">
        <v>80</v>
      </c>
      <c r="C14" s="46">
        <v>164</v>
      </c>
      <c r="D14" s="46">
        <v>120</v>
      </c>
      <c r="E14" s="46">
        <v>2000</v>
      </c>
      <c r="F14" s="163">
        <f t="shared" si="0"/>
        <v>76.829268292682926</v>
      </c>
      <c r="G14" s="46">
        <f t="shared" si="6"/>
        <v>6560</v>
      </c>
      <c r="H14" s="163">
        <f t="shared" si="1"/>
        <v>33.333333333333329</v>
      </c>
      <c r="I14" s="46" t="str">
        <f t="shared" si="2"/>
        <v xml:space="preserve"> </v>
      </c>
      <c r="J14" s="147">
        <f t="shared" si="3"/>
        <v>3000</v>
      </c>
      <c r="K14" s="150"/>
      <c r="L14" s="213"/>
      <c r="M14" s="147" t="s">
        <v>234</v>
      </c>
      <c r="N14" s="147" t="str">
        <f t="shared" si="5"/>
        <v xml:space="preserve"> </v>
      </c>
      <c r="O14" s="73"/>
      <c r="P14" s="73"/>
      <c r="Q14" s="73"/>
      <c r="R14" s="73" t="str">
        <f t="shared" si="7"/>
        <v xml:space="preserve"> </v>
      </c>
      <c r="S14" s="73" t="str">
        <f t="shared" si="8"/>
        <v xml:space="preserve"> </v>
      </c>
      <c r="T14" s="73" t="str">
        <f t="shared" si="9"/>
        <v xml:space="preserve"> </v>
      </c>
      <c r="U14" s="73"/>
    </row>
    <row r="15" spans="1:21" x14ac:dyDescent="0.35">
      <c r="A15" s="49" t="s">
        <v>49</v>
      </c>
      <c r="B15" s="46">
        <v>80</v>
      </c>
      <c r="C15" s="46">
        <v>100</v>
      </c>
      <c r="D15" s="46">
        <v>150</v>
      </c>
      <c r="E15" s="46">
        <v>4000</v>
      </c>
      <c r="F15" s="163">
        <f t="shared" si="0"/>
        <v>80</v>
      </c>
      <c r="G15" s="46">
        <f t="shared" si="6"/>
        <v>7000</v>
      </c>
      <c r="H15" s="163">
        <f t="shared" si="1"/>
        <v>46.666666666666664</v>
      </c>
      <c r="I15" s="46" t="str">
        <f t="shared" si="2"/>
        <v xml:space="preserve"> </v>
      </c>
      <c r="J15" s="147">
        <f t="shared" si="3"/>
        <v>6000</v>
      </c>
      <c r="K15" s="150"/>
      <c r="L15" s="213"/>
      <c r="M15" s="147" t="s">
        <v>234</v>
      </c>
      <c r="N15" s="147" t="str">
        <f t="shared" si="5"/>
        <v xml:space="preserve"> </v>
      </c>
      <c r="O15" s="73"/>
      <c r="P15" s="73"/>
      <c r="Q15" s="73"/>
      <c r="R15" s="73" t="str">
        <f t="shared" si="7"/>
        <v xml:space="preserve"> </v>
      </c>
      <c r="S15" s="73" t="str">
        <f t="shared" si="8"/>
        <v xml:space="preserve"> </v>
      </c>
      <c r="T15" s="73" t="str">
        <f t="shared" si="9"/>
        <v xml:space="preserve"> </v>
      </c>
      <c r="U15" s="73"/>
    </row>
    <row r="16" spans="1:21" x14ac:dyDescent="0.35">
      <c r="A16" s="49" t="s">
        <v>50</v>
      </c>
      <c r="B16" s="46">
        <v>100</v>
      </c>
      <c r="C16" s="46">
        <v>330</v>
      </c>
      <c r="D16" s="46">
        <v>200</v>
      </c>
      <c r="E16" s="46">
        <v>6000</v>
      </c>
      <c r="F16" s="163">
        <f t="shared" si="0"/>
        <v>59.090909090909093</v>
      </c>
      <c r="G16" s="46">
        <f t="shared" si="6"/>
        <v>33000</v>
      </c>
      <c r="H16" s="163">
        <f t="shared" si="1"/>
        <v>50</v>
      </c>
      <c r="I16" s="46" t="str">
        <f t="shared" si="2"/>
        <v xml:space="preserve"> </v>
      </c>
      <c r="J16" s="147">
        <f t="shared" si="3"/>
        <v>9000</v>
      </c>
      <c r="K16" s="150"/>
      <c r="L16" s="213"/>
      <c r="M16" s="147" t="s">
        <v>234</v>
      </c>
      <c r="N16" s="147" t="str">
        <f t="shared" si="5"/>
        <v xml:space="preserve"> </v>
      </c>
      <c r="O16" s="73"/>
      <c r="P16" s="73"/>
      <c r="Q16" s="73"/>
      <c r="R16" s="73" t="str">
        <f t="shared" si="7"/>
        <v xml:space="preserve"> </v>
      </c>
      <c r="S16" s="73" t="str">
        <f t="shared" si="8"/>
        <v xml:space="preserve"> </v>
      </c>
      <c r="T16" s="73" t="str">
        <f t="shared" si="9"/>
        <v xml:space="preserve"> </v>
      </c>
      <c r="U16" s="73"/>
    </row>
    <row r="17" spans="1:21" x14ac:dyDescent="0.35">
      <c r="A17" s="49" t="s">
        <v>71</v>
      </c>
      <c r="B17" s="46">
        <v>30</v>
      </c>
      <c r="C17" s="46">
        <v>200</v>
      </c>
      <c r="D17" s="46">
        <v>50</v>
      </c>
      <c r="E17" s="46">
        <v>1500</v>
      </c>
      <c r="F17" s="163">
        <f t="shared" si="0"/>
        <v>75</v>
      </c>
      <c r="G17" s="46">
        <f t="shared" si="6"/>
        <v>4000</v>
      </c>
      <c r="H17" s="163">
        <f t="shared" si="1"/>
        <v>40</v>
      </c>
      <c r="I17" s="46" t="str">
        <f t="shared" si="2"/>
        <v xml:space="preserve"> </v>
      </c>
      <c r="J17" s="147">
        <f t="shared" si="3"/>
        <v>2250</v>
      </c>
      <c r="K17" s="150"/>
      <c r="L17" s="213"/>
      <c r="M17" s="147" t="s">
        <v>234</v>
      </c>
      <c r="N17" s="147" t="str">
        <f t="shared" si="5"/>
        <v xml:space="preserve"> </v>
      </c>
      <c r="O17" s="73"/>
      <c r="P17" s="73"/>
      <c r="Q17" s="73"/>
      <c r="R17" s="73" t="str">
        <f t="shared" si="7"/>
        <v xml:space="preserve"> </v>
      </c>
      <c r="S17" s="73" t="str">
        <f t="shared" si="8"/>
        <v xml:space="preserve"> </v>
      </c>
      <c r="T17" s="73" t="str">
        <f t="shared" si="9"/>
        <v xml:space="preserve"> </v>
      </c>
      <c r="U17" s="73"/>
    </row>
    <row r="18" spans="1:21" x14ac:dyDescent="0.35">
      <c r="A18" s="49" t="s">
        <v>72</v>
      </c>
      <c r="B18" s="46">
        <v>50</v>
      </c>
      <c r="C18" s="46">
        <v>250</v>
      </c>
      <c r="D18" s="46">
        <v>60</v>
      </c>
      <c r="E18" s="46">
        <v>1700</v>
      </c>
      <c r="F18" s="163">
        <f t="shared" si="0"/>
        <v>94.666666666666671</v>
      </c>
      <c r="G18" s="46">
        <f t="shared" si="6"/>
        <v>2500</v>
      </c>
      <c r="H18" s="163">
        <f t="shared" si="1"/>
        <v>16.666666666666664</v>
      </c>
      <c r="I18" s="46" t="str">
        <f t="shared" si="2"/>
        <v xml:space="preserve"> </v>
      </c>
      <c r="J18" s="147">
        <f t="shared" si="3"/>
        <v>2550</v>
      </c>
      <c r="K18" s="150"/>
      <c r="L18" s="213"/>
      <c r="M18" s="147" t="s">
        <v>234</v>
      </c>
      <c r="N18" s="147" t="str">
        <f t="shared" si="5"/>
        <v xml:space="preserve"> </v>
      </c>
      <c r="O18" s="73"/>
      <c r="P18" s="73"/>
      <c r="Q18" s="73"/>
      <c r="R18" s="73" t="str">
        <f t="shared" si="7"/>
        <v xml:space="preserve"> </v>
      </c>
      <c r="S18" s="73" t="str">
        <f t="shared" si="8"/>
        <v xml:space="preserve"> </v>
      </c>
      <c r="T18" s="73" t="str">
        <f t="shared" si="9"/>
        <v xml:space="preserve"> </v>
      </c>
      <c r="U18" s="73"/>
    </row>
    <row r="19" spans="1:21" x14ac:dyDescent="0.35">
      <c r="A19" s="49" t="s">
        <v>73</v>
      </c>
      <c r="B19" s="46">
        <v>30</v>
      </c>
      <c r="C19" s="46">
        <v>150</v>
      </c>
      <c r="D19" s="46">
        <v>60</v>
      </c>
      <c r="E19" s="46">
        <v>1300</v>
      </c>
      <c r="F19" s="163">
        <f t="shared" si="0"/>
        <v>64.444444444444443</v>
      </c>
      <c r="G19" s="46">
        <f t="shared" si="6"/>
        <v>4500</v>
      </c>
      <c r="H19" s="163">
        <f t="shared" si="1"/>
        <v>50</v>
      </c>
      <c r="I19" s="46" t="str">
        <f t="shared" si="2"/>
        <v xml:space="preserve"> </v>
      </c>
      <c r="J19" s="147">
        <f t="shared" si="3"/>
        <v>1950</v>
      </c>
      <c r="K19" s="150"/>
      <c r="L19" s="213"/>
      <c r="M19" s="147" t="s">
        <v>234</v>
      </c>
      <c r="N19" s="147" t="str">
        <f t="shared" si="5"/>
        <v xml:space="preserve"> </v>
      </c>
      <c r="O19" s="73"/>
      <c r="P19" s="73"/>
      <c r="Q19" s="73"/>
      <c r="R19" s="73" t="str">
        <f t="shared" si="7"/>
        <v xml:space="preserve"> </v>
      </c>
      <c r="S19" s="73" t="str">
        <f t="shared" si="8"/>
        <v xml:space="preserve"> </v>
      </c>
      <c r="T19" s="73" t="str">
        <f t="shared" si="9"/>
        <v xml:space="preserve"> </v>
      </c>
      <c r="U19" s="73"/>
    </row>
    <row r="20" spans="1:21" x14ac:dyDescent="0.35">
      <c r="A20" s="49" t="s">
        <v>74</v>
      </c>
      <c r="B20" s="46">
        <v>45</v>
      </c>
      <c r="C20" s="46">
        <v>150</v>
      </c>
      <c r="D20" s="46">
        <v>60</v>
      </c>
      <c r="E20" s="46">
        <v>1200</v>
      </c>
      <c r="F20" s="163">
        <f t="shared" si="0"/>
        <v>88.333333333333329</v>
      </c>
      <c r="G20" s="46">
        <f t="shared" si="6"/>
        <v>2250</v>
      </c>
      <c r="H20" s="163">
        <f t="shared" si="1"/>
        <v>25</v>
      </c>
      <c r="I20" s="46" t="str">
        <f t="shared" si="2"/>
        <v xml:space="preserve"> </v>
      </c>
      <c r="J20" s="147">
        <f t="shared" si="3"/>
        <v>1800</v>
      </c>
      <c r="K20" s="150"/>
      <c r="L20" s="213"/>
      <c r="M20" s="147" t="s">
        <v>234</v>
      </c>
      <c r="N20" s="147" t="str">
        <f t="shared" si="5"/>
        <v xml:space="preserve"> </v>
      </c>
      <c r="O20" s="73"/>
      <c r="P20" s="73"/>
      <c r="Q20" s="73"/>
      <c r="R20" s="73" t="str">
        <f t="shared" si="7"/>
        <v xml:space="preserve"> </v>
      </c>
      <c r="S20" s="73" t="str">
        <f t="shared" si="8"/>
        <v xml:space="preserve"> </v>
      </c>
      <c r="T20" s="73" t="str">
        <f t="shared" si="9"/>
        <v xml:space="preserve"> </v>
      </c>
      <c r="U20" s="73"/>
    </row>
    <row r="21" spans="1:21" x14ac:dyDescent="0.35">
      <c r="A21" s="49" t="s">
        <v>75</v>
      </c>
      <c r="B21" s="46">
        <v>30</v>
      </c>
      <c r="C21" s="46">
        <v>356</v>
      </c>
      <c r="D21" s="46">
        <v>120</v>
      </c>
      <c r="E21" s="46">
        <v>1000</v>
      </c>
      <c r="F21" s="163">
        <f t="shared" si="0"/>
        <v>27.340823970037455</v>
      </c>
      <c r="G21" s="46">
        <f t="shared" si="6"/>
        <v>32040</v>
      </c>
      <c r="H21" s="163">
        <f t="shared" si="1"/>
        <v>75</v>
      </c>
      <c r="I21" s="46" t="str">
        <f t="shared" si="2"/>
        <v>Maggi Omelette Noodles</v>
      </c>
      <c r="J21" s="147">
        <f t="shared" si="3"/>
        <v>1500</v>
      </c>
      <c r="K21" s="150">
        <v>463</v>
      </c>
      <c r="L21" s="213">
        <f t="shared" si="4"/>
        <v>27.699784017278617</v>
      </c>
      <c r="M21" s="147">
        <v>30</v>
      </c>
      <c r="N21" s="147">
        <f t="shared" si="5"/>
        <v>500</v>
      </c>
      <c r="O21" s="73">
        <v>175</v>
      </c>
      <c r="P21" s="73">
        <v>154</v>
      </c>
      <c r="Q21" s="73">
        <v>134</v>
      </c>
      <c r="R21" s="73">
        <f t="shared" si="7"/>
        <v>27.380952380952383</v>
      </c>
      <c r="S21" s="73">
        <f t="shared" si="8"/>
        <v>27.705627705627705</v>
      </c>
      <c r="T21" s="73">
        <f t="shared" si="9"/>
        <v>28.109452736318406</v>
      </c>
      <c r="U21" s="73"/>
    </row>
    <row r="22" spans="1:21" x14ac:dyDescent="0.35">
      <c r="A22" s="49" t="s">
        <v>77</v>
      </c>
      <c r="B22" s="46">
        <v>100</v>
      </c>
      <c r="C22" s="46">
        <v>300</v>
      </c>
      <c r="D22" s="46">
        <v>150</v>
      </c>
      <c r="E22" s="46">
        <v>3000</v>
      </c>
      <c r="F22" s="163">
        <f t="shared" si="0"/>
        <v>73.333333333333329</v>
      </c>
      <c r="G22" s="46">
        <f t="shared" si="6"/>
        <v>15000</v>
      </c>
      <c r="H22" s="163">
        <f t="shared" si="1"/>
        <v>33.333333333333329</v>
      </c>
      <c r="I22" s="46" t="str">
        <f t="shared" si="2"/>
        <v xml:space="preserve"> </v>
      </c>
      <c r="J22" s="147">
        <f t="shared" si="3"/>
        <v>4500</v>
      </c>
      <c r="K22" s="150"/>
      <c r="L22" s="213"/>
      <c r="M22" s="147" t="s">
        <v>234</v>
      </c>
      <c r="N22" s="147" t="str">
        <f t="shared" si="5"/>
        <v xml:space="preserve"> </v>
      </c>
      <c r="O22" s="73"/>
      <c r="P22" s="73"/>
      <c r="Q22" s="73"/>
      <c r="R22" s="73" t="str">
        <f t="shared" si="7"/>
        <v xml:space="preserve"> </v>
      </c>
      <c r="S22" s="73" t="str">
        <f t="shared" si="8"/>
        <v xml:space="preserve"> </v>
      </c>
      <c r="T22" s="73" t="str">
        <f t="shared" si="9"/>
        <v xml:space="preserve"> </v>
      </c>
      <c r="U22" s="73"/>
    </row>
    <row r="23" spans="1:21" x14ac:dyDescent="0.35">
      <c r="A23" s="49" t="s">
        <v>78</v>
      </c>
      <c r="B23" s="46">
        <v>90</v>
      </c>
      <c r="C23" s="46">
        <v>200</v>
      </c>
      <c r="D23" s="46">
        <v>150</v>
      </c>
      <c r="E23" s="46">
        <v>2000</v>
      </c>
      <c r="F23" s="163">
        <f t="shared" si="0"/>
        <v>66.666666666666657</v>
      </c>
      <c r="G23" s="46">
        <f t="shared" si="6"/>
        <v>12000</v>
      </c>
      <c r="H23" s="163">
        <f t="shared" si="1"/>
        <v>40</v>
      </c>
      <c r="I23" s="46" t="str">
        <f t="shared" si="2"/>
        <v xml:space="preserve"> </v>
      </c>
      <c r="J23" s="147">
        <f t="shared" si="3"/>
        <v>3000</v>
      </c>
      <c r="K23" s="150"/>
      <c r="L23" s="213"/>
      <c r="M23" s="147" t="s">
        <v>234</v>
      </c>
      <c r="N23" s="147" t="str">
        <f t="shared" si="5"/>
        <v xml:space="preserve"> </v>
      </c>
      <c r="O23" s="73"/>
      <c r="P23" s="73"/>
      <c r="Q23" s="73"/>
      <c r="R23" s="73" t="str">
        <f t="shared" si="7"/>
        <v xml:space="preserve"> </v>
      </c>
      <c r="S23" s="73" t="str">
        <f t="shared" si="8"/>
        <v xml:space="preserve"> </v>
      </c>
      <c r="T23" s="73" t="str">
        <f t="shared" si="9"/>
        <v xml:space="preserve"> </v>
      </c>
      <c r="U23" s="73"/>
    </row>
    <row r="24" spans="1:21" x14ac:dyDescent="0.35">
      <c r="A24" s="49" t="s">
        <v>79</v>
      </c>
      <c r="B24" s="46">
        <v>100</v>
      </c>
      <c r="C24" s="46">
        <v>471</v>
      </c>
      <c r="D24" s="46">
        <v>350</v>
      </c>
      <c r="E24" s="46">
        <v>1000</v>
      </c>
      <c r="F24" s="163">
        <f t="shared" si="0"/>
        <v>29.178040643008796</v>
      </c>
      <c r="G24" s="46">
        <f t="shared" si="6"/>
        <v>117750</v>
      </c>
      <c r="H24" s="163">
        <f t="shared" si="1"/>
        <v>71.428571428571431</v>
      </c>
      <c r="I24" s="46" t="str">
        <f t="shared" si="2"/>
        <v>Chicken Tikka</v>
      </c>
      <c r="J24" s="147">
        <f t="shared" si="3"/>
        <v>1500</v>
      </c>
      <c r="K24" s="150">
        <v>463</v>
      </c>
      <c r="L24" s="213">
        <f t="shared" si="4"/>
        <v>29.497068805924098</v>
      </c>
      <c r="M24" s="147">
        <v>100</v>
      </c>
      <c r="N24" s="147">
        <f t="shared" si="5"/>
        <v>500</v>
      </c>
      <c r="O24" s="73">
        <v>188</v>
      </c>
      <c r="P24" s="73">
        <v>176</v>
      </c>
      <c r="Q24" s="73">
        <v>99</v>
      </c>
      <c r="R24" s="73">
        <f t="shared" si="7"/>
        <v>29.331306990881462</v>
      </c>
      <c r="S24" s="73">
        <f t="shared" si="8"/>
        <v>29.383116883116884</v>
      </c>
      <c r="T24" s="73">
        <f t="shared" si="9"/>
        <v>30.014430014430015</v>
      </c>
      <c r="U24" s="73"/>
    </row>
    <row r="25" spans="1:21" x14ac:dyDescent="0.35">
      <c r="A25" s="50" t="s">
        <v>80</v>
      </c>
      <c r="B25" s="47">
        <v>50</v>
      </c>
      <c r="C25" s="47">
        <v>306</v>
      </c>
      <c r="D25" s="46">
        <v>70</v>
      </c>
      <c r="E25" s="46">
        <v>800</v>
      </c>
      <c r="F25" s="163">
        <f t="shared" si="0"/>
        <v>75.16339869281046</v>
      </c>
      <c r="G25" s="46">
        <f t="shared" si="6"/>
        <v>6120</v>
      </c>
      <c r="H25" s="163">
        <f t="shared" si="1"/>
        <v>28.571428571428569</v>
      </c>
      <c r="I25" s="46" t="str">
        <f t="shared" si="2"/>
        <v xml:space="preserve"> </v>
      </c>
      <c r="J25" s="147">
        <f t="shared" si="3"/>
        <v>1200</v>
      </c>
      <c r="K25" s="150"/>
      <c r="L25" s="213"/>
      <c r="M25" s="147" t="s">
        <v>234</v>
      </c>
      <c r="N25" s="147" t="str">
        <f t="shared" si="5"/>
        <v xml:space="preserve"> </v>
      </c>
      <c r="O25" s="73"/>
      <c r="P25" s="73"/>
      <c r="Q25" s="73"/>
      <c r="R25" s="73" t="str">
        <f t="shared" si="7"/>
        <v xml:space="preserve"> </v>
      </c>
      <c r="S25" s="73" t="str">
        <f t="shared" si="8"/>
        <v xml:space="preserve"> </v>
      </c>
      <c r="T25" s="73" t="str">
        <f t="shared" si="9"/>
        <v xml:space="preserve"> </v>
      </c>
      <c r="U25" s="73"/>
    </row>
    <row r="26" spans="1:21" x14ac:dyDescent="0.35">
      <c r="A26" s="50" t="s">
        <v>81</v>
      </c>
      <c r="B26" s="47">
        <v>50</v>
      </c>
      <c r="C26" s="47">
        <v>200</v>
      </c>
      <c r="D26" s="46">
        <v>90</v>
      </c>
      <c r="E26" s="46">
        <v>500</v>
      </c>
      <c r="F26" s="163">
        <f t="shared" si="0"/>
        <v>58.333333333333336</v>
      </c>
      <c r="G26" s="46">
        <f t="shared" si="6"/>
        <v>8000</v>
      </c>
      <c r="H26" s="163">
        <f t="shared" si="1"/>
        <v>44.444444444444443</v>
      </c>
      <c r="I26" s="46" t="str">
        <f t="shared" si="2"/>
        <v xml:space="preserve"> </v>
      </c>
      <c r="J26" s="147">
        <f t="shared" si="3"/>
        <v>750</v>
      </c>
      <c r="K26" s="150"/>
      <c r="L26" s="213"/>
      <c r="M26" s="147" t="s">
        <v>234</v>
      </c>
      <c r="N26" s="147" t="str">
        <f t="shared" si="5"/>
        <v xml:space="preserve"> </v>
      </c>
      <c r="O26" s="73"/>
      <c r="P26" s="73"/>
      <c r="Q26" s="73"/>
      <c r="R26" s="73" t="str">
        <f t="shared" si="7"/>
        <v xml:space="preserve"> </v>
      </c>
      <c r="S26" s="73" t="str">
        <f t="shared" si="8"/>
        <v xml:space="preserve"> </v>
      </c>
      <c r="T26" s="73" t="str">
        <f t="shared" si="9"/>
        <v xml:space="preserve"> </v>
      </c>
      <c r="U26" s="73"/>
    </row>
    <row r="27" spans="1:21" x14ac:dyDescent="0.35">
      <c r="A27" s="50" t="s">
        <v>82</v>
      </c>
      <c r="B27" s="47">
        <v>75</v>
      </c>
      <c r="C27" s="47">
        <v>1521</v>
      </c>
      <c r="D27" s="46">
        <v>270</v>
      </c>
      <c r="E27" s="46">
        <v>500</v>
      </c>
      <c r="F27" s="163">
        <f t="shared" si="0"/>
        <v>27.899530036282172</v>
      </c>
      <c r="G27" s="46">
        <f t="shared" si="6"/>
        <v>296595</v>
      </c>
      <c r="H27" s="163">
        <f t="shared" si="1"/>
        <v>72.222222222222214</v>
      </c>
      <c r="I27" s="46" t="str">
        <f t="shared" si="2"/>
        <v>Chicken Roll</v>
      </c>
      <c r="J27" s="147">
        <f t="shared" si="3"/>
        <v>750</v>
      </c>
      <c r="K27" s="150">
        <v>1203</v>
      </c>
      <c r="L27" s="213">
        <f t="shared" si="4"/>
        <v>28.008681998706937</v>
      </c>
      <c r="M27" s="147">
        <v>75</v>
      </c>
      <c r="N27" s="147">
        <f t="shared" si="5"/>
        <v>250</v>
      </c>
      <c r="O27" s="73">
        <v>692</v>
      </c>
      <c r="P27" s="73">
        <v>349</v>
      </c>
      <c r="Q27" s="73">
        <v>162</v>
      </c>
      <c r="R27" s="73">
        <f t="shared" si="7"/>
        <v>27.911582102333547</v>
      </c>
      <c r="S27" s="73">
        <f t="shared" si="8"/>
        <v>28.043086066008705</v>
      </c>
      <c r="T27" s="73">
        <f t="shared" si="9"/>
        <v>28.349336991312303</v>
      </c>
      <c r="U27" s="73"/>
    </row>
    <row r="28" spans="1:21" x14ac:dyDescent="0.35">
      <c r="A28" s="50" t="s">
        <v>83</v>
      </c>
      <c r="B28" s="47">
        <v>50</v>
      </c>
      <c r="C28" s="47">
        <v>914</v>
      </c>
      <c r="D28" s="46">
        <v>170</v>
      </c>
      <c r="E28" s="46">
        <v>600</v>
      </c>
      <c r="F28" s="163">
        <f t="shared" si="0"/>
        <v>29.797914789548201</v>
      </c>
      <c r="G28" s="46">
        <f t="shared" si="6"/>
        <v>109680</v>
      </c>
      <c r="H28" s="163">
        <f t="shared" si="1"/>
        <v>70.588235294117652</v>
      </c>
      <c r="I28" s="46" t="str">
        <f t="shared" si="2"/>
        <v>Egg Roll</v>
      </c>
      <c r="J28" s="147">
        <f t="shared" si="3"/>
        <v>900</v>
      </c>
      <c r="K28" s="150">
        <v>724</v>
      </c>
      <c r="L28" s="213">
        <f t="shared" si="4"/>
        <v>30.142996425089375</v>
      </c>
      <c r="M28" s="147">
        <v>50</v>
      </c>
      <c r="N28" s="147">
        <f t="shared" si="5"/>
        <v>300</v>
      </c>
      <c r="O28" s="73">
        <v>348</v>
      </c>
      <c r="P28" s="73">
        <v>225</v>
      </c>
      <c r="Q28" s="73">
        <v>151</v>
      </c>
      <c r="R28" s="73">
        <f t="shared" si="7"/>
        <v>29.918864097363084</v>
      </c>
      <c r="S28" s="73">
        <f t="shared" si="8"/>
        <v>30.196078431372548</v>
      </c>
      <c r="T28" s="73">
        <f t="shared" si="9"/>
        <v>30.580444098169068</v>
      </c>
      <c r="U28" s="73"/>
    </row>
    <row r="29" spans="1:21" x14ac:dyDescent="0.35">
      <c r="A29" s="50" t="s">
        <v>84</v>
      </c>
      <c r="B29" s="47">
        <v>40</v>
      </c>
      <c r="C29" s="47">
        <v>300</v>
      </c>
      <c r="D29" s="46">
        <v>50</v>
      </c>
      <c r="E29" s="46">
        <v>400</v>
      </c>
      <c r="F29" s="163">
        <f t="shared" si="0"/>
        <v>82.666666666666671</v>
      </c>
      <c r="G29" s="46">
        <f t="shared" si="6"/>
        <v>3000</v>
      </c>
      <c r="H29" s="163">
        <f t="shared" si="1"/>
        <v>20</v>
      </c>
      <c r="I29" s="46" t="str">
        <f t="shared" si="2"/>
        <v xml:space="preserve"> </v>
      </c>
      <c r="J29" s="147">
        <f t="shared" si="3"/>
        <v>600</v>
      </c>
      <c r="K29" s="150"/>
      <c r="L29" s="213"/>
      <c r="M29" s="147" t="s">
        <v>234</v>
      </c>
      <c r="N29" s="147" t="str">
        <f t="shared" si="5"/>
        <v xml:space="preserve"> </v>
      </c>
      <c r="O29" s="73"/>
      <c r="P29" s="73"/>
      <c r="Q29" s="73"/>
      <c r="R29" s="73" t="str">
        <f t="shared" si="7"/>
        <v xml:space="preserve"> </v>
      </c>
      <c r="S29" s="73" t="str">
        <f t="shared" si="8"/>
        <v xml:space="preserve"> </v>
      </c>
      <c r="T29" s="73" t="str">
        <f t="shared" si="9"/>
        <v xml:space="preserve"> </v>
      </c>
      <c r="U29" s="73"/>
    </row>
    <row r="30" spans="1:21" x14ac:dyDescent="0.35">
      <c r="A30" s="50" t="s">
        <v>104</v>
      </c>
      <c r="B30" s="47">
        <v>80</v>
      </c>
      <c r="C30" s="47">
        <v>958</v>
      </c>
      <c r="D30" s="46">
        <v>300</v>
      </c>
      <c r="E30" s="46">
        <v>400</v>
      </c>
      <c r="F30" s="163">
        <f t="shared" si="0"/>
        <v>26.805845511482257</v>
      </c>
      <c r="G30" s="46">
        <f t="shared" si="6"/>
        <v>210760</v>
      </c>
      <c r="H30" s="163">
        <f t="shared" si="1"/>
        <v>73.333333333333329</v>
      </c>
      <c r="I30" s="46" t="str">
        <f t="shared" si="2"/>
        <v>Tawa chicken roll</v>
      </c>
      <c r="J30" s="147">
        <f t="shared" si="3"/>
        <v>600</v>
      </c>
      <c r="K30" s="150">
        <v>581</v>
      </c>
      <c r="L30" s="213">
        <f t="shared" si="4"/>
        <v>27.010900745840505</v>
      </c>
      <c r="M30" s="147">
        <v>80</v>
      </c>
      <c r="N30" s="147">
        <f t="shared" si="5"/>
        <v>200</v>
      </c>
      <c r="O30" s="73">
        <v>286</v>
      </c>
      <c r="P30" s="73">
        <v>191</v>
      </c>
      <c r="Q30" s="73">
        <v>104</v>
      </c>
      <c r="R30" s="73">
        <f t="shared" si="7"/>
        <v>26.899766899766895</v>
      </c>
      <c r="S30" s="73">
        <f t="shared" si="8"/>
        <v>27.015706806282726</v>
      </c>
      <c r="T30" s="73">
        <f t="shared" si="9"/>
        <v>27.307692307692307</v>
      </c>
      <c r="U30" s="73"/>
    </row>
    <row r="31" spans="1:21" x14ac:dyDescent="0.35">
      <c r="A31" s="50" t="s">
        <v>85</v>
      </c>
      <c r="B31" s="47">
        <v>80</v>
      </c>
      <c r="C31" s="47">
        <v>860</v>
      </c>
      <c r="D31" s="46">
        <v>270</v>
      </c>
      <c r="E31" s="46">
        <v>600</v>
      </c>
      <c r="F31" s="163">
        <f t="shared" si="0"/>
        <v>29.888027562446169</v>
      </c>
      <c r="G31" s="46">
        <f t="shared" si="6"/>
        <v>163400</v>
      </c>
      <c r="H31" s="163">
        <f t="shared" si="1"/>
        <v>70.370370370370367</v>
      </c>
      <c r="I31" s="46" t="str">
        <f t="shared" si="2"/>
        <v>Chicken Grill Sandwich</v>
      </c>
      <c r="J31" s="147">
        <f t="shared" si="3"/>
        <v>900</v>
      </c>
      <c r="K31" s="150">
        <v>611</v>
      </c>
      <c r="L31" s="213">
        <f t="shared" si="4"/>
        <v>30.17518336667273</v>
      </c>
      <c r="M31" s="147">
        <v>80</v>
      </c>
      <c r="N31" s="147">
        <f t="shared" si="5"/>
        <v>300</v>
      </c>
      <c r="O31" s="73">
        <v>290</v>
      </c>
      <c r="P31" s="73">
        <v>206</v>
      </c>
      <c r="Q31" s="73">
        <v>115</v>
      </c>
      <c r="R31" s="73">
        <f t="shared" si="7"/>
        <v>30.012771392081738</v>
      </c>
      <c r="S31" s="73">
        <f t="shared" si="8"/>
        <v>30.169003955411721</v>
      </c>
      <c r="T31" s="73">
        <f t="shared" si="9"/>
        <v>30.595813204508858</v>
      </c>
      <c r="U31" s="73"/>
    </row>
    <row r="32" spans="1:21" x14ac:dyDescent="0.35">
      <c r="A32" s="50" t="s">
        <v>86</v>
      </c>
      <c r="B32" s="47">
        <v>150</v>
      </c>
      <c r="C32" s="47">
        <v>813</v>
      </c>
      <c r="D32" s="46">
        <v>550</v>
      </c>
      <c r="E32" s="46">
        <v>1000</v>
      </c>
      <c r="F32" s="163">
        <f t="shared" si="0"/>
        <v>27.496365872749635</v>
      </c>
      <c r="G32" s="46">
        <f t="shared" si="6"/>
        <v>325200</v>
      </c>
      <c r="H32" s="163">
        <f t="shared" si="1"/>
        <v>72.727272727272734</v>
      </c>
      <c r="I32" s="46" t="str">
        <f t="shared" si="2"/>
        <v>Barbequed Chicken Pizza</v>
      </c>
      <c r="J32" s="147">
        <f t="shared" si="3"/>
        <v>1500</v>
      </c>
      <c r="K32" s="150">
        <v>671</v>
      </c>
      <c r="L32" s="213">
        <f t="shared" si="4"/>
        <v>27.679176263378945</v>
      </c>
      <c r="M32" s="147">
        <v>150</v>
      </c>
      <c r="N32" s="147">
        <f t="shared" si="5"/>
        <v>500</v>
      </c>
      <c r="O32" s="73">
        <v>303</v>
      </c>
      <c r="P32" s="73">
        <v>211</v>
      </c>
      <c r="Q32" s="73">
        <v>157</v>
      </c>
      <c r="R32" s="73">
        <f t="shared" si="7"/>
        <v>27.572757275727572</v>
      </c>
      <c r="S32" s="73">
        <f t="shared" si="8"/>
        <v>27.703576044808269</v>
      </c>
      <c r="T32" s="73">
        <f t="shared" si="9"/>
        <v>27.851766068326576</v>
      </c>
      <c r="U32" s="73"/>
    </row>
    <row r="33" spans="1:21" x14ac:dyDescent="0.35">
      <c r="A33" s="50" t="s">
        <v>87</v>
      </c>
      <c r="B33" s="47">
        <v>160</v>
      </c>
      <c r="C33" s="47">
        <v>747</v>
      </c>
      <c r="D33" s="46">
        <v>580</v>
      </c>
      <c r="E33" s="46">
        <v>1000</v>
      </c>
      <c r="F33" s="163">
        <f t="shared" si="0"/>
        <v>27.817015187185522</v>
      </c>
      <c r="G33" s="46">
        <f t="shared" si="6"/>
        <v>313740</v>
      </c>
      <c r="H33" s="163">
        <f t="shared" si="1"/>
        <v>72.41379310344827</v>
      </c>
      <c r="I33" s="46" t="str">
        <f t="shared" si="2"/>
        <v>Hyderabadi Mutton Biryani</v>
      </c>
      <c r="J33" s="147">
        <f t="shared" si="3"/>
        <v>1500</v>
      </c>
      <c r="K33" s="150">
        <v>477</v>
      </c>
      <c r="L33" s="213">
        <f t="shared" si="4"/>
        <v>28.128388635870742</v>
      </c>
      <c r="M33" s="147">
        <v>160</v>
      </c>
      <c r="N33" s="147">
        <f t="shared" si="5"/>
        <v>500</v>
      </c>
      <c r="O33" s="73">
        <v>234</v>
      </c>
      <c r="P33" s="73">
        <v>161</v>
      </c>
      <c r="Q33" s="73">
        <v>82</v>
      </c>
      <c r="R33" s="73">
        <f t="shared" si="7"/>
        <v>27.954612437371058</v>
      </c>
      <c r="S33" s="73">
        <f t="shared" si="8"/>
        <v>28.121653458984792</v>
      </c>
      <c r="T33" s="73">
        <f t="shared" si="9"/>
        <v>28.637510513036162</v>
      </c>
      <c r="U33" s="73"/>
    </row>
    <row r="34" spans="1:21" x14ac:dyDescent="0.35">
      <c r="A34" s="50" t="s">
        <v>88</v>
      </c>
      <c r="B34" s="47">
        <v>50</v>
      </c>
      <c r="C34" s="47">
        <v>244</v>
      </c>
      <c r="D34" s="46">
        <v>90</v>
      </c>
      <c r="E34" s="46">
        <v>2000</v>
      </c>
      <c r="F34" s="163">
        <f t="shared" si="0"/>
        <v>64.663023679417122</v>
      </c>
      <c r="G34" s="46">
        <f t="shared" si="6"/>
        <v>9760</v>
      </c>
      <c r="H34" s="163">
        <f t="shared" si="1"/>
        <v>44.444444444444443</v>
      </c>
      <c r="I34" s="46" t="str">
        <f t="shared" si="2"/>
        <v xml:space="preserve"> </v>
      </c>
      <c r="J34" s="147">
        <f t="shared" si="3"/>
        <v>3000</v>
      </c>
      <c r="K34" s="150"/>
      <c r="L34" s="213"/>
      <c r="M34" s="147" t="s">
        <v>234</v>
      </c>
      <c r="N34" s="147" t="str">
        <f t="shared" si="5"/>
        <v xml:space="preserve"> </v>
      </c>
      <c r="O34" s="73"/>
      <c r="P34" s="73"/>
      <c r="Q34" s="73"/>
      <c r="R34" s="73" t="str">
        <f t="shared" si="7"/>
        <v xml:space="preserve"> </v>
      </c>
      <c r="S34" s="73" t="str">
        <f t="shared" si="8"/>
        <v xml:space="preserve"> </v>
      </c>
      <c r="T34" s="73" t="str">
        <f t="shared" si="9"/>
        <v xml:space="preserve"> </v>
      </c>
      <c r="U34" s="73"/>
    </row>
    <row r="35" spans="1:21" x14ac:dyDescent="0.35">
      <c r="A35" s="50" t="s">
        <v>105</v>
      </c>
      <c r="B35" s="47">
        <v>100</v>
      </c>
      <c r="C35" s="47">
        <v>300</v>
      </c>
      <c r="D35" s="46">
        <v>200</v>
      </c>
      <c r="E35" s="46">
        <v>2000</v>
      </c>
      <c r="F35" s="163">
        <f t="shared" si="0"/>
        <v>53.333333333333336</v>
      </c>
      <c r="G35" s="46">
        <f t="shared" si="6"/>
        <v>30000</v>
      </c>
      <c r="H35" s="163">
        <f t="shared" si="1"/>
        <v>50</v>
      </c>
      <c r="I35" s="46" t="str">
        <f t="shared" si="2"/>
        <v xml:space="preserve"> </v>
      </c>
      <c r="J35" s="147">
        <f t="shared" si="3"/>
        <v>3000</v>
      </c>
      <c r="K35" s="150"/>
      <c r="L35" s="213"/>
      <c r="M35" s="147" t="s">
        <v>234</v>
      </c>
      <c r="N35" s="147" t="str">
        <f t="shared" si="5"/>
        <v xml:space="preserve"> </v>
      </c>
      <c r="O35" s="73"/>
      <c r="P35" s="73"/>
      <c r="Q35" s="73"/>
      <c r="R35" s="73" t="str">
        <f t="shared" si="7"/>
        <v xml:space="preserve"> </v>
      </c>
      <c r="S35" s="73" t="str">
        <f t="shared" si="8"/>
        <v xml:space="preserve"> </v>
      </c>
      <c r="T35" s="73" t="str">
        <f t="shared" si="9"/>
        <v xml:space="preserve"> </v>
      </c>
      <c r="U35" s="73"/>
    </row>
    <row r="36" spans="1:21" x14ac:dyDescent="0.35">
      <c r="A36" s="50" t="s">
        <v>89</v>
      </c>
      <c r="B36" s="47">
        <v>120</v>
      </c>
      <c r="C36" s="47">
        <v>500</v>
      </c>
      <c r="D36" s="46">
        <v>220</v>
      </c>
      <c r="E36" s="46">
        <v>4000</v>
      </c>
      <c r="F36" s="163">
        <f t="shared" si="0"/>
        <v>58.18181818181818</v>
      </c>
      <c r="G36" s="46">
        <f t="shared" si="6"/>
        <v>50000</v>
      </c>
      <c r="H36" s="163">
        <f t="shared" si="1"/>
        <v>45.454545454545453</v>
      </c>
      <c r="I36" s="46" t="str">
        <f t="shared" si="2"/>
        <v xml:space="preserve"> </v>
      </c>
      <c r="J36" s="147">
        <f t="shared" si="3"/>
        <v>6000</v>
      </c>
      <c r="K36" s="150"/>
      <c r="L36" s="213"/>
      <c r="M36" s="147" t="s">
        <v>234</v>
      </c>
      <c r="N36" s="147" t="str">
        <f t="shared" si="5"/>
        <v xml:space="preserve"> </v>
      </c>
      <c r="O36" s="73"/>
      <c r="P36" s="73"/>
      <c r="Q36" s="73"/>
      <c r="R36" s="73" t="str">
        <f t="shared" si="7"/>
        <v xml:space="preserve"> </v>
      </c>
      <c r="S36" s="73" t="str">
        <f t="shared" si="8"/>
        <v xml:space="preserve"> </v>
      </c>
      <c r="T36" s="73" t="str">
        <f t="shared" si="9"/>
        <v xml:space="preserve"> </v>
      </c>
      <c r="U36" s="73"/>
    </row>
    <row r="37" spans="1:21" x14ac:dyDescent="0.35">
      <c r="A37" s="50" t="s">
        <v>90</v>
      </c>
      <c r="B37" s="47">
        <v>80</v>
      </c>
      <c r="C37" s="47">
        <v>595</v>
      </c>
      <c r="D37" s="46">
        <v>280</v>
      </c>
      <c r="E37" s="46">
        <v>2000</v>
      </c>
      <c r="F37" s="163">
        <f t="shared" si="0"/>
        <v>29.771908763505401</v>
      </c>
      <c r="G37" s="46">
        <f t="shared" si="6"/>
        <v>119000</v>
      </c>
      <c r="H37" s="163">
        <f t="shared" si="1"/>
        <v>71.428571428571431</v>
      </c>
      <c r="I37" s="46" t="str">
        <f t="shared" si="2"/>
        <v>Chicken 65 Dry</v>
      </c>
      <c r="J37" s="147">
        <f t="shared" si="3"/>
        <v>3000</v>
      </c>
      <c r="K37" s="150">
        <v>603</v>
      </c>
      <c r="L37" s="213">
        <f t="shared" si="4"/>
        <v>30.348258706467661</v>
      </c>
      <c r="M37" s="147">
        <v>80</v>
      </c>
      <c r="N37" s="147">
        <f t="shared" si="5"/>
        <v>1000</v>
      </c>
      <c r="O37" s="73">
        <v>298</v>
      </c>
      <c r="P37" s="73">
        <v>186</v>
      </c>
      <c r="Q37" s="73">
        <v>119</v>
      </c>
      <c r="R37" s="73">
        <f t="shared" si="7"/>
        <v>29.769894534995206</v>
      </c>
      <c r="S37" s="73">
        <f t="shared" si="8"/>
        <v>30.491551459293394</v>
      </c>
      <c r="T37" s="73">
        <f t="shared" si="9"/>
        <v>31.572629051620648</v>
      </c>
      <c r="U37" s="73"/>
    </row>
    <row r="38" spans="1:21" x14ac:dyDescent="0.35">
      <c r="A38" s="50" t="s">
        <v>91</v>
      </c>
      <c r="B38" s="47">
        <v>60</v>
      </c>
      <c r="C38" s="47">
        <v>478</v>
      </c>
      <c r="D38" s="46">
        <v>270</v>
      </c>
      <c r="E38" s="46">
        <v>1000</v>
      </c>
      <c r="F38" s="163">
        <f t="shared" si="0"/>
        <v>22.997055633038897</v>
      </c>
      <c r="G38" s="46">
        <f t="shared" si="6"/>
        <v>100380</v>
      </c>
      <c r="H38" s="163">
        <f t="shared" si="1"/>
        <v>77.777777777777786</v>
      </c>
      <c r="I38" s="46" t="str">
        <f t="shared" si="2"/>
        <v>Egg Manchurian</v>
      </c>
      <c r="J38" s="147">
        <f t="shared" si="3"/>
        <v>1500</v>
      </c>
      <c r="K38" s="150">
        <v>417</v>
      </c>
      <c r="L38" s="213">
        <f t="shared" si="4"/>
        <v>23.554489741540102</v>
      </c>
      <c r="M38" s="147">
        <v>60</v>
      </c>
      <c r="N38" s="147">
        <f t="shared" si="5"/>
        <v>500</v>
      </c>
      <c r="O38" s="73">
        <v>162</v>
      </c>
      <c r="P38" s="73">
        <v>147</v>
      </c>
      <c r="Q38" s="73">
        <v>108</v>
      </c>
      <c r="R38" s="73">
        <f t="shared" si="7"/>
        <v>23.365340649291266</v>
      </c>
      <c r="S38" s="73">
        <f t="shared" si="8"/>
        <v>23.481985386747294</v>
      </c>
      <c r="T38" s="73">
        <f t="shared" si="9"/>
        <v>23.93689986282579</v>
      </c>
      <c r="U38" s="73"/>
    </row>
    <row r="39" spans="1:21" x14ac:dyDescent="0.35">
      <c r="A39" s="50" t="s">
        <v>92</v>
      </c>
      <c r="B39" s="47">
        <v>40</v>
      </c>
      <c r="C39" s="47">
        <v>200</v>
      </c>
      <c r="D39" s="46">
        <v>110</v>
      </c>
      <c r="E39" s="46">
        <v>3000</v>
      </c>
      <c r="F39" s="163">
        <f t="shared" si="0"/>
        <v>50</v>
      </c>
      <c r="G39" s="46">
        <f t="shared" si="6"/>
        <v>14000</v>
      </c>
      <c r="H39" s="163">
        <f t="shared" si="1"/>
        <v>63.636363636363633</v>
      </c>
      <c r="I39" s="46" t="str">
        <f t="shared" si="2"/>
        <v xml:space="preserve"> </v>
      </c>
      <c r="J39" s="147">
        <f t="shared" si="3"/>
        <v>4500</v>
      </c>
      <c r="K39" s="150"/>
      <c r="L39" s="213"/>
      <c r="M39" s="147" t="s">
        <v>234</v>
      </c>
      <c r="N39" s="147" t="str">
        <f t="shared" si="5"/>
        <v xml:space="preserve"> </v>
      </c>
      <c r="O39" s="73"/>
      <c r="P39" s="73"/>
      <c r="Q39" s="73"/>
      <c r="R39" s="73" t="str">
        <f t="shared" si="7"/>
        <v xml:space="preserve"> </v>
      </c>
      <c r="S39" s="73" t="str">
        <f t="shared" si="8"/>
        <v xml:space="preserve"> </v>
      </c>
      <c r="T39" s="73" t="str">
        <f t="shared" si="9"/>
        <v xml:space="preserve"> </v>
      </c>
      <c r="U39" s="73"/>
    </row>
    <row r="40" spans="1:21" x14ac:dyDescent="0.35">
      <c r="A40" s="50" t="s">
        <v>93</v>
      </c>
      <c r="B40" s="47">
        <v>20</v>
      </c>
      <c r="C40" s="47">
        <v>2268</v>
      </c>
      <c r="D40" s="46">
        <v>40</v>
      </c>
      <c r="E40" s="46">
        <v>1000</v>
      </c>
      <c r="F40" s="163">
        <f t="shared" si="0"/>
        <v>51.102292768959437</v>
      </c>
      <c r="G40" s="46">
        <f t="shared" si="6"/>
        <v>45360</v>
      </c>
      <c r="H40" s="163">
        <f t="shared" si="1"/>
        <v>50</v>
      </c>
      <c r="I40" s="46" t="str">
        <f t="shared" si="2"/>
        <v xml:space="preserve"> </v>
      </c>
      <c r="J40" s="147">
        <f t="shared" si="3"/>
        <v>1500</v>
      </c>
      <c r="K40" s="150"/>
      <c r="L40" s="213"/>
      <c r="M40" s="147" t="s">
        <v>234</v>
      </c>
      <c r="N40" s="147" t="str">
        <f t="shared" si="5"/>
        <v xml:space="preserve"> </v>
      </c>
      <c r="O40" s="73"/>
      <c r="P40" s="73"/>
      <c r="Q40" s="73"/>
      <c r="R40" s="73" t="str">
        <f t="shared" si="7"/>
        <v xml:space="preserve"> </v>
      </c>
      <c r="S40" s="73" t="str">
        <f t="shared" si="8"/>
        <v xml:space="preserve"> </v>
      </c>
      <c r="T40" s="73" t="str">
        <f t="shared" si="9"/>
        <v xml:space="preserve"> </v>
      </c>
      <c r="U40" s="73"/>
    </row>
    <row r="41" spans="1:21" x14ac:dyDescent="0.35">
      <c r="A41" s="50" t="s">
        <v>94</v>
      </c>
      <c r="B41" s="47">
        <v>30</v>
      </c>
      <c r="C41" s="47">
        <v>1740</v>
      </c>
      <c r="D41" s="46">
        <v>60</v>
      </c>
      <c r="E41" s="46">
        <v>1000</v>
      </c>
      <c r="F41" s="163">
        <f t="shared" si="0"/>
        <v>50.957854406130267</v>
      </c>
      <c r="G41" s="46">
        <f t="shared" si="6"/>
        <v>52200</v>
      </c>
      <c r="H41" s="163">
        <f t="shared" si="1"/>
        <v>50</v>
      </c>
      <c r="I41" s="46" t="str">
        <f t="shared" si="2"/>
        <v xml:space="preserve"> </v>
      </c>
      <c r="J41" s="147">
        <f t="shared" si="3"/>
        <v>1500</v>
      </c>
      <c r="K41" s="150"/>
      <c r="L41" s="213"/>
      <c r="M41" s="147" t="s">
        <v>234</v>
      </c>
      <c r="N41" s="147" t="str">
        <f t="shared" si="5"/>
        <v xml:space="preserve"> </v>
      </c>
      <c r="O41" s="73"/>
      <c r="P41" s="73"/>
      <c r="Q41" s="73"/>
      <c r="R41" s="73" t="str">
        <f t="shared" si="7"/>
        <v xml:space="preserve"> </v>
      </c>
      <c r="S41" s="73" t="str">
        <f t="shared" si="8"/>
        <v xml:space="preserve"> </v>
      </c>
      <c r="T41" s="73" t="str">
        <f t="shared" si="9"/>
        <v xml:space="preserve"> </v>
      </c>
      <c r="U41" s="73"/>
    </row>
    <row r="42" spans="1:21" ht="16" customHeight="1" x14ac:dyDescent="0.35">
      <c r="A42" s="50" t="s">
        <v>95</v>
      </c>
      <c r="B42" s="47">
        <v>33</v>
      </c>
      <c r="C42" s="47">
        <v>2644</v>
      </c>
      <c r="D42" s="46">
        <v>70</v>
      </c>
      <c r="E42" s="46">
        <v>600</v>
      </c>
      <c r="F42" s="163">
        <f t="shared" si="0"/>
        <v>47.467041279446725</v>
      </c>
      <c r="G42" s="46">
        <f t="shared" si="6"/>
        <v>97828</v>
      </c>
      <c r="H42" s="163">
        <f t="shared" si="1"/>
        <v>52.857142857142861</v>
      </c>
      <c r="I42" s="46" t="str">
        <f t="shared" si="2"/>
        <v xml:space="preserve"> </v>
      </c>
      <c r="J42" s="147">
        <f t="shared" si="3"/>
        <v>900</v>
      </c>
      <c r="K42" s="150"/>
      <c r="L42" s="213"/>
      <c r="M42" s="147" t="s">
        <v>234</v>
      </c>
      <c r="N42" s="147" t="str">
        <f t="shared" si="5"/>
        <v xml:space="preserve"> </v>
      </c>
      <c r="O42" s="73"/>
      <c r="P42" s="73"/>
      <c r="Q42" s="73"/>
      <c r="R42" s="73" t="str">
        <f t="shared" si="7"/>
        <v xml:space="preserve"> </v>
      </c>
      <c r="S42" s="73" t="str">
        <f t="shared" si="8"/>
        <v xml:space="preserve"> </v>
      </c>
      <c r="T42" s="73" t="str">
        <f t="shared" si="9"/>
        <v xml:space="preserve"> </v>
      </c>
      <c r="U42" s="73"/>
    </row>
    <row r="43" spans="1:21" ht="16" customHeight="1" x14ac:dyDescent="0.35">
      <c r="A43" s="50" t="s">
        <v>96</v>
      </c>
      <c r="B43" s="47">
        <v>10</v>
      </c>
      <c r="C43" s="47">
        <v>1109</v>
      </c>
      <c r="D43" s="46">
        <v>25</v>
      </c>
      <c r="E43" s="46">
        <v>600</v>
      </c>
      <c r="F43" s="163">
        <f t="shared" si="0"/>
        <v>42.164111812443643</v>
      </c>
      <c r="G43" s="46">
        <f t="shared" si="6"/>
        <v>16635</v>
      </c>
      <c r="H43" s="163">
        <f t="shared" si="1"/>
        <v>60</v>
      </c>
      <c r="I43" s="46" t="str">
        <f t="shared" si="2"/>
        <v xml:space="preserve"> </v>
      </c>
      <c r="J43" s="147">
        <f t="shared" si="3"/>
        <v>900</v>
      </c>
      <c r="K43" s="150"/>
      <c r="L43" s="213"/>
      <c r="M43" s="147" t="s">
        <v>234</v>
      </c>
      <c r="N43" s="147" t="str">
        <f t="shared" si="5"/>
        <v xml:space="preserve"> </v>
      </c>
      <c r="O43" s="73"/>
      <c r="P43" s="73"/>
      <c r="Q43" s="73"/>
      <c r="R43" s="73" t="str">
        <f t="shared" si="7"/>
        <v xml:space="preserve"> </v>
      </c>
      <c r="S43" s="73" t="str">
        <f t="shared" si="8"/>
        <v xml:space="preserve"> </v>
      </c>
      <c r="T43" s="73" t="str">
        <f t="shared" si="9"/>
        <v xml:space="preserve"> </v>
      </c>
      <c r="U43" s="73"/>
    </row>
    <row r="44" spans="1:21" ht="16" customHeight="1" x14ac:dyDescent="0.35">
      <c r="A44" s="50"/>
      <c r="B44" s="47"/>
      <c r="C44" s="47"/>
      <c r="D44" s="135"/>
      <c r="E44" s="135"/>
      <c r="F44" s="165"/>
      <c r="G44" s="135">
        <f>AVERAGE(G4:G43)</f>
        <v>75989.2</v>
      </c>
      <c r="H44" s="165"/>
      <c r="I44" s="79"/>
      <c r="L44" s="80">
        <f>AVERAGE(L38,L37,L33,L32,L31,L30,L28,L27,L24,L21,L9,L8,L7,L5)</f>
        <v>28.196724271510725</v>
      </c>
      <c r="M44" s="147"/>
      <c r="N44" s="147"/>
      <c r="O44" s="73"/>
      <c r="P44" s="73"/>
      <c r="Q44" s="73"/>
      <c r="R44" s="73">
        <f>SUM(R4:R38)/100</f>
        <v>3.9169000325082921</v>
      </c>
      <c r="S44" s="73">
        <f t="shared" ref="S44:T44" si="10">SUM(S4:S38)/100</f>
        <v>3.9535303711076057</v>
      </c>
      <c r="T44" s="73">
        <f t="shared" si="10"/>
        <v>4.0110473358185814</v>
      </c>
      <c r="U44" s="73"/>
    </row>
    <row r="45" spans="1:21" ht="15.5" x14ac:dyDescent="0.35">
      <c r="A45" s="246" t="s">
        <v>51</v>
      </c>
      <c r="B45" s="246"/>
      <c r="C45" s="246"/>
      <c r="D45" s="252" t="s">
        <v>34</v>
      </c>
      <c r="E45" s="42"/>
      <c r="F45" s="166"/>
      <c r="G45" s="138" t="s">
        <v>212</v>
      </c>
      <c r="H45" s="171"/>
      <c r="I45" s="79"/>
      <c r="M45" s="147"/>
      <c r="N45" s="147"/>
      <c r="O45" s="73"/>
      <c r="P45" s="73"/>
      <c r="Q45" s="73"/>
      <c r="R45" s="73">
        <f>(R44*468700)</f>
        <v>1835851.0452366364</v>
      </c>
      <c r="S45" s="73">
        <f>S44*294548</f>
        <v>1164504.4637490031</v>
      </c>
      <c r="T45" s="73">
        <f>T44*181210</f>
        <v>726841.88772368513</v>
      </c>
      <c r="U45" s="73"/>
    </row>
    <row r="46" spans="1:21" ht="15.5" x14ac:dyDescent="0.35">
      <c r="A46" s="239" t="s">
        <v>101</v>
      </c>
      <c r="B46" s="239"/>
      <c r="C46" s="239"/>
      <c r="D46" s="252"/>
      <c r="E46" s="42"/>
      <c r="F46" s="166">
        <f>AVERAGE(F4:F43)</f>
        <v>53.339310336402377</v>
      </c>
      <c r="G46" s="138"/>
      <c r="H46" s="163">
        <f>AVERAGE(H4:H43)</f>
        <v>51.557168809704308</v>
      </c>
      <c r="I46" s="79"/>
      <c r="M46" s="147"/>
      <c r="N46" s="147"/>
      <c r="O46" s="73"/>
      <c r="P46" s="73"/>
      <c r="Q46" s="73"/>
      <c r="R46" s="73"/>
      <c r="S46" s="73"/>
      <c r="T46" s="73"/>
      <c r="U46" s="73"/>
    </row>
    <row r="47" spans="1:21" ht="46.5" customHeight="1" x14ac:dyDescent="0.35">
      <c r="A47" s="51"/>
      <c r="B47" s="42"/>
      <c r="C47" s="42"/>
      <c r="D47" s="166"/>
      <c r="E47" s="166">
        <f>100-F47</f>
        <v>46.660689663597601</v>
      </c>
      <c r="F47" s="167">
        <v>53.339310336402399</v>
      </c>
      <c r="G47" s="134" t="s">
        <v>203</v>
      </c>
      <c r="H47" s="172">
        <v>51.557168809704308</v>
      </c>
      <c r="I47" s="84" t="s">
        <v>202</v>
      </c>
      <c r="M47" s="147"/>
      <c r="N47" s="147"/>
      <c r="O47" s="73"/>
      <c r="P47" s="73"/>
      <c r="Q47" s="73"/>
      <c r="R47" s="73">
        <f>SUM(R4:R38)</f>
        <v>391.69000325082919</v>
      </c>
      <c r="S47" s="73">
        <f t="shared" ref="S47:T47" si="11">SUM(S4:S38)</f>
        <v>395.35303711076057</v>
      </c>
      <c r="T47" s="73">
        <f t="shared" si="11"/>
        <v>401.10473358185811</v>
      </c>
      <c r="U47" s="73"/>
    </row>
    <row r="48" spans="1:21" ht="66.5" customHeight="1" x14ac:dyDescent="0.35">
      <c r="A48" s="246">
        <f>(B4*C4)+E4</f>
        <v>12000</v>
      </c>
      <c r="B48" s="246"/>
      <c r="C48" s="253" t="s">
        <v>34</v>
      </c>
      <c r="D48" s="254">
        <f>A48/A49*100</f>
        <v>80</v>
      </c>
      <c r="E48" s="255" t="s">
        <v>99</v>
      </c>
      <c r="F48" s="166"/>
      <c r="G48" s="42"/>
      <c r="H48" s="166"/>
      <c r="I48" s="79"/>
      <c r="M48" s="147">
        <v>468700</v>
      </c>
      <c r="N48" s="147">
        <v>294548</v>
      </c>
      <c r="O48" s="73">
        <v>181210</v>
      </c>
      <c r="P48" s="73"/>
      <c r="Q48" s="75" t="s">
        <v>256</v>
      </c>
      <c r="R48" s="73">
        <f>R47/14</f>
        <v>27.977857375059227</v>
      </c>
      <c r="S48" s="73">
        <f t="shared" ref="S48:T48" si="12">S47/14</f>
        <v>28.23950265076861</v>
      </c>
      <c r="T48" s="73">
        <f t="shared" si="12"/>
        <v>28.650338112989864</v>
      </c>
      <c r="U48" s="73"/>
    </row>
    <row r="49" spans="1:21" ht="60.5" customHeight="1" x14ac:dyDescent="0.35">
      <c r="A49" s="239">
        <f>(D4*C4)</f>
        <v>15000</v>
      </c>
      <c r="B49" s="239"/>
      <c r="C49" s="253"/>
      <c r="D49" s="254"/>
      <c r="E49" s="255"/>
      <c r="F49" s="168" t="s">
        <v>143</v>
      </c>
      <c r="G49" s="175">
        <f>(30*2)-F47</f>
        <v>6.6606896635976014</v>
      </c>
      <c r="H49" s="173" t="s">
        <v>210</v>
      </c>
      <c r="I49" s="83" t="s">
        <v>208</v>
      </c>
      <c r="M49" s="147"/>
      <c r="N49" s="147"/>
      <c r="O49" s="73"/>
      <c r="P49" s="73"/>
      <c r="Q49" s="73"/>
      <c r="R49" s="73"/>
      <c r="S49" s="73"/>
      <c r="T49" s="73"/>
      <c r="U49" s="73"/>
    </row>
    <row r="50" spans="1:21" ht="51.5" customHeight="1" x14ac:dyDescent="0.35">
      <c r="A50" s="51"/>
      <c r="B50" s="42"/>
      <c r="C50" s="42"/>
      <c r="D50" s="42"/>
      <c r="E50" s="42"/>
      <c r="F50" s="166"/>
      <c r="G50" s="42"/>
      <c r="H50" s="166"/>
      <c r="I50" s="79" t="s">
        <v>140</v>
      </c>
    </row>
    <row r="51" spans="1:21" ht="47" customHeight="1" x14ac:dyDescent="0.35">
      <c r="A51" s="51"/>
      <c r="B51" s="42"/>
      <c r="C51" s="42"/>
      <c r="D51" s="42"/>
      <c r="E51" s="42"/>
      <c r="F51" s="166"/>
      <c r="G51" s="42"/>
      <c r="H51" s="166"/>
      <c r="I51" s="79" t="s">
        <v>141</v>
      </c>
    </row>
    <row r="52" spans="1:21" ht="72.5" x14ac:dyDescent="0.35">
      <c r="A52" s="51"/>
      <c r="B52" s="42"/>
      <c r="C52" s="42"/>
      <c r="D52" s="42"/>
      <c r="E52" s="42"/>
      <c r="F52" s="166"/>
      <c r="G52" s="42"/>
      <c r="H52" s="166"/>
      <c r="I52" s="79" t="s">
        <v>142</v>
      </c>
    </row>
    <row r="53" spans="1:21" ht="24" customHeight="1" x14ac:dyDescent="0.35">
      <c r="A53" s="51"/>
      <c r="B53" s="42"/>
      <c r="C53" s="42"/>
      <c r="D53" s="42"/>
      <c r="E53" s="42"/>
      <c r="F53" s="166"/>
      <c r="G53" s="42"/>
      <c r="H53" s="166"/>
      <c r="I53" s="79"/>
    </row>
    <row r="54" spans="1:21" s="68" customFormat="1" ht="15.5" x14ac:dyDescent="0.35">
      <c r="A54" s="59" t="s">
        <v>103</v>
      </c>
      <c r="B54" s="58"/>
      <c r="C54" s="58"/>
      <c r="D54" s="58"/>
      <c r="E54" s="58"/>
      <c r="F54" s="169"/>
      <c r="G54" s="58"/>
      <c r="H54" s="169"/>
      <c r="I54" s="58"/>
      <c r="J54" s="144"/>
      <c r="K54" s="148"/>
      <c r="L54" s="144"/>
      <c r="M54" s="144"/>
      <c r="N54" s="144"/>
    </row>
    <row r="55" spans="1:21" s="69" customFormat="1" ht="120.5" customHeight="1" x14ac:dyDescent="0.35">
      <c r="A55" s="43"/>
      <c r="B55" s="43"/>
      <c r="C55" s="71"/>
      <c r="D55" s="43"/>
      <c r="E55" s="71"/>
      <c r="F55" s="170"/>
      <c r="G55" s="81" t="s">
        <v>213</v>
      </c>
      <c r="H55" s="174" t="s">
        <v>209</v>
      </c>
      <c r="I55" s="71"/>
      <c r="J55" s="145"/>
      <c r="K55" s="149"/>
      <c r="L55" s="145"/>
      <c r="M55" s="145"/>
      <c r="N55" s="145"/>
    </row>
    <row r="80" spans="1:4" ht="15.5" x14ac:dyDescent="0.35">
      <c r="A80" s="258"/>
      <c r="B80" s="258"/>
      <c r="C80" s="258"/>
      <c r="D80" s="259"/>
    </row>
    <row r="81" spans="1:5" ht="15.5" x14ac:dyDescent="0.35">
      <c r="A81" s="257"/>
      <c r="B81" s="257"/>
      <c r="C81" s="257"/>
      <c r="D81" s="259"/>
    </row>
    <row r="83" spans="1:5" ht="15.75" customHeight="1" x14ac:dyDescent="0.35">
      <c r="A83" s="258"/>
      <c r="B83" s="258"/>
      <c r="C83" s="260"/>
      <c r="D83" s="261"/>
      <c r="E83" s="256"/>
    </row>
    <row r="84" spans="1:5" ht="15.75" customHeight="1" x14ac:dyDescent="0.35">
      <c r="A84" s="257"/>
      <c r="B84" s="257"/>
      <c r="C84" s="260"/>
      <c r="D84" s="261"/>
      <c r="E84" s="256"/>
    </row>
  </sheetData>
  <mergeCells count="18">
    <mergeCell ref="E83:E84"/>
    <mergeCell ref="A84:B84"/>
    <mergeCell ref="A80:C80"/>
    <mergeCell ref="D80:D81"/>
    <mergeCell ref="A81:C81"/>
    <mergeCell ref="A83:B83"/>
    <mergeCell ref="C83:C84"/>
    <mergeCell ref="D83:D84"/>
    <mergeCell ref="A48:B48"/>
    <mergeCell ref="C48:C49"/>
    <mergeCell ref="D48:D49"/>
    <mergeCell ref="E48:E49"/>
    <mergeCell ref="A49:B49"/>
    <mergeCell ref="A1:E1"/>
    <mergeCell ref="B2:E2"/>
    <mergeCell ref="A45:C45"/>
    <mergeCell ref="D45:D46"/>
    <mergeCell ref="A46:C4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4C7B-48AA-47DC-A20B-F6F4E2DCEA70}">
  <dimension ref="A1:R29"/>
  <sheetViews>
    <sheetView workbookViewId="0">
      <selection activeCell="G4" sqref="G4"/>
    </sheetView>
  </sheetViews>
  <sheetFormatPr defaultRowHeight="14.5" x14ac:dyDescent="0.35"/>
  <cols>
    <col min="1" max="1" width="22.7265625" style="66" customWidth="1"/>
    <col min="2" max="2" width="17.453125" style="65" customWidth="1"/>
    <col min="3" max="3" width="17.36328125" style="65" customWidth="1"/>
    <col min="4" max="4" width="17.08984375" style="65" customWidth="1"/>
    <col min="5" max="5" width="17.7265625" style="65" customWidth="1"/>
    <col min="6" max="6" width="14.81640625" style="65" customWidth="1"/>
    <col min="7" max="7" width="26.36328125" style="64" customWidth="1"/>
    <col min="8" max="8" width="17.453125" style="80" customWidth="1"/>
    <col min="9" max="9" width="18.6328125" style="64" customWidth="1"/>
    <col min="10" max="10" width="17.08984375" style="65" customWidth="1"/>
    <col min="11" max="11" width="8.7265625" style="65"/>
    <col min="12" max="12" width="17.54296875" style="65" customWidth="1"/>
    <col min="13" max="16384" width="8.7265625" style="65"/>
  </cols>
  <sheetData>
    <row r="1" spans="1:18" s="44" customFormat="1" x14ac:dyDescent="0.35">
      <c r="A1" s="248" t="s">
        <v>0</v>
      </c>
      <c r="B1" s="249"/>
      <c r="C1" s="249"/>
      <c r="D1" s="249"/>
      <c r="E1" s="249"/>
      <c r="F1" s="45"/>
      <c r="G1" s="45"/>
      <c r="H1" s="45"/>
      <c r="I1" s="45"/>
    </row>
    <row r="2" spans="1:18" x14ac:dyDescent="0.35">
      <c r="A2" s="63" t="s">
        <v>28</v>
      </c>
      <c r="B2" s="250" t="s">
        <v>65</v>
      </c>
      <c r="C2" s="251"/>
      <c r="D2" s="251"/>
      <c r="E2" s="251"/>
      <c r="F2" s="64"/>
      <c r="H2" s="64"/>
    </row>
    <row r="3" spans="1:18" s="62" customFormat="1" ht="42.5" customHeight="1" x14ac:dyDescent="0.35">
      <c r="A3" s="56" t="s">
        <v>121</v>
      </c>
      <c r="B3" s="56" t="s">
        <v>122</v>
      </c>
      <c r="C3" s="56" t="s">
        <v>38</v>
      </c>
      <c r="D3" s="56" t="s">
        <v>39</v>
      </c>
      <c r="E3" s="56" t="s">
        <v>40</v>
      </c>
      <c r="F3" s="56" t="s">
        <v>107</v>
      </c>
      <c r="G3" s="56" t="s">
        <v>102</v>
      </c>
      <c r="H3" s="56" t="s">
        <v>218</v>
      </c>
      <c r="I3" s="211" t="s">
        <v>215</v>
      </c>
      <c r="J3" s="56" t="s">
        <v>216</v>
      </c>
      <c r="K3" s="56" t="s">
        <v>235</v>
      </c>
      <c r="L3" s="56" t="s">
        <v>248</v>
      </c>
      <c r="M3" s="56" t="s">
        <v>253</v>
      </c>
      <c r="N3" s="56" t="s">
        <v>254</v>
      </c>
      <c r="O3" s="56" t="s">
        <v>255</v>
      </c>
      <c r="P3" s="56" t="s">
        <v>247</v>
      </c>
      <c r="Q3" s="56" t="s">
        <v>249</v>
      </c>
      <c r="R3" s="56" t="s">
        <v>250</v>
      </c>
    </row>
    <row r="4" spans="1:18" x14ac:dyDescent="0.35">
      <c r="A4" s="61" t="s">
        <v>124</v>
      </c>
      <c r="B4" s="27">
        <v>20</v>
      </c>
      <c r="C4" s="27">
        <v>1498</v>
      </c>
      <c r="D4" s="27">
        <v>110</v>
      </c>
      <c r="E4" s="27">
        <v>100</v>
      </c>
      <c r="F4" s="27">
        <f>(((B4*C4)+E4)/(D4*C4))*100</f>
        <v>18.242505158393008</v>
      </c>
      <c r="G4" s="46">
        <f>(D4-B4)*C4</f>
        <v>134820</v>
      </c>
      <c r="H4" s="147">
        <f>(E4/2)*3</f>
        <v>150</v>
      </c>
      <c r="I4" s="212">
        <v>1108</v>
      </c>
      <c r="J4" s="73">
        <v>18.304890055792583</v>
      </c>
      <c r="K4" s="73">
        <v>20</v>
      </c>
      <c r="L4" s="73">
        <f>H4/3</f>
        <v>50</v>
      </c>
      <c r="M4" s="73">
        <v>594</v>
      </c>
      <c r="N4" s="73">
        <v>317</v>
      </c>
      <c r="O4" s="73">
        <v>197</v>
      </c>
      <c r="P4" s="73">
        <f>(((K4*M4)+L4)/(D4*M4))*100</f>
        <v>18.258340985613714</v>
      </c>
      <c r="Q4" s="73">
        <f>(((K4*N4)+L4)/(D4*N4))*100</f>
        <v>18.325207915113278</v>
      </c>
      <c r="R4" s="73">
        <f>(((K4*O4)+L4)/(D4*O4))*100</f>
        <v>18.412551915089985</v>
      </c>
    </row>
    <row r="5" spans="1:18" x14ac:dyDescent="0.35">
      <c r="A5" s="61" t="s">
        <v>125</v>
      </c>
      <c r="B5" s="27">
        <v>25</v>
      </c>
      <c r="C5" s="27">
        <v>1010</v>
      </c>
      <c r="D5" s="27">
        <v>150</v>
      </c>
      <c r="E5" s="27">
        <v>100</v>
      </c>
      <c r="F5" s="27">
        <f t="shared" ref="F5:F19" si="0">(((B5*C5)+E5)/(D5*C5))*100</f>
        <v>16.732673267326735</v>
      </c>
      <c r="G5" s="46">
        <f t="shared" ref="G5:G19" si="1">(D5-B5)*C5</f>
        <v>126250</v>
      </c>
      <c r="H5" s="147">
        <f t="shared" ref="H5:H19" si="2">(E5/2)*3</f>
        <v>150</v>
      </c>
      <c r="I5" s="212">
        <v>748</v>
      </c>
      <c r="J5" s="73">
        <v>16.80035650623886</v>
      </c>
      <c r="K5" s="73">
        <v>25</v>
      </c>
      <c r="L5" s="73">
        <f t="shared" ref="L5:L19" si="3">H5/3</f>
        <v>50</v>
      </c>
      <c r="M5" s="73">
        <v>403</v>
      </c>
      <c r="N5" s="73">
        <v>203</v>
      </c>
      <c r="O5" s="73">
        <v>142</v>
      </c>
      <c r="P5" s="73">
        <f t="shared" ref="P5:P19" si="4">(((K5*M5)+L5)/(D5*M5))*100</f>
        <v>16.749379652605459</v>
      </c>
      <c r="Q5" s="73">
        <f t="shared" ref="Q5:Q19" si="5">(((K5*N5)+L5)/(D5*N5))*100</f>
        <v>16.83087027914614</v>
      </c>
      <c r="R5" s="73">
        <f t="shared" ref="R5:R19" si="6">(((K5*O5)+L5)/(D5*O5))*100</f>
        <v>16.901408450704224</v>
      </c>
    </row>
    <row r="6" spans="1:18" x14ac:dyDescent="0.35">
      <c r="A6" s="61" t="s">
        <v>126</v>
      </c>
      <c r="B6" s="27">
        <v>30</v>
      </c>
      <c r="C6" s="27">
        <v>472</v>
      </c>
      <c r="D6" s="27">
        <v>160</v>
      </c>
      <c r="E6" s="27">
        <v>100</v>
      </c>
      <c r="F6" s="27">
        <f t="shared" si="0"/>
        <v>18.882415254237291</v>
      </c>
      <c r="G6" s="46">
        <f t="shared" si="1"/>
        <v>61360</v>
      </c>
      <c r="H6" s="147">
        <f t="shared" si="2"/>
        <v>150</v>
      </c>
      <c r="I6" s="212">
        <v>435</v>
      </c>
      <c r="J6" s="73">
        <v>18.96551724137931</v>
      </c>
      <c r="K6" s="73">
        <v>30</v>
      </c>
      <c r="L6" s="73">
        <f t="shared" si="3"/>
        <v>50</v>
      </c>
      <c r="M6" s="73">
        <v>212</v>
      </c>
      <c r="N6" s="73">
        <v>130</v>
      </c>
      <c r="O6" s="73">
        <v>93</v>
      </c>
      <c r="P6" s="73">
        <f t="shared" si="4"/>
        <v>18.897405660377359</v>
      </c>
      <c r="Q6" s="73">
        <f t="shared" si="5"/>
        <v>18.990384615384613</v>
      </c>
      <c r="R6" s="73">
        <f t="shared" si="6"/>
        <v>19.086021505376344</v>
      </c>
    </row>
    <row r="7" spans="1:18" x14ac:dyDescent="0.35">
      <c r="A7" s="61" t="s">
        <v>127</v>
      </c>
      <c r="B7" s="27">
        <v>25</v>
      </c>
      <c r="C7" s="27">
        <v>640</v>
      </c>
      <c r="D7" s="27">
        <v>150</v>
      </c>
      <c r="E7" s="27">
        <v>100</v>
      </c>
      <c r="F7" s="27">
        <f t="shared" si="0"/>
        <v>16.770833333333332</v>
      </c>
      <c r="G7" s="46">
        <f t="shared" si="1"/>
        <v>80000</v>
      </c>
      <c r="H7" s="147">
        <f t="shared" si="2"/>
        <v>150</v>
      </c>
      <c r="I7" s="212">
        <v>484</v>
      </c>
      <c r="J7" s="73">
        <v>16.873278236914601</v>
      </c>
      <c r="K7" s="73">
        <v>25</v>
      </c>
      <c r="L7" s="73">
        <f t="shared" si="3"/>
        <v>50</v>
      </c>
      <c r="M7" s="73">
        <v>246</v>
      </c>
      <c r="N7" s="73">
        <v>155</v>
      </c>
      <c r="O7" s="73">
        <v>83</v>
      </c>
      <c r="P7" s="73">
        <f t="shared" si="4"/>
        <v>16.802168021680217</v>
      </c>
      <c r="Q7" s="73">
        <f t="shared" si="5"/>
        <v>16.881720430107528</v>
      </c>
      <c r="R7" s="73">
        <f t="shared" si="6"/>
        <v>17.068273092369481</v>
      </c>
    </row>
    <row r="8" spans="1:18" x14ac:dyDescent="0.35">
      <c r="A8" s="61" t="s">
        <v>128</v>
      </c>
      <c r="B8" s="27">
        <v>20</v>
      </c>
      <c r="C8" s="27">
        <v>350</v>
      </c>
      <c r="D8" s="27">
        <v>110</v>
      </c>
      <c r="E8" s="27">
        <v>100</v>
      </c>
      <c r="F8" s="27">
        <f t="shared" si="0"/>
        <v>18.441558441558442</v>
      </c>
      <c r="G8" s="46">
        <f t="shared" si="1"/>
        <v>31500</v>
      </c>
      <c r="H8" s="147">
        <f t="shared" si="2"/>
        <v>150</v>
      </c>
      <c r="I8" s="212">
        <v>313</v>
      </c>
      <c r="J8" s="73">
        <v>18.617484751670055</v>
      </c>
      <c r="K8" s="73">
        <v>20</v>
      </c>
      <c r="L8" s="73">
        <f t="shared" si="3"/>
        <v>50</v>
      </c>
      <c r="M8" s="73">
        <v>159</v>
      </c>
      <c r="N8" s="73">
        <v>100</v>
      </c>
      <c r="O8" s="73">
        <v>54</v>
      </c>
      <c r="P8" s="73">
        <f t="shared" si="4"/>
        <v>18.467695826186393</v>
      </c>
      <c r="Q8" s="73">
        <f t="shared" si="5"/>
        <v>18.636363636363637</v>
      </c>
      <c r="R8" s="73">
        <f t="shared" si="6"/>
        <v>19.023569023569024</v>
      </c>
    </row>
    <row r="9" spans="1:18" x14ac:dyDescent="0.35">
      <c r="A9" s="61" t="s">
        <v>132</v>
      </c>
      <c r="B9" s="27">
        <v>25</v>
      </c>
      <c r="C9" s="27">
        <v>425</v>
      </c>
      <c r="D9" s="27">
        <v>150</v>
      </c>
      <c r="E9" s="27">
        <v>100</v>
      </c>
      <c r="F9" s="27">
        <f t="shared" si="0"/>
        <v>16.823529411764707</v>
      </c>
      <c r="G9" s="46">
        <f t="shared" si="1"/>
        <v>53125</v>
      </c>
      <c r="H9" s="147">
        <f t="shared" si="2"/>
        <v>150</v>
      </c>
      <c r="I9" s="212">
        <v>511</v>
      </c>
      <c r="J9" s="73">
        <v>16.862361382909327</v>
      </c>
      <c r="K9" s="73">
        <v>25</v>
      </c>
      <c r="L9" s="73">
        <f t="shared" si="3"/>
        <v>50</v>
      </c>
      <c r="M9" s="73">
        <v>266</v>
      </c>
      <c r="N9" s="73">
        <v>141</v>
      </c>
      <c r="O9" s="73">
        <v>104</v>
      </c>
      <c r="P9" s="73">
        <f t="shared" si="4"/>
        <v>16.791979949874687</v>
      </c>
      <c r="Q9" s="73">
        <f t="shared" si="5"/>
        <v>16.90307328605201</v>
      </c>
      <c r="R9" s="73">
        <f t="shared" si="6"/>
        <v>16.987179487179489</v>
      </c>
    </row>
    <row r="10" spans="1:18" x14ac:dyDescent="0.35">
      <c r="A10" s="61" t="s">
        <v>131</v>
      </c>
      <c r="B10" s="27">
        <v>30</v>
      </c>
      <c r="C10" s="27">
        <v>346</v>
      </c>
      <c r="D10" s="27">
        <v>160</v>
      </c>
      <c r="E10" s="27">
        <v>100</v>
      </c>
      <c r="F10" s="27">
        <f t="shared" si="0"/>
        <v>18.930635838150287</v>
      </c>
      <c r="G10" s="46">
        <f t="shared" si="1"/>
        <v>44980</v>
      </c>
      <c r="H10" s="147">
        <f t="shared" si="2"/>
        <v>150</v>
      </c>
      <c r="I10" s="212">
        <v>479</v>
      </c>
      <c r="J10" s="73">
        <v>18.945720250521923</v>
      </c>
      <c r="K10" s="73">
        <v>30</v>
      </c>
      <c r="L10" s="73">
        <f t="shared" si="3"/>
        <v>50</v>
      </c>
      <c r="M10" s="73">
        <v>167</v>
      </c>
      <c r="N10" s="73">
        <v>174</v>
      </c>
      <c r="O10" s="73">
        <v>138</v>
      </c>
      <c r="P10" s="73">
        <f t="shared" si="4"/>
        <v>18.937125748502996</v>
      </c>
      <c r="Q10" s="73">
        <f t="shared" si="5"/>
        <v>18.929597701149426</v>
      </c>
      <c r="R10" s="73">
        <f t="shared" si="6"/>
        <v>18.97644927536232</v>
      </c>
    </row>
    <row r="11" spans="1:18" x14ac:dyDescent="0.35">
      <c r="A11" s="61" t="s">
        <v>129</v>
      </c>
      <c r="B11" s="27">
        <v>30</v>
      </c>
      <c r="C11" s="27">
        <v>441</v>
      </c>
      <c r="D11" s="27">
        <v>160</v>
      </c>
      <c r="E11" s="27">
        <v>100</v>
      </c>
      <c r="F11" s="27">
        <f t="shared" si="0"/>
        <v>18.89172335600907</v>
      </c>
      <c r="G11" s="46">
        <f t="shared" si="1"/>
        <v>57330</v>
      </c>
      <c r="H11" s="147">
        <f t="shared" si="2"/>
        <v>150</v>
      </c>
      <c r="I11" s="212">
        <v>499</v>
      </c>
      <c r="J11" s="73">
        <v>18.937875751503004</v>
      </c>
      <c r="K11" s="73">
        <v>30</v>
      </c>
      <c r="L11" s="73">
        <f t="shared" si="3"/>
        <v>50</v>
      </c>
      <c r="M11" s="73">
        <v>254</v>
      </c>
      <c r="N11" s="73">
        <v>166</v>
      </c>
      <c r="O11" s="73">
        <v>79</v>
      </c>
      <c r="P11" s="73">
        <f t="shared" si="4"/>
        <v>18.873031496062993</v>
      </c>
      <c r="Q11" s="73">
        <f t="shared" si="5"/>
        <v>18.938253012048193</v>
      </c>
      <c r="R11" s="73">
        <f t="shared" si="6"/>
        <v>19.145569620253163</v>
      </c>
    </row>
    <row r="12" spans="1:18" x14ac:dyDescent="0.35">
      <c r="A12" s="61" t="s">
        <v>130</v>
      </c>
      <c r="B12" s="27">
        <v>35</v>
      </c>
      <c r="C12" s="27">
        <v>400</v>
      </c>
      <c r="D12" s="27">
        <v>160</v>
      </c>
      <c r="E12" s="27">
        <v>100</v>
      </c>
      <c r="F12" s="27">
        <f t="shared" si="0"/>
        <v>22.03125</v>
      </c>
      <c r="G12" s="46">
        <f t="shared" si="1"/>
        <v>50000</v>
      </c>
      <c r="H12" s="147">
        <f t="shared" si="2"/>
        <v>150</v>
      </c>
      <c r="I12" s="212">
        <v>391</v>
      </c>
      <c r="J12" s="73">
        <v>22.114769820971865</v>
      </c>
      <c r="K12" s="73">
        <v>35</v>
      </c>
      <c r="L12" s="73">
        <f t="shared" si="3"/>
        <v>50</v>
      </c>
      <c r="M12" s="73">
        <v>185</v>
      </c>
      <c r="N12" s="73">
        <v>142</v>
      </c>
      <c r="O12" s="73">
        <v>64</v>
      </c>
      <c r="P12" s="73">
        <f t="shared" si="4"/>
        <v>22.043918918918919</v>
      </c>
      <c r="Q12" s="73">
        <f t="shared" si="5"/>
        <v>22.095070422535212</v>
      </c>
      <c r="R12" s="73">
        <f t="shared" si="6"/>
        <v>22.36328125</v>
      </c>
    </row>
    <row r="13" spans="1:18" x14ac:dyDescent="0.35">
      <c r="A13" s="61" t="s">
        <v>133</v>
      </c>
      <c r="B13" s="27">
        <v>32</v>
      </c>
      <c r="C13" s="27">
        <v>436</v>
      </c>
      <c r="D13" s="27">
        <v>150</v>
      </c>
      <c r="E13" s="27">
        <v>100</v>
      </c>
      <c r="F13" s="27">
        <f t="shared" si="0"/>
        <v>21.486238532110093</v>
      </c>
      <c r="G13" s="46">
        <f t="shared" si="1"/>
        <v>51448</v>
      </c>
      <c r="H13" s="147">
        <f t="shared" si="2"/>
        <v>150</v>
      </c>
      <c r="I13" s="212">
        <v>494</v>
      </c>
      <c r="J13" s="73">
        <v>21.535762483130906</v>
      </c>
      <c r="K13" s="73">
        <v>32</v>
      </c>
      <c r="L13" s="73">
        <f t="shared" si="3"/>
        <v>50</v>
      </c>
      <c r="M13" s="73">
        <v>255</v>
      </c>
      <c r="N13" s="73">
        <v>179</v>
      </c>
      <c r="O13" s="73">
        <v>60</v>
      </c>
      <c r="P13" s="73">
        <f t="shared" si="4"/>
        <v>21.464052287581701</v>
      </c>
      <c r="Q13" s="73">
        <f t="shared" si="5"/>
        <v>21.519553072625701</v>
      </c>
      <c r="R13" s="73">
        <f t="shared" si="6"/>
        <v>21.888888888888889</v>
      </c>
    </row>
    <row r="14" spans="1:18" x14ac:dyDescent="0.35">
      <c r="A14" s="61" t="s">
        <v>134</v>
      </c>
      <c r="B14" s="27">
        <v>25</v>
      </c>
      <c r="C14" s="27">
        <v>445</v>
      </c>
      <c r="D14" s="27">
        <v>150</v>
      </c>
      <c r="E14" s="27">
        <v>100</v>
      </c>
      <c r="F14" s="27">
        <f t="shared" si="0"/>
        <v>16.816479400749063</v>
      </c>
      <c r="G14" s="46">
        <f t="shared" si="1"/>
        <v>55625</v>
      </c>
      <c r="H14" s="147">
        <f t="shared" si="2"/>
        <v>150</v>
      </c>
      <c r="I14" s="212">
        <v>453</v>
      </c>
      <c r="J14" s="73">
        <v>16.887417218543046</v>
      </c>
      <c r="K14" s="73">
        <v>25</v>
      </c>
      <c r="L14" s="73">
        <f t="shared" si="3"/>
        <v>50</v>
      </c>
      <c r="M14" s="73">
        <v>234</v>
      </c>
      <c r="N14" s="73">
        <v>136</v>
      </c>
      <c r="O14" s="73">
        <v>83</v>
      </c>
      <c r="P14" s="73">
        <f t="shared" si="4"/>
        <v>16.809116809116809</v>
      </c>
      <c r="Q14" s="73">
        <f t="shared" si="5"/>
        <v>16.911764705882355</v>
      </c>
      <c r="R14" s="73">
        <f t="shared" si="6"/>
        <v>17.068273092369481</v>
      </c>
    </row>
    <row r="15" spans="1:18" x14ac:dyDescent="0.35">
      <c r="A15" s="61" t="s">
        <v>135</v>
      </c>
      <c r="B15" s="27">
        <v>20</v>
      </c>
      <c r="C15" s="27">
        <v>414</v>
      </c>
      <c r="D15" s="27">
        <v>110</v>
      </c>
      <c r="E15" s="27">
        <v>100</v>
      </c>
      <c r="F15" s="27">
        <f t="shared" si="0"/>
        <v>18.401405357927096</v>
      </c>
      <c r="G15" s="46">
        <f t="shared" si="1"/>
        <v>37260</v>
      </c>
      <c r="H15" s="147">
        <f t="shared" si="2"/>
        <v>150</v>
      </c>
      <c r="I15" s="212">
        <v>366</v>
      </c>
      <c r="J15" s="73">
        <v>18.554396423248882</v>
      </c>
      <c r="K15" s="73">
        <v>20</v>
      </c>
      <c r="L15" s="73">
        <f t="shared" si="3"/>
        <v>50</v>
      </c>
      <c r="M15" s="73">
        <v>159</v>
      </c>
      <c r="N15" s="73">
        <v>133</v>
      </c>
      <c r="O15" s="73">
        <v>74</v>
      </c>
      <c r="P15" s="73">
        <f t="shared" si="4"/>
        <v>18.467695826186393</v>
      </c>
      <c r="Q15" s="73">
        <f t="shared" si="5"/>
        <v>18.523581681476418</v>
      </c>
      <c r="R15" s="73">
        <f t="shared" si="6"/>
        <v>18.796068796068795</v>
      </c>
    </row>
    <row r="16" spans="1:18" x14ac:dyDescent="0.35">
      <c r="A16" s="61" t="s">
        <v>136</v>
      </c>
      <c r="B16" s="27">
        <v>20</v>
      </c>
      <c r="C16" s="27">
        <v>400</v>
      </c>
      <c r="D16" s="27">
        <v>110</v>
      </c>
      <c r="E16" s="27">
        <v>100</v>
      </c>
      <c r="F16" s="27">
        <f t="shared" si="0"/>
        <v>18.409090909090907</v>
      </c>
      <c r="G16" s="46">
        <f t="shared" si="1"/>
        <v>36000</v>
      </c>
      <c r="H16" s="147">
        <f t="shared" si="2"/>
        <v>150</v>
      </c>
      <c r="I16" s="212">
        <v>379</v>
      </c>
      <c r="J16" s="73">
        <v>18.541616694650994</v>
      </c>
      <c r="K16" s="73">
        <v>20</v>
      </c>
      <c r="L16" s="73">
        <f t="shared" si="3"/>
        <v>50</v>
      </c>
      <c r="M16" s="73">
        <v>169</v>
      </c>
      <c r="N16" s="73">
        <v>141</v>
      </c>
      <c r="O16" s="73">
        <v>69</v>
      </c>
      <c r="P16" s="73">
        <f t="shared" si="4"/>
        <v>18.450779989241529</v>
      </c>
      <c r="Q16" s="73">
        <f t="shared" si="5"/>
        <v>18.504190844616378</v>
      </c>
      <c r="R16" s="73">
        <f t="shared" si="6"/>
        <v>18.840579710144929</v>
      </c>
    </row>
    <row r="17" spans="1:18" x14ac:dyDescent="0.35">
      <c r="A17" s="61" t="s">
        <v>137</v>
      </c>
      <c r="B17" s="27">
        <v>20</v>
      </c>
      <c r="C17" s="27">
        <v>400</v>
      </c>
      <c r="D17" s="27">
        <v>110</v>
      </c>
      <c r="E17" s="27">
        <v>100</v>
      </c>
      <c r="F17" s="27">
        <f t="shared" si="0"/>
        <v>18.409090909090907</v>
      </c>
      <c r="G17" s="46">
        <f t="shared" si="1"/>
        <v>36000</v>
      </c>
      <c r="H17" s="147">
        <f t="shared" si="2"/>
        <v>150</v>
      </c>
      <c r="I17" s="212">
        <v>400</v>
      </c>
      <c r="J17" s="73">
        <v>18.522727272727273</v>
      </c>
      <c r="K17" s="73">
        <v>20</v>
      </c>
      <c r="L17" s="73">
        <f t="shared" si="3"/>
        <v>50</v>
      </c>
      <c r="M17" s="73">
        <v>187</v>
      </c>
      <c r="N17" s="73">
        <v>141</v>
      </c>
      <c r="O17" s="73">
        <v>72</v>
      </c>
      <c r="P17" s="73">
        <f t="shared" si="4"/>
        <v>18.424890617403985</v>
      </c>
      <c r="Q17" s="73">
        <f t="shared" si="5"/>
        <v>18.504190844616378</v>
      </c>
      <c r="R17" s="73">
        <f t="shared" si="6"/>
        <v>18.813131313131311</v>
      </c>
    </row>
    <row r="18" spans="1:18" x14ac:dyDescent="0.35">
      <c r="A18" s="61" t="s">
        <v>138</v>
      </c>
      <c r="B18" s="27">
        <v>30</v>
      </c>
      <c r="C18" s="27">
        <v>450</v>
      </c>
      <c r="D18" s="27">
        <v>150</v>
      </c>
      <c r="E18" s="27">
        <v>100</v>
      </c>
      <c r="F18" s="27">
        <f t="shared" si="0"/>
        <v>20.148148148148149</v>
      </c>
      <c r="G18" s="46">
        <f t="shared" si="1"/>
        <v>54000</v>
      </c>
      <c r="H18" s="147">
        <f t="shared" si="2"/>
        <v>150</v>
      </c>
      <c r="I18" s="212">
        <v>493</v>
      </c>
      <c r="J18" s="73">
        <v>20.20283975659229</v>
      </c>
      <c r="K18" s="73">
        <v>30</v>
      </c>
      <c r="L18" s="73">
        <f t="shared" si="3"/>
        <v>50</v>
      </c>
      <c r="M18" s="73">
        <v>233</v>
      </c>
      <c r="N18" s="73">
        <v>184</v>
      </c>
      <c r="O18" s="73">
        <v>76</v>
      </c>
      <c r="P18" s="73">
        <f t="shared" si="4"/>
        <v>20.143061516452075</v>
      </c>
      <c r="Q18" s="73">
        <f t="shared" si="5"/>
        <v>20.181159420289855</v>
      </c>
      <c r="R18" s="73">
        <f t="shared" si="6"/>
        <v>20.438596491228068</v>
      </c>
    </row>
    <row r="19" spans="1:18" x14ac:dyDescent="0.35">
      <c r="A19" s="61" t="s">
        <v>139</v>
      </c>
      <c r="B19" s="27">
        <v>30</v>
      </c>
      <c r="C19" s="27">
        <v>495</v>
      </c>
      <c r="D19" s="27">
        <v>160</v>
      </c>
      <c r="E19" s="27">
        <v>100</v>
      </c>
      <c r="F19" s="27">
        <f t="shared" si="0"/>
        <v>18.876262626262626</v>
      </c>
      <c r="G19" s="46">
        <f t="shared" si="1"/>
        <v>64350</v>
      </c>
      <c r="H19" s="147">
        <f t="shared" si="2"/>
        <v>150</v>
      </c>
      <c r="I19" s="212">
        <v>531</v>
      </c>
      <c r="J19" s="73">
        <v>18.926553672316384</v>
      </c>
      <c r="K19" s="73">
        <v>30</v>
      </c>
      <c r="L19" s="73">
        <f t="shared" si="3"/>
        <v>50</v>
      </c>
      <c r="M19" s="73">
        <v>259</v>
      </c>
      <c r="N19" s="73">
        <v>196</v>
      </c>
      <c r="O19" s="73">
        <v>76</v>
      </c>
      <c r="P19" s="73">
        <f t="shared" si="4"/>
        <v>18.870656370656373</v>
      </c>
      <c r="Q19" s="73">
        <f t="shared" si="5"/>
        <v>18.909438775510203</v>
      </c>
      <c r="R19" s="73">
        <f t="shared" si="6"/>
        <v>19.161184210526315</v>
      </c>
    </row>
    <row r="20" spans="1:18" x14ac:dyDescent="0.35">
      <c r="A20" s="61"/>
      <c r="B20" s="27"/>
      <c r="C20" s="27"/>
      <c r="D20" s="27"/>
      <c r="E20" s="27"/>
      <c r="F20" s="27"/>
      <c r="G20" s="46"/>
      <c r="J20" s="73">
        <f>AVERAGE(J4:J19)</f>
        <v>18.724597969944458</v>
      </c>
      <c r="K20" s="73"/>
      <c r="L20" s="73"/>
      <c r="M20" s="73"/>
      <c r="N20" s="73"/>
      <c r="O20" s="73"/>
      <c r="P20" s="73">
        <f>SUM(P4:P19)</f>
        <v>298.45129967646159</v>
      </c>
      <c r="Q20" s="73">
        <f t="shared" ref="Q20:R20" si="7">SUM(Q4:Q19)</f>
        <v>299.58442064291734</v>
      </c>
      <c r="R20" s="73">
        <f t="shared" si="7"/>
        <v>302.97102612226178</v>
      </c>
    </row>
    <row r="21" spans="1:18" x14ac:dyDescent="0.35">
      <c r="A21" s="72"/>
      <c r="B21" s="73"/>
      <c r="C21" s="73"/>
      <c r="D21" s="73"/>
      <c r="E21" s="73"/>
      <c r="F21" s="73">
        <f>AVERAGE(F4:F19)</f>
        <v>18.643364996509487</v>
      </c>
      <c r="G21" s="75"/>
    </row>
    <row r="22" spans="1:18" x14ac:dyDescent="0.35">
      <c r="F22" s="74">
        <f>F21</f>
        <v>18.643364996509487</v>
      </c>
      <c r="G22" s="77" t="s">
        <v>205</v>
      </c>
      <c r="L22" s="65">
        <v>468700</v>
      </c>
      <c r="M22" s="65">
        <v>294548</v>
      </c>
      <c r="N22" s="65">
        <v>181210</v>
      </c>
      <c r="P22" s="65">
        <f>(P20*L22)/100</f>
        <v>1398841.2415835755</v>
      </c>
      <c r="Q22" s="65">
        <f>(Q20*M22)/100</f>
        <v>882419.91931530018</v>
      </c>
      <c r="R22" s="65">
        <f>(R20*N22)/100</f>
        <v>549013.79643615056</v>
      </c>
    </row>
    <row r="23" spans="1:18" x14ac:dyDescent="0.35">
      <c r="F23" s="73">
        <v>53.339310336402399</v>
      </c>
      <c r="G23" s="76"/>
      <c r="P23" s="65">
        <f>AVERAGE(P4:P19)</f>
        <v>18.653206229778849</v>
      </c>
      <c r="Q23" s="65">
        <f t="shared" ref="Q23:R23" si="8">AVERAGE(Q4:Q19)</f>
        <v>18.724026290182334</v>
      </c>
      <c r="R23" s="65">
        <f t="shared" si="8"/>
        <v>18.935689132641361</v>
      </c>
    </row>
    <row r="25" spans="1:18" ht="46.5" customHeight="1" x14ac:dyDescent="0.35">
      <c r="B25" s="262" t="s">
        <v>51</v>
      </c>
      <c r="C25" s="263"/>
      <c r="D25" s="263"/>
      <c r="E25" s="264" t="s">
        <v>34</v>
      </c>
      <c r="F25" s="74">
        <f>AVERAGE(F22,F23)</f>
        <v>35.991337666455941</v>
      </c>
      <c r="G25" s="77" t="s">
        <v>206</v>
      </c>
      <c r="I25" s="64">
        <v>27.977857375059227</v>
      </c>
      <c r="J25" s="65">
        <v>28.23950265076861</v>
      </c>
      <c r="K25" s="65">
        <v>28.650338112989864</v>
      </c>
      <c r="L25" s="216" t="s">
        <v>257</v>
      </c>
      <c r="M25" s="65">
        <f>AVERAGE(P23,I25)</f>
        <v>23.315531802419038</v>
      </c>
      <c r="O25" s="65">
        <v>23.315531802419038</v>
      </c>
    </row>
    <row r="26" spans="1:18" ht="15.5" customHeight="1" x14ac:dyDescent="0.35">
      <c r="B26" s="262" t="s">
        <v>101</v>
      </c>
      <c r="C26" s="263"/>
      <c r="D26" s="263"/>
      <c r="E26" s="265"/>
      <c r="F26" s="137" t="s">
        <v>207</v>
      </c>
    </row>
    <row r="27" spans="1:18" ht="43.5" x14ac:dyDescent="0.35">
      <c r="L27" s="216" t="s">
        <v>258</v>
      </c>
      <c r="M27" s="65">
        <f>AVERAGE(Q23,J25)</f>
        <v>23.481764470475472</v>
      </c>
      <c r="O27" s="65">
        <v>23.481764470475472</v>
      </c>
    </row>
    <row r="29" spans="1:18" ht="29" x14ac:dyDescent="0.35">
      <c r="L29" s="216" t="s">
        <v>259</v>
      </c>
      <c r="M29" s="65">
        <f>AVERAGE(R23,K25)</f>
        <v>23.793013622815614</v>
      </c>
      <c r="O29" s="65">
        <v>23.793013622815614</v>
      </c>
    </row>
  </sheetData>
  <mergeCells count="5">
    <mergeCell ref="A1:E1"/>
    <mergeCell ref="B2:E2"/>
    <mergeCell ref="B25:D25"/>
    <mergeCell ref="E25:E26"/>
    <mergeCell ref="B26:D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31D0-4BCE-4519-A94F-BBACE5F75410}">
  <dimension ref="A3:F54"/>
  <sheetViews>
    <sheetView zoomScale="38" workbookViewId="0">
      <selection activeCell="X11" sqref="X11"/>
    </sheetView>
  </sheetViews>
  <sheetFormatPr defaultRowHeight="14.5" x14ac:dyDescent="0.35"/>
  <cols>
    <col min="1" max="1" width="23.6328125" style="65" bestFit="1" customWidth="1"/>
    <col min="2" max="2" width="33.36328125" style="65" bestFit="1" customWidth="1"/>
    <col min="3" max="3" width="17.54296875" style="65" bestFit="1" customWidth="1"/>
    <col min="4" max="4" width="14.1796875" style="65" bestFit="1" customWidth="1"/>
    <col min="5" max="5" width="20.7265625" style="65" bestFit="1" customWidth="1"/>
    <col min="6" max="6" width="33.36328125" style="65" bestFit="1" customWidth="1"/>
    <col min="7" max="7" width="8.7265625" style="65"/>
    <col min="8" max="8" width="13.6328125" style="65" customWidth="1"/>
    <col min="9" max="13" width="8.7265625" style="65"/>
    <col min="14" max="14" width="12.6328125" style="65" customWidth="1"/>
    <col min="15" max="16384" width="8.7265625" style="65"/>
  </cols>
  <sheetData>
    <row r="3" spans="1:6" x14ac:dyDescent="0.35">
      <c r="A3" s="129" t="s">
        <v>185</v>
      </c>
      <c r="B3" s="27" t="s">
        <v>277</v>
      </c>
      <c r="C3" s="27" t="s">
        <v>187</v>
      </c>
      <c r="D3" s="27" t="s">
        <v>188</v>
      </c>
      <c r="E3" s="27" t="s">
        <v>189</v>
      </c>
      <c r="F3"/>
    </row>
    <row r="4" spans="1:6" x14ac:dyDescent="0.35">
      <c r="A4" s="130" t="s">
        <v>105</v>
      </c>
      <c r="B4" s="131">
        <v>30000</v>
      </c>
      <c r="C4" s="131">
        <v>53.333333333333336</v>
      </c>
      <c r="D4" s="131">
        <v>300</v>
      </c>
      <c r="E4" s="131">
        <v>100</v>
      </c>
      <c r="F4"/>
    </row>
    <row r="5" spans="1:6" x14ac:dyDescent="0.35">
      <c r="A5" s="130" t="s">
        <v>71</v>
      </c>
      <c r="B5" s="131">
        <v>4000</v>
      </c>
      <c r="C5" s="131">
        <v>75</v>
      </c>
      <c r="D5" s="131">
        <v>200</v>
      </c>
      <c r="E5" s="131">
        <v>30</v>
      </c>
      <c r="F5"/>
    </row>
    <row r="6" spans="1:6" x14ac:dyDescent="0.35">
      <c r="A6" s="130" t="s">
        <v>49</v>
      </c>
      <c r="B6" s="131">
        <v>7000</v>
      </c>
      <c r="C6" s="131">
        <v>80</v>
      </c>
      <c r="D6" s="131">
        <v>100</v>
      </c>
      <c r="E6" s="131">
        <v>80</v>
      </c>
      <c r="F6"/>
    </row>
    <row r="7" spans="1:6" x14ac:dyDescent="0.35">
      <c r="A7" s="130" t="s">
        <v>45</v>
      </c>
      <c r="B7" s="131">
        <v>4710</v>
      </c>
      <c r="C7" s="131">
        <v>43.821656050955418</v>
      </c>
      <c r="D7" s="131">
        <v>157</v>
      </c>
      <c r="E7" s="131">
        <v>20</v>
      </c>
      <c r="F7"/>
    </row>
    <row r="8" spans="1:6" x14ac:dyDescent="0.35">
      <c r="A8" s="130" t="s">
        <v>86</v>
      </c>
      <c r="B8" s="131">
        <v>325200</v>
      </c>
      <c r="C8" s="131">
        <v>27.496365872749635</v>
      </c>
      <c r="D8" s="131">
        <v>813</v>
      </c>
      <c r="E8" s="131">
        <v>150</v>
      </c>
      <c r="F8"/>
    </row>
    <row r="9" spans="1:6" x14ac:dyDescent="0.35">
      <c r="A9" s="130" t="s">
        <v>93</v>
      </c>
      <c r="B9" s="131">
        <v>45360</v>
      </c>
      <c r="C9" s="131">
        <v>51.102292768959437</v>
      </c>
      <c r="D9" s="131">
        <v>2268</v>
      </c>
      <c r="E9" s="131">
        <v>20</v>
      </c>
      <c r="F9"/>
    </row>
    <row r="10" spans="1:6" x14ac:dyDescent="0.35">
      <c r="A10" s="130" t="s">
        <v>90</v>
      </c>
      <c r="B10" s="131">
        <v>119000</v>
      </c>
      <c r="C10" s="131">
        <v>29.771908763505401</v>
      </c>
      <c r="D10" s="131">
        <v>595</v>
      </c>
      <c r="E10" s="131">
        <v>80</v>
      </c>
      <c r="F10"/>
    </row>
    <row r="11" spans="1:6" x14ac:dyDescent="0.35">
      <c r="A11" s="130" t="s">
        <v>98</v>
      </c>
      <c r="B11" s="131">
        <v>211750</v>
      </c>
      <c r="C11" s="131">
        <v>28.841288581548323</v>
      </c>
      <c r="D11" s="131">
        <v>847</v>
      </c>
      <c r="E11" s="131">
        <v>100</v>
      </c>
      <c r="F11"/>
    </row>
    <row r="12" spans="1:6" x14ac:dyDescent="0.35">
      <c r="A12" s="130" t="s">
        <v>85</v>
      </c>
      <c r="B12" s="131">
        <v>163400</v>
      </c>
      <c r="C12" s="131">
        <v>29.888027562446169</v>
      </c>
      <c r="D12" s="131">
        <v>860</v>
      </c>
      <c r="E12" s="131">
        <v>80</v>
      </c>
      <c r="F12"/>
    </row>
    <row r="13" spans="1:6" x14ac:dyDescent="0.35">
      <c r="A13" s="130" t="s">
        <v>43</v>
      </c>
      <c r="B13" s="131">
        <v>402300</v>
      </c>
      <c r="C13" s="131">
        <v>25.186428038777031</v>
      </c>
      <c r="D13" s="131">
        <v>1341</v>
      </c>
      <c r="E13" s="131">
        <v>100</v>
      </c>
      <c r="F13"/>
    </row>
    <row r="14" spans="1:6" x14ac:dyDescent="0.35">
      <c r="A14" s="130" t="s">
        <v>82</v>
      </c>
      <c r="B14" s="131">
        <v>296595</v>
      </c>
      <c r="C14" s="131">
        <v>27.899530036282172</v>
      </c>
      <c r="D14" s="131">
        <v>1521</v>
      </c>
      <c r="E14" s="131">
        <v>75</v>
      </c>
      <c r="F14"/>
    </row>
    <row r="15" spans="1:6" x14ac:dyDescent="0.35">
      <c r="A15" s="130" t="s">
        <v>79</v>
      </c>
      <c r="B15" s="131">
        <v>117750</v>
      </c>
      <c r="C15" s="131">
        <v>29.178040643008796</v>
      </c>
      <c r="D15" s="131">
        <v>471</v>
      </c>
      <c r="E15" s="131">
        <v>100</v>
      </c>
      <c r="F15"/>
    </row>
    <row r="16" spans="1:6" x14ac:dyDescent="0.35">
      <c r="A16" s="130" t="s">
        <v>42</v>
      </c>
      <c r="B16" s="131">
        <v>46090</v>
      </c>
      <c r="C16" s="131">
        <v>27.30310262529833</v>
      </c>
      <c r="D16" s="131">
        <v>419</v>
      </c>
      <c r="E16" s="131">
        <v>40</v>
      </c>
      <c r="F16"/>
    </row>
    <row r="17" spans="1:6" x14ac:dyDescent="0.35">
      <c r="A17" s="130" t="s">
        <v>91</v>
      </c>
      <c r="B17" s="131">
        <v>100380</v>
      </c>
      <c r="C17" s="131">
        <v>22.997055633038897</v>
      </c>
      <c r="D17" s="131">
        <v>478</v>
      </c>
      <c r="E17" s="131">
        <v>60</v>
      </c>
      <c r="F17"/>
    </row>
    <row r="18" spans="1:6" x14ac:dyDescent="0.35">
      <c r="A18" s="130" t="s">
        <v>83</v>
      </c>
      <c r="B18" s="131">
        <v>109680</v>
      </c>
      <c r="C18" s="131">
        <v>29.797914789548201</v>
      </c>
      <c r="D18" s="131">
        <v>914</v>
      </c>
      <c r="E18" s="131">
        <v>50</v>
      </c>
      <c r="F18"/>
    </row>
    <row r="19" spans="1:6" x14ac:dyDescent="0.35">
      <c r="A19" s="130" t="s">
        <v>74</v>
      </c>
      <c r="B19" s="131">
        <v>2250</v>
      </c>
      <c r="C19" s="131">
        <v>88.333333333333329</v>
      </c>
      <c r="D19" s="131">
        <v>150</v>
      </c>
      <c r="E19" s="131">
        <v>45</v>
      </c>
      <c r="F19"/>
    </row>
    <row r="20" spans="1:6" x14ac:dyDescent="0.35">
      <c r="A20" s="130" t="s">
        <v>87</v>
      </c>
      <c r="B20" s="131">
        <v>313740</v>
      </c>
      <c r="C20" s="131">
        <v>27.817015187185522</v>
      </c>
      <c r="D20" s="131">
        <v>747</v>
      </c>
      <c r="E20" s="131">
        <v>160</v>
      </c>
      <c r="F20"/>
    </row>
    <row r="21" spans="1:6" x14ac:dyDescent="0.35">
      <c r="A21" s="130" t="s">
        <v>94</v>
      </c>
      <c r="B21" s="131">
        <v>52200</v>
      </c>
      <c r="C21" s="131">
        <v>50.957854406130267</v>
      </c>
      <c r="D21" s="131">
        <v>1740</v>
      </c>
      <c r="E21" s="131">
        <v>30</v>
      </c>
      <c r="F21"/>
    </row>
    <row r="22" spans="1:6" x14ac:dyDescent="0.35">
      <c r="A22" s="130" t="s">
        <v>75</v>
      </c>
      <c r="B22" s="131">
        <v>32040</v>
      </c>
      <c r="C22" s="131">
        <v>27.340823970037455</v>
      </c>
      <c r="D22" s="131">
        <v>356</v>
      </c>
      <c r="E22" s="131">
        <v>30</v>
      </c>
      <c r="F22"/>
    </row>
    <row r="23" spans="1:6" x14ac:dyDescent="0.35">
      <c r="A23" s="130" t="s">
        <v>41</v>
      </c>
      <c r="B23" s="131">
        <v>4460</v>
      </c>
      <c r="C23" s="131">
        <v>60.896860986547082</v>
      </c>
      <c r="D23" s="131">
        <v>223</v>
      </c>
      <c r="E23" s="131">
        <v>30</v>
      </c>
      <c r="F23"/>
    </row>
    <row r="24" spans="1:6" x14ac:dyDescent="0.35">
      <c r="A24" s="130" t="s">
        <v>46</v>
      </c>
      <c r="B24" s="131">
        <v>5000</v>
      </c>
      <c r="C24" s="131">
        <v>84.333333333333343</v>
      </c>
      <c r="D24" s="131">
        <v>250</v>
      </c>
      <c r="E24" s="131">
        <v>100</v>
      </c>
      <c r="F24"/>
    </row>
    <row r="25" spans="1:6" x14ac:dyDescent="0.35">
      <c r="A25" s="130" t="s">
        <v>77</v>
      </c>
      <c r="B25" s="131">
        <v>15000</v>
      </c>
      <c r="C25" s="131">
        <v>73.333333333333329</v>
      </c>
      <c r="D25" s="131">
        <v>300</v>
      </c>
      <c r="E25" s="131">
        <v>100</v>
      </c>
      <c r="F25"/>
    </row>
    <row r="26" spans="1:6" x14ac:dyDescent="0.35">
      <c r="A26" s="130" t="s">
        <v>76</v>
      </c>
      <c r="B26" s="131">
        <v>144000</v>
      </c>
      <c r="C26" s="131">
        <v>29.656862745098039</v>
      </c>
      <c r="D26" s="131">
        <v>1200</v>
      </c>
      <c r="E26" s="131">
        <v>50</v>
      </c>
      <c r="F26"/>
    </row>
    <row r="27" spans="1:6" x14ac:dyDescent="0.35">
      <c r="A27" s="130" t="s">
        <v>73</v>
      </c>
      <c r="B27" s="131">
        <v>4500</v>
      </c>
      <c r="C27" s="131">
        <v>64.444444444444443</v>
      </c>
      <c r="D27" s="131">
        <v>150</v>
      </c>
      <c r="E27" s="131">
        <v>30</v>
      </c>
      <c r="F27"/>
    </row>
    <row r="28" spans="1:6" x14ac:dyDescent="0.35">
      <c r="A28" s="130" t="s">
        <v>81</v>
      </c>
      <c r="B28" s="131">
        <v>8000</v>
      </c>
      <c r="C28" s="131">
        <v>58.333333333333336</v>
      </c>
      <c r="D28" s="131">
        <v>200</v>
      </c>
      <c r="E28" s="131">
        <v>50</v>
      </c>
      <c r="F28"/>
    </row>
    <row r="29" spans="1:6" x14ac:dyDescent="0.35">
      <c r="A29" s="130" t="s">
        <v>92</v>
      </c>
      <c r="B29" s="131">
        <v>14000</v>
      </c>
      <c r="C29" s="131">
        <v>50</v>
      </c>
      <c r="D29" s="131">
        <v>200</v>
      </c>
      <c r="E29" s="131">
        <v>40</v>
      </c>
      <c r="F29"/>
    </row>
    <row r="30" spans="1:6" x14ac:dyDescent="0.35">
      <c r="A30" s="130" t="s">
        <v>72</v>
      </c>
      <c r="B30" s="131">
        <v>2500</v>
      </c>
      <c r="C30" s="131">
        <v>94.666666666666671</v>
      </c>
      <c r="D30" s="131">
        <v>250</v>
      </c>
      <c r="E30" s="131">
        <v>50</v>
      </c>
      <c r="F30"/>
    </row>
    <row r="31" spans="1:6" x14ac:dyDescent="0.35">
      <c r="A31" s="130" t="s">
        <v>84</v>
      </c>
      <c r="B31" s="131">
        <v>3000</v>
      </c>
      <c r="C31" s="131">
        <v>82.666666666666671</v>
      </c>
      <c r="D31" s="131">
        <v>300</v>
      </c>
      <c r="E31" s="131">
        <v>40</v>
      </c>
      <c r="F31"/>
    </row>
    <row r="32" spans="1:6" x14ac:dyDescent="0.35">
      <c r="A32" s="130" t="s">
        <v>78</v>
      </c>
      <c r="B32" s="131">
        <v>12000</v>
      </c>
      <c r="C32" s="131">
        <v>66.666666666666657</v>
      </c>
      <c r="D32" s="131">
        <v>200</v>
      </c>
      <c r="E32" s="131">
        <v>90</v>
      </c>
      <c r="F32"/>
    </row>
    <row r="33" spans="1:6" x14ac:dyDescent="0.35">
      <c r="A33" s="130" t="s">
        <v>48</v>
      </c>
      <c r="B33" s="131">
        <v>6560</v>
      </c>
      <c r="C33" s="131">
        <v>76.829268292682926</v>
      </c>
      <c r="D33" s="131">
        <v>164</v>
      </c>
      <c r="E33" s="131">
        <v>80</v>
      </c>
      <c r="F33"/>
    </row>
    <row r="34" spans="1:6" x14ac:dyDescent="0.35">
      <c r="A34" s="130" t="s">
        <v>95</v>
      </c>
      <c r="B34" s="131">
        <v>97828</v>
      </c>
      <c r="C34" s="131">
        <v>47.467041279446725</v>
      </c>
      <c r="D34" s="131">
        <v>2644</v>
      </c>
      <c r="E34" s="131">
        <v>33</v>
      </c>
      <c r="F34"/>
    </row>
    <row r="35" spans="1:6" x14ac:dyDescent="0.35">
      <c r="A35" s="130" t="s">
        <v>96</v>
      </c>
      <c r="B35" s="131">
        <v>16635</v>
      </c>
      <c r="C35" s="131">
        <v>42.164111812443643</v>
      </c>
      <c r="D35" s="131">
        <v>1109</v>
      </c>
      <c r="E35" s="131">
        <v>10</v>
      </c>
      <c r="F35"/>
    </row>
    <row r="36" spans="1:6" x14ac:dyDescent="0.35">
      <c r="A36" s="130" t="s">
        <v>88</v>
      </c>
      <c r="B36" s="131">
        <v>9760</v>
      </c>
      <c r="C36" s="131">
        <v>64.663023679417122</v>
      </c>
      <c r="D36" s="131">
        <v>244</v>
      </c>
      <c r="E36" s="131">
        <v>50</v>
      </c>
      <c r="F36"/>
    </row>
    <row r="37" spans="1:6" x14ac:dyDescent="0.35">
      <c r="A37" s="130" t="s">
        <v>104</v>
      </c>
      <c r="B37" s="131">
        <v>210760</v>
      </c>
      <c r="C37" s="131">
        <v>26.805845511482257</v>
      </c>
      <c r="D37" s="131">
        <v>958</v>
      </c>
      <c r="E37" s="131">
        <v>80</v>
      </c>
      <c r="F37"/>
    </row>
    <row r="38" spans="1:6" x14ac:dyDescent="0.35">
      <c r="A38" s="130" t="s">
        <v>97</v>
      </c>
      <c r="B38" s="131">
        <v>4500</v>
      </c>
      <c r="C38" s="131">
        <v>80</v>
      </c>
      <c r="D38" s="131">
        <v>150</v>
      </c>
      <c r="E38" s="131">
        <v>70</v>
      </c>
      <c r="F38"/>
    </row>
    <row r="39" spans="1:6" x14ac:dyDescent="0.35">
      <c r="A39" s="130" t="s">
        <v>44</v>
      </c>
      <c r="B39" s="131">
        <v>4000</v>
      </c>
      <c r="C39" s="131">
        <v>77.142857142857153</v>
      </c>
      <c r="D39" s="131">
        <v>200</v>
      </c>
      <c r="E39" s="131">
        <v>50</v>
      </c>
      <c r="F39"/>
    </row>
    <row r="40" spans="1:6" x14ac:dyDescent="0.35">
      <c r="A40" s="130" t="s">
        <v>47</v>
      </c>
      <c r="B40" s="131">
        <v>4500</v>
      </c>
      <c r="C40" s="131">
        <v>85</v>
      </c>
      <c r="D40" s="131">
        <v>150</v>
      </c>
      <c r="E40" s="131">
        <v>90</v>
      </c>
      <c r="F40"/>
    </row>
    <row r="41" spans="1:6" x14ac:dyDescent="0.35">
      <c r="A41" s="130" t="s">
        <v>50</v>
      </c>
      <c r="B41" s="131">
        <v>33000</v>
      </c>
      <c r="C41" s="131">
        <v>59.090909090909093</v>
      </c>
      <c r="D41" s="131">
        <v>330</v>
      </c>
      <c r="E41" s="131">
        <v>100</v>
      </c>
      <c r="F41"/>
    </row>
    <row r="42" spans="1:6" x14ac:dyDescent="0.35">
      <c r="A42" s="130" t="s">
        <v>80</v>
      </c>
      <c r="B42" s="131">
        <v>6120</v>
      </c>
      <c r="C42" s="131">
        <v>75.16339869281046</v>
      </c>
      <c r="D42" s="131">
        <v>306</v>
      </c>
      <c r="E42" s="131">
        <v>50</v>
      </c>
      <c r="F42"/>
    </row>
    <row r="43" spans="1:6" x14ac:dyDescent="0.35">
      <c r="A43" s="130" t="s">
        <v>89</v>
      </c>
      <c r="B43" s="131">
        <v>50000</v>
      </c>
      <c r="C43" s="131">
        <v>58.18181818181818</v>
      </c>
      <c r="D43" s="131">
        <v>500</v>
      </c>
      <c r="E43" s="131">
        <v>120</v>
      </c>
      <c r="F43"/>
    </row>
    <row r="44" spans="1:6" x14ac:dyDescent="0.35">
      <c r="A44" s="130" t="s">
        <v>186</v>
      </c>
      <c r="B44" s="131">
        <v>3039568</v>
      </c>
      <c r="C44" s="131">
        <v>2133.5724134560946</v>
      </c>
      <c r="D44" s="131">
        <v>24305</v>
      </c>
      <c r="E44" s="131">
        <v>2663</v>
      </c>
      <c r="F44"/>
    </row>
    <row r="45" spans="1:6" x14ac:dyDescent="0.35">
      <c r="B45" s="65">
        <f>AVERAGE(B4:B43)</f>
        <v>75989.2</v>
      </c>
    </row>
    <row r="46" spans="1:6" x14ac:dyDescent="0.35">
      <c r="D46" s="65">
        <f>D44*C44</f>
        <v>51856477.509050377</v>
      </c>
    </row>
    <row r="47" spans="1:6" x14ac:dyDescent="0.35">
      <c r="D47" s="65">
        <f>D46+3621240</f>
        <v>55477717.509050377</v>
      </c>
    </row>
    <row r="48" spans="1:6" x14ac:dyDescent="0.35">
      <c r="B48" s="65">
        <f>B44</f>
        <v>3039568</v>
      </c>
      <c r="D48" s="65">
        <v>68029490</v>
      </c>
    </row>
    <row r="49" spans="2:5" x14ac:dyDescent="0.35">
      <c r="C49" s="65">
        <f>(B45*C53)/100</f>
        <v>152854555.47599998</v>
      </c>
      <c r="E49" s="65">
        <f>B45+D50</f>
        <v>100</v>
      </c>
    </row>
    <row r="50" spans="2:5" x14ac:dyDescent="0.35">
      <c r="C50" s="65">
        <f>C53-C49</f>
        <v>-152653402.47599998</v>
      </c>
      <c r="D50" s="65">
        <f>(C50/C53)*100</f>
        <v>-75889.2</v>
      </c>
      <c r="E50" s="133" t="s">
        <v>195</v>
      </c>
    </row>
    <row r="51" spans="2:5" x14ac:dyDescent="0.35">
      <c r="C51" s="65">
        <f>52.875+18.7683</f>
        <v>71.643299999999996</v>
      </c>
      <c r="D51" s="65">
        <f>C51*C53</f>
        <v>14411264.7249</v>
      </c>
      <c r="E51" s="65">
        <f>D51/100</f>
        <v>144112.647249</v>
      </c>
    </row>
    <row r="52" spans="2:5" x14ac:dyDescent="0.35">
      <c r="B52" s="65">
        <f>B48+300.2983</f>
        <v>3039868.2982999999</v>
      </c>
      <c r="C52" s="65">
        <f>24.15*201153</f>
        <v>4857844.9499999993</v>
      </c>
      <c r="D52" s="133" t="s">
        <v>192</v>
      </c>
      <c r="E52" s="65">
        <f>C53-E51</f>
        <v>57040.352750999999</v>
      </c>
    </row>
    <row r="53" spans="2:5" x14ac:dyDescent="0.35">
      <c r="C53" s="65">
        <v>201153</v>
      </c>
      <c r="D53" s="133" t="s">
        <v>193</v>
      </c>
      <c r="E53" s="65">
        <f>E52/C53</f>
        <v>0.28356700000000001</v>
      </c>
    </row>
    <row r="54" spans="2:5" x14ac:dyDescent="0.35">
      <c r="E54" s="65">
        <f>E53*100</f>
        <v>28.3567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E4F3-3306-4C14-ADED-D36B516A21C2}">
  <dimension ref="A2:E27"/>
  <sheetViews>
    <sheetView topLeftCell="E16" zoomScale="76" workbookViewId="0">
      <selection activeCell="P5" sqref="P5"/>
    </sheetView>
  </sheetViews>
  <sheetFormatPr defaultRowHeight="14.5" x14ac:dyDescent="0.35"/>
  <cols>
    <col min="1" max="1" width="20.6328125" style="65" bestFit="1" customWidth="1"/>
    <col min="2" max="2" width="33.36328125" style="65" bestFit="1" customWidth="1"/>
    <col min="3" max="3" width="20.6328125" style="65" bestFit="1" customWidth="1"/>
    <col min="4" max="4" width="14.1796875" style="65" bestFit="1" customWidth="1"/>
    <col min="5" max="5" width="17.54296875" style="65" bestFit="1" customWidth="1"/>
    <col min="6" max="16384" width="8.7265625" style="65"/>
  </cols>
  <sheetData>
    <row r="2" spans="1:5" ht="31" x14ac:dyDescent="0.35">
      <c r="A2" s="132" t="s">
        <v>191</v>
      </c>
    </row>
    <row r="3" spans="1:5" x14ac:dyDescent="0.35">
      <c r="A3" s="129" t="s">
        <v>185</v>
      </c>
      <c r="B3" s="27" t="s">
        <v>277</v>
      </c>
      <c r="C3" s="27" t="s">
        <v>190</v>
      </c>
      <c r="D3" s="27" t="s">
        <v>188</v>
      </c>
      <c r="E3" s="27" t="s">
        <v>187</v>
      </c>
    </row>
    <row r="4" spans="1:5" x14ac:dyDescent="0.35">
      <c r="A4" s="130" t="s">
        <v>126</v>
      </c>
      <c r="B4" s="131">
        <v>61360</v>
      </c>
      <c r="C4" s="131">
        <v>30</v>
      </c>
      <c r="D4" s="131">
        <v>472</v>
      </c>
      <c r="E4" s="131">
        <v>18.882415254237291</v>
      </c>
    </row>
    <row r="5" spans="1:5" x14ac:dyDescent="0.35">
      <c r="A5" s="130" t="s">
        <v>129</v>
      </c>
      <c r="B5" s="131">
        <v>57330</v>
      </c>
      <c r="C5" s="131">
        <v>30</v>
      </c>
      <c r="D5" s="131">
        <v>441</v>
      </c>
      <c r="E5" s="131">
        <v>18.89172335600907</v>
      </c>
    </row>
    <row r="6" spans="1:5" x14ac:dyDescent="0.35">
      <c r="A6" s="130" t="s">
        <v>131</v>
      </c>
      <c r="B6" s="131">
        <v>44980</v>
      </c>
      <c r="C6" s="131">
        <v>30</v>
      </c>
      <c r="D6" s="131">
        <v>346</v>
      </c>
      <c r="E6" s="131">
        <v>18.930635838150287</v>
      </c>
    </row>
    <row r="7" spans="1:5" x14ac:dyDescent="0.35">
      <c r="A7" s="130" t="s">
        <v>134</v>
      </c>
      <c r="B7" s="131">
        <v>55625</v>
      </c>
      <c r="C7" s="131">
        <v>25</v>
      </c>
      <c r="D7" s="131">
        <v>445</v>
      </c>
      <c r="E7" s="131">
        <v>16.816479400749063</v>
      </c>
    </row>
    <row r="8" spans="1:5" x14ac:dyDescent="0.35">
      <c r="A8" s="130" t="s">
        <v>136</v>
      </c>
      <c r="B8" s="131">
        <v>36000</v>
      </c>
      <c r="C8" s="131">
        <v>20</v>
      </c>
      <c r="D8" s="131">
        <v>400</v>
      </c>
      <c r="E8" s="131">
        <v>18.409090909090907</v>
      </c>
    </row>
    <row r="9" spans="1:5" x14ac:dyDescent="0.35">
      <c r="A9" s="130" t="s">
        <v>133</v>
      </c>
      <c r="B9" s="131">
        <v>51448</v>
      </c>
      <c r="C9" s="131">
        <v>32</v>
      </c>
      <c r="D9" s="131">
        <v>436</v>
      </c>
      <c r="E9" s="131">
        <v>21.486238532110093</v>
      </c>
    </row>
    <row r="10" spans="1:5" x14ac:dyDescent="0.35">
      <c r="A10" s="130" t="s">
        <v>127</v>
      </c>
      <c r="B10" s="131">
        <v>80000</v>
      </c>
      <c r="C10" s="131">
        <v>25</v>
      </c>
      <c r="D10" s="131">
        <v>640</v>
      </c>
      <c r="E10" s="131">
        <v>16.770833333333332</v>
      </c>
    </row>
    <row r="11" spans="1:5" x14ac:dyDescent="0.35">
      <c r="A11" s="130" t="s">
        <v>124</v>
      </c>
      <c r="B11" s="131">
        <v>134820</v>
      </c>
      <c r="C11" s="131">
        <v>20</v>
      </c>
      <c r="D11" s="131">
        <v>1498</v>
      </c>
      <c r="E11" s="131">
        <v>18.242505158393008</v>
      </c>
    </row>
    <row r="12" spans="1:5" x14ac:dyDescent="0.35">
      <c r="A12" s="130" t="s">
        <v>137</v>
      </c>
      <c r="B12" s="131">
        <v>36000</v>
      </c>
      <c r="C12" s="131">
        <v>20</v>
      </c>
      <c r="D12" s="131">
        <v>400</v>
      </c>
      <c r="E12" s="131">
        <v>18.409090909090907</v>
      </c>
    </row>
    <row r="13" spans="1:5" x14ac:dyDescent="0.35">
      <c r="A13" s="130" t="s">
        <v>135</v>
      </c>
      <c r="B13" s="131">
        <v>37260</v>
      </c>
      <c r="C13" s="131">
        <v>20</v>
      </c>
      <c r="D13" s="131">
        <v>414</v>
      </c>
      <c r="E13" s="131">
        <v>18.401405357927096</v>
      </c>
    </row>
    <row r="14" spans="1:5" x14ac:dyDescent="0.35">
      <c r="A14" s="130" t="s">
        <v>138</v>
      </c>
      <c r="B14" s="131">
        <v>54000</v>
      </c>
      <c r="C14" s="131">
        <v>30</v>
      </c>
      <c r="D14" s="131">
        <v>450</v>
      </c>
      <c r="E14" s="131">
        <v>20.148148148148149</v>
      </c>
    </row>
    <row r="15" spans="1:5" x14ac:dyDescent="0.35">
      <c r="A15" s="130" t="s">
        <v>128</v>
      </c>
      <c r="B15" s="131">
        <v>31500</v>
      </c>
      <c r="C15" s="131">
        <v>20</v>
      </c>
      <c r="D15" s="131">
        <v>350</v>
      </c>
      <c r="E15" s="131">
        <v>18.441558441558442</v>
      </c>
    </row>
    <row r="16" spans="1:5" x14ac:dyDescent="0.35">
      <c r="A16" s="130" t="s">
        <v>125</v>
      </c>
      <c r="B16" s="131">
        <v>126250</v>
      </c>
      <c r="C16" s="131">
        <v>25</v>
      </c>
      <c r="D16" s="131">
        <v>1010</v>
      </c>
      <c r="E16" s="131">
        <v>16.732673267326735</v>
      </c>
    </row>
    <row r="17" spans="1:5" x14ac:dyDescent="0.35">
      <c r="A17" s="130" t="s">
        <v>130</v>
      </c>
      <c r="B17" s="131">
        <v>50000</v>
      </c>
      <c r="C17" s="131">
        <v>35</v>
      </c>
      <c r="D17" s="131">
        <v>400</v>
      </c>
      <c r="E17" s="131">
        <v>22.03125</v>
      </c>
    </row>
    <row r="18" spans="1:5" x14ac:dyDescent="0.35">
      <c r="A18" s="130" t="s">
        <v>132</v>
      </c>
      <c r="B18" s="131">
        <v>53125</v>
      </c>
      <c r="C18" s="131">
        <v>25</v>
      </c>
      <c r="D18" s="131">
        <v>425</v>
      </c>
      <c r="E18" s="131">
        <v>16.823529411764707</v>
      </c>
    </row>
    <row r="19" spans="1:5" x14ac:dyDescent="0.35">
      <c r="A19" s="130" t="s">
        <v>139</v>
      </c>
      <c r="B19" s="131">
        <v>64350</v>
      </c>
      <c r="C19" s="131">
        <v>30</v>
      </c>
      <c r="D19" s="131">
        <v>495</v>
      </c>
      <c r="E19" s="131">
        <v>18.876262626262626</v>
      </c>
    </row>
    <row r="20" spans="1:5" x14ac:dyDescent="0.35">
      <c r="A20" s="130" t="s">
        <v>186</v>
      </c>
      <c r="B20" s="131">
        <v>974048</v>
      </c>
      <c r="C20" s="131">
        <v>417</v>
      </c>
      <c r="D20" s="131">
        <v>8622</v>
      </c>
      <c r="E20" s="131">
        <v>298.29383994415173</v>
      </c>
    </row>
    <row r="21" spans="1:5" x14ac:dyDescent="0.35">
      <c r="D21" s="65">
        <f>AVERAGE(D4:D19)</f>
        <v>538.875</v>
      </c>
    </row>
    <row r="22" spans="1:5" x14ac:dyDescent="0.35">
      <c r="B22" s="65">
        <f>C20*B20</f>
        <v>406178016</v>
      </c>
      <c r="D22" s="65">
        <f>D20</f>
        <v>8622</v>
      </c>
    </row>
    <row r="23" spans="1:5" x14ac:dyDescent="0.35">
      <c r="D23" s="65">
        <f>100-D21</f>
        <v>-438.875</v>
      </c>
      <c r="E23" s="133" t="s">
        <v>194</v>
      </c>
    </row>
    <row r="25" spans="1:5" x14ac:dyDescent="0.35">
      <c r="C25" s="65">
        <f>(D21*201153)/100</f>
        <v>1083963.22875</v>
      </c>
      <c r="D25" s="65">
        <f>D21+C27</f>
        <v>100</v>
      </c>
    </row>
    <row r="26" spans="1:5" x14ac:dyDescent="0.35">
      <c r="C26" s="65">
        <f>201153-C25</f>
        <v>-882810.22875000001</v>
      </c>
    </row>
    <row r="27" spans="1:5" x14ac:dyDescent="0.35">
      <c r="C27" s="65">
        <f>(C26/201153)*100</f>
        <v>-438.875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D0C7-618F-4D5B-BE40-F4FAD1955D73}">
  <dimension ref="A1:E16"/>
  <sheetViews>
    <sheetView topLeftCell="A3" zoomScale="85" zoomScaleNormal="85" workbookViewId="0">
      <selection activeCell="E16" sqref="E16"/>
    </sheetView>
  </sheetViews>
  <sheetFormatPr defaultRowHeight="14.5" x14ac:dyDescent="0.35"/>
  <cols>
    <col min="1" max="1" width="46.26953125" style="219" customWidth="1"/>
    <col min="2" max="2" width="15.6328125" style="219" customWidth="1"/>
    <col min="3" max="3" width="4.54296875" style="219" customWidth="1"/>
    <col min="4" max="4" width="10.453125" style="219" customWidth="1"/>
    <col min="5" max="5" width="161.453125" style="219" customWidth="1"/>
    <col min="6" max="16384" width="8.7265625" style="219"/>
  </cols>
  <sheetData>
    <row r="1" spans="1:5" s="186" customFormat="1" ht="22" customHeight="1" x14ac:dyDescent="0.35">
      <c r="A1" s="185" t="s">
        <v>64</v>
      </c>
    </row>
    <row r="2" spans="1:5" s="178" customFormat="1" x14ac:dyDescent="0.35"/>
    <row r="3" spans="1:5" s="183" customFormat="1" x14ac:dyDescent="0.35">
      <c r="A3" s="183" t="s">
        <v>223</v>
      </c>
    </row>
    <row r="4" spans="1:5" s="178" customFormat="1" x14ac:dyDescent="0.35"/>
    <row r="5" spans="1:5" s="178" customFormat="1" x14ac:dyDescent="0.35">
      <c r="A5" s="178" t="s">
        <v>228</v>
      </c>
      <c r="B5" s="179" t="s">
        <v>226</v>
      </c>
      <c r="C5" s="180"/>
      <c r="D5" s="181">
        <f>(0.2819+0.1872)/2</f>
        <v>0.23454999999999998</v>
      </c>
      <c r="E5" s="182" t="s">
        <v>231</v>
      </c>
    </row>
    <row r="6" spans="1:5" s="178" customFormat="1" x14ac:dyDescent="0.35">
      <c r="A6" s="178" t="s">
        <v>229</v>
      </c>
      <c r="B6" s="181"/>
      <c r="D6" s="181">
        <f>1-0.2346</f>
        <v>0.76539999999999997</v>
      </c>
      <c r="E6" s="182" t="s">
        <v>230</v>
      </c>
    </row>
    <row r="7" spans="1:5" s="178" customFormat="1" x14ac:dyDescent="0.35"/>
    <row r="8" spans="1:5" s="178" customFormat="1" x14ac:dyDescent="0.35"/>
    <row r="9" spans="1:5" s="178" customFormat="1" x14ac:dyDescent="0.35"/>
    <row r="10" spans="1:5" s="184" customFormat="1" x14ac:dyDescent="0.35">
      <c r="A10" s="184" t="s">
        <v>227</v>
      </c>
    </row>
    <row r="11" spans="1:5" s="218" customFormat="1" x14ac:dyDescent="0.35">
      <c r="A11" s="218" t="s">
        <v>268</v>
      </c>
    </row>
    <row r="12" spans="1:5" s="177" customFormat="1" x14ac:dyDescent="0.35"/>
    <row r="13" spans="1:5" x14ac:dyDescent="0.35">
      <c r="A13" s="219" t="s">
        <v>270</v>
      </c>
    </row>
    <row r="14" spans="1:5" ht="62" customHeight="1" x14ac:dyDescent="0.35">
      <c r="A14" s="220" t="s">
        <v>269</v>
      </c>
    </row>
    <row r="15" spans="1:5" ht="108.5" customHeight="1" x14ac:dyDescent="0.35">
      <c r="E15" s="220"/>
    </row>
    <row r="16" spans="1:5" ht="93.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Profit &amp; Loss statement</vt:lpstr>
      <vt:lpstr>Sheet2</vt:lpstr>
      <vt:lpstr>Overall</vt:lpstr>
      <vt:lpstr>Recipe wise</vt:lpstr>
      <vt:lpstr>Sheet1</vt:lpstr>
      <vt:lpstr>Sheet6</vt:lpstr>
      <vt:lpstr>Sheet7</vt:lpstr>
      <vt:lpstr>Sheet4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2021-08-08T10:13:26Z</dcterms:created>
  <dcterms:modified xsi:type="dcterms:W3CDTF">2021-09-25T10:56:54Z</dcterms:modified>
</cp:coreProperties>
</file>